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zinzim2\Desktop\Budget 2020_21\Adjustment February 2021\Finalization\FINAL\Treasury submission\"/>
    </mc:Choice>
  </mc:AlternateContent>
  <workbookProtection workbookPassword="FB84" lockStructure="1"/>
  <bookViews>
    <workbookView xWindow="0" yWindow="0" windowWidth="28800" windowHeight="12030" tabRatio="824" firstSheet="18" activeTab="41"/>
  </bookViews>
  <sheets>
    <sheet name="START" sheetId="40" r:id="rId1"/>
    <sheet name="Instructions" sheetId="45" r:id="rId2"/>
    <sheet name="Template names" sheetId="39" state="veryHidden" r:id="rId3"/>
    <sheet name="Lookup and lists" sheetId="38" state="veryHidden" r:id="rId4"/>
    <sheet name="Org structure" sheetId="51" r:id="rId5"/>
    <sheet name="Contacts" sheetId="50" r:id="rId6"/>
    <sheet name="B1-Sum" sheetId="7" r:id="rId7"/>
    <sheet name="B2-FinPerf SC" sheetId="9" r:id="rId8"/>
    <sheet name="B2B" sheetId="46" r:id="rId9"/>
    <sheet name="B3-FinPerf V" sheetId="8" r:id="rId10"/>
    <sheet name="B3B" sheetId="47" r:id="rId11"/>
    <sheet name="B4-FinPerf RE" sheetId="10" r:id="rId12"/>
    <sheet name="B5-Capex" sheetId="11" r:id="rId13"/>
    <sheet name="B5B" sheetId="48" r:id="rId14"/>
    <sheet name="B6-FinPos" sheetId="12" r:id="rId15"/>
    <sheet name="B7-CFlow" sheetId="13" r:id="rId16"/>
    <sheet name="B8-ResRecon" sheetId="14" r:id="rId17"/>
    <sheet name="B9-Asset" sheetId="15" r:id="rId18"/>
    <sheet name="B10-SerDel" sheetId="16" r:id="rId19"/>
    <sheet name="SB1" sheetId="17" r:id="rId20"/>
    <sheet name="SB2" sheetId="18" r:id="rId21"/>
    <sheet name="SB3" sheetId="19" r:id="rId22"/>
    <sheet name="SB4" sheetId="20" r:id="rId23"/>
    <sheet name="SB5" sheetId="21" r:id="rId24"/>
    <sheet name="SB6" sheetId="22" r:id="rId25"/>
    <sheet name="SB7" sheetId="23" r:id="rId26"/>
    <sheet name="SB8" sheetId="24" r:id="rId27"/>
    <sheet name="SB9" sheetId="25" r:id="rId28"/>
    <sheet name="SB10" sheetId="26" r:id="rId29"/>
    <sheet name="SB11" sheetId="27" r:id="rId30"/>
    <sheet name="SB12" sheetId="28" r:id="rId31"/>
    <sheet name="SB13" sheetId="29" r:id="rId32"/>
    <sheet name="SB14" sheetId="30" r:id="rId33"/>
    <sheet name="SB15" sheetId="31" r:id="rId34"/>
    <sheet name="SB16" sheetId="32" r:id="rId35"/>
    <sheet name="SB17" sheetId="33" r:id="rId36"/>
    <sheet name="SB18a" sheetId="34" r:id="rId37"/>
    <sheet name="SB18b" sheetId="37" r:id="rId38"/>
    <sheet name="SB18c" sheetId="1" r:id="rId39"/>
    <sheet name="SB18d" sheetId="52" r:id="rId40"/>
    <sheet name="SB18e" sheetId="53" r:id="rId41"/>
    <sheet name="SB19" sheetId="35" r:id="rId42"/>
    <sheet name="SB20" sheetId="36" r:id="rId43"/>
  </sheets>
  <externalReferences>
    <externalReference r:id="rId44"/>
    <externalReference r:id="rId45"/>
    <externalReference r:id="rId46"/>
    <externalReference r:id="rId47"/>
    <externalReference r:id="rId48"/>
    <externalReference r:id="rId49"/>
    <externalReference r:id="rId50"/>
    <externalReference r:id="rId51"/>
  </externalReferences>
  <definedNames>
    <definedName name="_ADJ1" localSheetId="5">'[1]Template names'!#REF!</definedName>
    <definedName name="_ADJ1" localSheetId="4">'[2]Template names'!#REF!</definedName>
    <definedName name="_ADJ1" localSheetId="39">'Template names'!#REF!</definedName>
    <definedName name="_ADJ1" localSheetId="40">'Template names'!#REF!</definedName>
    <definedName name="_ADJ1">'Template names'!#REF!</definedName>
    <definedName name="_ADJ10" localSheetId="5">'[1]Template names'!#REF!</definedName>
    <definedName name="_ADJ10" localSheetId="1">'Template names'!#REF!</definedName>
    <definedName name="_ADJ10" localSheetId="4">'[2]Template names'!#REF!</definedName>
    <definedName name="_ADJ10">'Template names'!$B$76</definedName>
    <definedName name="_ADJ11" localSheetId="5">'[1]Template names'!#REF!</definedName>
    <definedName name="_ADJ11" localSheetId="4">'[2]Template names'!#REF!</definedName>
    <definedName name="_ADJ11" localSheetId="39">'Template names'!#REF!</definedName>
    <definedName name="_ADJ11" localSheetId="40">'Template names'!#REF!</definedName>
    <definedName name="_ADJ11">'Template names'!#REF!</definedName>
    <definedName name="_ADJ12" localSheetId="5">'[1]Template names'!#REF!</definedName>
    <definedName name="_ADJ12" localSheetId="4">'[2]Template names'!#REF!</definedName>
    <definedName name="_ADJ12" localSheetId="39">'Template names'!#REF!</definedName>
    <definedName name="_ADJ12" localSheetId="40">'Template names'!#REF!</definedName>
    <definedName name="_ADJ12">'Template names'!#REF!</definedName>
    <definedName name="_ADJ13" localSheetId="5">'[1]Template names'!#REF!</definedName>
    <definedName name="_ADJ13" localSheetId="4">'[2]Template names'!#REF!</definedName>
    <definedName name="_ADJ13" localSheetId="39">'Template names'!#REF!</definedName>
    <definedName name="_ADJ13" localSheetId="40">'Template names'!#REF!</definedName>
    <definedName name="_ADJ13">'Template names'!#REF!</definedName>
    <definedName name="_ADJ14" localSheetId="5">'[1]Template names'!#REF!</definedName>
    <definedName name="_ADJ14" localSheetId="4">'[2]Template names'!#REF!</definedName>
    <definedName name="_ADJ14" localSheetId="39">'Template names'!#REF!</definedName>
    <definedName name="_ADJ14" localSheetId="40">'Template names'!#REF!</definedName>
    <definedName name="_ADJ14">'Template names'!#REF!</definedName>
    <definedName name="_ADJ16" localSheetId="5">'[1]Template names'!#REF!</definedName>
    <definedName name="_ADJ16" localSheetId="4">'[2]Template names'!#REF!</definedName>
    <definedName name="_ADJ16" localSheetId="39">'Template names'!#REF!</definedName>
    <definedName name="_ADJ16" localSheetId="40">'Template names'!#REF!</definedName>
    <definedName name="_ADJ16">'Template names'!#REF!</definedName>
    <definedName name="_ADJ17" localSheetId="5">'[1]Template names'!#REF!</definedName>
    <definedName name="_ADJ17" localSheetId="4">'[2]Template names'!#REF!</definedName>
    <definedName name="_ADJ17" localSheetId="39">'Template names'!#REF!</definedName>
    <definedName name="_ADJ17" localSheetId="40">'Template names'!#REF!</definedName>
    <definedName name="_ADJ17">'Template names'!#REF!</definedName>
    <definedName name="_ADJ18" localSheetId="5">'[1]Template names'!#REF!</definedName>
    <definedName name="_ADJ18" localSheetId="4">'[2]Template names'!#REF!</definedName>
    <definedName name="_ADJ18" localSheetId="39">'Template names'!#REF!</definedName>
    <definedName name="_ADJ18" localSheetId="40">'Template names'!#REF!</definedName>
    <definedName name="_ADJ18">'Template names'!#REF!</definedName>
    <definedName name="_ADJ19" localSheetId="5">'[1]Template names'!#REF!</definedName>
    <definedName name="_ADJ19" localSheetId="4">'[2]Template names'!#REF!</definedName>
    <definedName name="_ADJ19" localSheetId="39">'Template names'!#REF!</definedName>
    <definedName name="_ADJ19" localSheetId="40">'Template names'!#REF!</definedName>
    <definedName name="_ADJ19">'Template names'!#REF!</definedName>
    <definedName name="_ADJ2" localSheetId="5">'[1]Template names'!#REF!</definedName>
    <definedName name="_ADJ2" localSheetId="1">'Template names'!#REF!</definedName>
    <definedName name="_ADJ2" localSheetId="4">'[2]Template names'!#REF!</definedName>
    <definedName name="_ADJ2">'Template names'!$B$68</definedName>
    <definedName name="_ADJ3" localSheetId="5">'[1]Template names'!#REF!</definedName>
    <definedName name="_ADJ3" localSheetId="1">'Template names'!#REF!</definedName>
    <definedName name="_ADJ3" localSheetId="4">'[2]Template names'!#REF!</definedName>
    <definedName name="_ADJ3">'Template names'!$B$69</definedName>
    <definedName name="_ADJ4" localSheetId="5">'[1]Template names'!#REF!</definedName>
    <definedName name="_ADJ4" localSheetId="1">'Template names'!#REF!</definedName>
    <definedName name="_ADJ4" localSheetId="4">'[2]Template names'!#REF!</definedName>
    <definedName name="_ADJ4">'Template names'!$B$70</definedName>
    <definedName name="_ADJ5" localSheetId="5">'[1]Template names'!#REF!</definedName>
    <definedName name="_ADJ5" localSheetId="1">'Template names'!#REF!</definedName>
    <definedName name="_ADJ5" localSheetId="4">'[2]Template names'!#REF!</definedName>
    <definedName name="_ADJ5">'Template names'!$B$71</definedName>
    <definedName name="_ADJ6" localSheetId="5">'[1]Template names'!#REF!</definedName>
    <definedName name="_ADJ6" localSheetId="1">'Template names'!#REF!</definedName>
    <definedName name="_ADJ6" localSheetId="4">'[2]Template names'!#REF!</definedName>
    <definedName name="_ADJ6">'Template names'!$B$72</definedName>
    <definedName name="_ADJ7" localSheetId="5">'[1]Template names'!#REF!</definedName>
    <definedName name="_ADJ7" localSheetId="1">'Template names'!#REF!</definedName>
    <definedName name="_ADJ7" localSheetId="4">'[2]Template names'!#REF!</definedName>
    <definedName name="_ADJ7">'Template names'!$B$73</definedName>
    <definedName name="_ADJ8" localSheetId="5">'[1]Template names'!#REF!</definedName>
    <definedName name="_ADJ8" localSheetId="1">'Template names'!#REF!</definedName>
    <definedName name="_ADJ8" localSheetId="4">'[2]Template names'!#REF!</definedName>
    <definedName name="_ADJ8">'Template names'!$B$74</definedName>
    <definedName name="_ADJ9" localSheetId="5">'[1]Template names'!#REF!</definedName>
    <definedName name="_ADJ9" localSheetId="1">'Template names'!#REF!</definedName>
    <definedName name="_ADJ9" localSheetId="4">'[2]Template names'!#REF!</definedName>
    <definedName name="_ADJ9">'Template names'!$B$75</definedName>
    <definedName name="_ccf04" localSheetId="39">#REF!</definedName>
    <definedName name="_ccf04" localSheetId="40">#REF!</definedName>
    <definedName name="_ccf04">#REF!</definedName>
    <definedName name="_ccf05" localSheetId="39">#REF!</definedName>
    <definedName name="_ccf05" localSheetId="40">#REF!</definedName>
    <definedName name="_ccf05">#REF!</definedName>
    <definedName name="_ccf06" localSheetId="40">#REF!</definedName>
    <definedName name="_ccf06">#REF!</definedName>
    <definedName name="_ccf07" localSheetId="40">#REF!</definedName>
    <definedName name="_ccf07">#REF!</definedName>
    <definedName name="_ccf08" localSheetId="40">#REF!</definedName>
    <definedName name="_ccf08">#REF!</definedName>
    <definedName name="_ccf09" localSheetId="40">#REF!</definedName>
    <definedName name="_ccf09">#REF!</definedName>
    <definedName name="_ccf10" localSheetId="40">#REF!</definedName>
    <definedName name="_ccf10">#REF!</definedName>
    <definedName name="_ccf11" localSheetId="40">#REF!</definedName>
    <definedName name="_ccf11">#REF!</definedName>
    <definedName name="_ccf12" localSheetId="40">#REF!</definedName>
    <definedName name="_ccf12">#REF!</definedName>
    <definedName name="_ccf13" localSheetId="40">#REF!</definedName>
    <definedName name="_ccf13">#REF!</definedName>
    <definedName name="_cpi1">'[3]Balance Sheet'!$D$50</definedName>
    <definedName name="_cpi2">'[3]Balance Sheet'!$E$50</definedName>
    <definedName name="_cpi3">'[3]Balance Sheet'!$F$50</definedName>
    <definedName name="_ecf04" localSheetId="39">#REF!</definedName>
    <definedName name="_ecf04" localSheetId="40">#REF!</definedName>
    <definedName name="_ecf04">#REF!</definedName>
    <definedName name="_ecf05" localSheetId="39">#REF!</definedName>
    <definedName name="_ecf05" localSheetId="40">#REF!</definedName>
    <definedName name="_ecf05">#REF!</definedName>
    <definedName name="_ecf06" localSheetId="40">#REF!</definedName>
    <definedName name="_ecf06">#REF!</definedName>
    <definedName name="_ecf07" localSheetId="40">#REF!</definedName>
    <definedName name="_ecf07">#REF!</definedName>
    <definedName name="_ecf08" localSheetId="40">#REF!</definedName>
    <definedName name="_ecf08">#REF!</definedName>
    <definedName name="_ecf09" localSheetId="40">#REF!</definedName>
    <definedName name="_ecf09">#REF!</definedName>
    <definedName name="_ecf10" localSheetId="40">#REF!</definedName>
    <definedName name="_ecf10">#REF!</definedName>
    <definedName name="_ecf11" localSheetId="40">#REF!</definedName>
    <definedName name="_ecf11">#REF!</definedName>
    <definedName name="_ecf12" localSheetId="40">#REF!</definedName>
    <definedName name="_ecf12">#REF!</definedName>
    <definedName name="_ecf13" localSheetId="40">#REF!</definedName>
    <definedName name="_ecf13">#REF!</definedName>
    <definedName name="_emp04" localSheetId="39">#REF!</definedName>
    <definedName name="_emp04" localSheetId="40">#REF!</definedName>
    <definedName name="_emp04">#REF!</definedName>
    <definedName name="_emp05" localSheetId="39">#REF!</definedName>
    <definedName name="_emp05" localSheetId="40">#REF!</definedName>
    <definedName name="_emp05">#REF!</definedName>
    <definedName name="_emp06" localSheetId="40">#REF!</definedName>
    <definedName name="_emp06">#REF!</definedName>
    <definedName name="_emp07" localSheetId="40">#REF!</definedName>
    <definedName name="_emp07">#REF!</definedName>
    <definedName name="_emp08" localSheetId="40">#REF!</definedName>
    <definedName name="_emp08">#REF!</definedName>
    <definedName name="_emp09" localSheetId="40">#REF!</definedName>
    <definedName name="_emp09">#REF!</definedName>
    <definedName name="_emp10" localSheetId="40">#REF!</definedName>
    <definedName name="_emp10">#REF!</definedName>
    <definedName name="_emp11" localSheetId="40">#REF!</definedName>
    <definedName name="_emp11">#REF!</definedName>
    <definedName name="_emp12" localSheetId="40">#REF!</definedName>
    <definedName name="_emp12">#REF!</definedName>
    <definedName name="_emp13" localSheetId="40">#REF!</definedName>
    <definedName name="_emp13">#REF!</definedName>
    <definedName name="_emp14" localSheetId="40">#REF!</definedName>
    <definedName name="_emp14">#REF!</definedName>
    <definedName name="_emp15" localSheetId="40">#REF!</definedName>
    <definedName name="_emp15">#REF!</definedName>
    <definedName name="_emp16" localSheetId="40">#REF!</definedName>
    <definedName name="_emp16">#REF!</definedName>
    <definedName name="_emp17" localSheetId="40">#REF!</definedName>
    <definedName name="_emp17">#REF!</definedName>
    <definedName name="_emp18" localSheetId="40">#REF!</definedName>
    <definedName name="_emp18">#REF!</definedName>
    <definedName name="_emp19" localSheetId="40">#REF!</definedName>
    <definedName name="_emp19">#REF!</definedName>
    <definedName name="_emp20" localSheetId="40">#REF!</definedName>
    <definedName name="_emp20">#REF!</definedName>
    <definedName name="_emp21" localSheetId="40">#REF!</definedName>
    <definedName name="_emp21">#REF!</definedName>
    <definedName name="_xlnm._FilterDatabase" localSheetId="4" hidden="1">'Org structure'!$A$1:$D$184</definedName>
    <definedName name="_xlnm._FilterDatabase" localSheetId="41" hidden="1">'SB19'!$A$4:$R$293</definedName>
    <definedName name="_inf1" localSheetId="39">#REF!</definedName>
    <definedName name="_inf1" localSheetId="40">#REF!</definedName>
    <definedName name="_inf1">#REF!</definedName>
    <definedName name="_inf2" localSheetId="39">#REF!</definedName>
    <definedName name="_inf2" localSheetId="40">#REF!</definedName>
    <definedName name="_inf2">#REF!</definedName>
    <definedName name="_inf3" localSheetId="39">#REF!</definedName>
    <definedName name="_inf3" localSheetId="40">#REF!</definedName>
    <definedName name="_inf3">#REF!</definedName>
    <definedName name="_int04" localSheetId="39">#REF!</definedName>
    <definedName name="_int04" localSheetId="40">#REF!</definedName>
    <definedName name="_int04">#REF!</definedName>
    <definedName name="_int05" localSheetId="39">#REF!</definedName>
    <definedName name="_int05" localSheetId="40">#REF!</definedName>
    <definedName name="_int05">#REF!</definedName>
    <definedName name="_int06" localSheetId="40">#REF!</definedName>
    <definedName name="_int06">#REF!</definedName>
    <definedName name="_int07" localSheetId="40">#REF!</definedName>
    <definedName name="_int07">#REF!</definedName>
    <definedName name="_int08" localSheetId="40">#REF!</definedName>
    <definedName name="_int08">#REF!</definedName>
    <definedName name="_int09" localSheetId="40">#REF!</definedName>
    <definedName name="_int09">#REF!</definedName>
    <definedName name="_int10" localSheetId="40">#REF!</definedName>
    <definedName name="_int10">#REF!</definedName>
    <definedName name="_int11" localSheetId="40">#REF!</definedName>
    <definedName name="_int11">#REF!</definedName>
    <definedName name="_int12" localSheetId="40">#REF!</definedName>
    <definedName name="_int12">#REF!</definedName>
    <definedName name="_int13" localSheetId="40">#REF!</definedName>
    <definedName name="_int13">#REF!</definedName>
    <definedName name="_int14" localSheetId="40">#REF!</definedName>
    <definedName name="_int14">#REF!</definedName>
    <definedName name="_int15" localSheetId="40">#REF!</definedName>
    <definedName name="_int15">#REF!</definedName>
    <definedName name="_int16" localSheetId="40">#REF!</definedName>
    <definedName name="_int16">#REF!</definedName>
    <definedName name="_int17" localSheetId="40">#REF!</definedName>
    <definedName name="_int17">#REF!</definedName>
    <definedName name="_int18" localSheetId="40">#REF!</definedName>
    <definedName name="_int18">#REF!</definedName>
    <definedName name="_int19" localSheetId="40">#REF!</definedName>
    <definedName name="_int19">#REF!</definedName>
    <definedName name="_int20" localSheetId="40">#REF!</definedName>
    <definedName name="_int20">#REF!</definedName>
    <definedName name="_inv04" localSheetId="39">#REF!</definedName>
    <definedName name="_inv04" localSheetId="40">#REF!</definedName>
    <definedName name="_inv04">#REF!</definedName>
    <definedName name="_inv05" localSheetId="39">#REF!</definedName>
    <definedName name="_inv05" localSheetId="40">#REF!</definedName>
    <definedName name="_inv05">#REF!</definedName>
    <definedName name="_inv06" localSheetId="40">#REF!</definedName>
    <definedName name="_inv06">#REF!</definedName>
    <definedName name="_inv07" localSheetId="40">#REF!</definedName>
    <definedName name="_inv07">#REF!</definedName>
    <definedName name="_inv08" localSheetId="40">#REF!</definedName>
    <definedName name="_inv08">#REF!</definedName>
    <definedName name="_inv09" localSheetId="40">#REF!</definedName>
    <definedName name="_inv09">#REF!</definedName>
    <definedName name="_inv10" localSheetId="40">#REF!</definedName>
    <definedName name="_inv10">#REF!</definedName>
    <definedName name="_inv11" localSheetId="40">#REF!</definedName>
    <definedName name="_inv11">#REF!</definedName>
    <definedName name="_inv12" localSheetId="40">#REF!</definedName>
    <definedName name="_inv12">#REF!</definedName>
    <definedName name="_inv13" localSheetId="40">#REF!</definedName>
    <definedName name="_inv13">#REF!</definedName>
    <definedName name="_MEB1" localSheetId="5">'[1]Template names'!#REF!</definedName>
    <definedName name="_MEB1" localSheetId="4">'[2]Template names'!#REF!</definedName>
    <definedName name="_MEB1" localSheetId="39">'Template names'!#REF!</definedName>
    <definedName name="_MEB1" localSheetId="40">'Template names'!#REF!</definedName>
    <definedName name="_MEB1">'Template names'!#REF!</definedName>
    <definedName name="_MEB10" localSheetId="5">'[1]Template names'!#REF!</definedName>
    <definedName name="_MEB10" localSheetId="4">'[2]Template names'!#REF!</definedName>
    <definedName name="_MEB10" localSheetId="39">'Template names'!#REF!</definedName>
    <definedName name="_MEB10" localSheetId="40">'Template names'!#REF!</definedName>
    <definedName name="_MEB10">'Template names'!#REF!</definedName>
    <definedName name="_MEB11" localSheetId="5">'[1]Template names'!#REF!</definedName>
    <definedName name="_MEB11" localSheetId="4">'[2]Template names'!#REF!</definedName>
    <definedName name="_MEB11" localSheetId="39">'Template names'!#REF!</definedName>
    <definedName name="_MEB11" localSheetId="40">'Template names'!#REF!</definedName>
    <definedName name="_MEB11">'Template names'!#REF!</definedName>
    <definedName name="_MEB12" localSheetId="5">'[1]Template names'!#REF!</definedName>
    <definedName name="_MEB12" localSheetId="4">'[2]Template names'!#REF!</definedName>
    <definedName name="_MEB12" localSheetId="39">'Template names'!#REF!</definedName>
    <definedName name="_MEB12" localSheetId="40">'Template names'!#REF!</definedName>
    <definedName name="_MEB12">'Template names'!#REF!</definedName>
    <definedName name="_MEB2" localSheetId="5">'[1]Template names'!#REF!</definedName>
    <definedName name="_MEB2" localSheetId="4">'[2]Template names'!#REF!</definedName>
    <definedName name="_MEB2" localSheetId="39">'Template names'!#REF!</definedName>
    <definedName name="_MEB2" localSheetId="40">'Template names'!#REF!</definedName>
    <definedName name="_MEB2">'Template names'!#REF!</definedName>
    <definedName name="_MEB3" localSheetId="5">'[1]Template names'!#REF!</definedName>
    <definedName name="_MEB3" localSheetId="4">'[2]Template names'!#REF!</definedName>
    <definedName name="_MEB3" localSheetId="39">'Template names'!#REF!</definedName>
    <definedName name="_MEB3" localSheetId="40">'Template names'!#REF!</definedName>
    <definedName name="_MEB3">'Template names'!#REF!</definedName>
    <definedName name="_MEB4" localSheetId="5">'[1]Template names'!#REF!</definedName>
    <definedName name="_MEB4" localSheetId="4">'[2]Template names'!#REF!</definedName>
    <definedName name="_MEB4" localSheetId="39">'Template names'!#REF!</definedName>
    <definedName name="_MEB4" localSheetId="40">'Template names'!#REF!</definedName>
    <definedName name="_MEB4">'Template names'!#REF!</definedName>
    <definedName name="_MEB5" localSheetId="5">'[1]Template names'!#REF!</definedName>
    <definedName name="_MEB5" localSheetId="4">'[2]Template names'!#REF!</definedName>
    <definedName name="_MEB5" localSheetId="39">'Template names'!#REF!</definedName>
    <definedName name="_MEB5" localSheetId="40">'Template names'!#REF!</definedName>
    <definedName name="_MEB5">'Template names'!#REF!</definedName>
    <definedName name="_MEB6" localSheetId="5">'[1]Template names'!#REF!</definedName>
    <definedName name="_MEB6" localSheetId="4">'[2]Template names'!#REF!</definedName>
    <definedName name="_MEB6" localSheetId="39">'Template names'!#REF!</definedName>
    <definedName name="_MEB6" localSheetId="40">'Template names'!#REF!</definedName>
    <definedName name="_MEB6">'Template names'!#REF!</definedName>
    <definedName name="_MEB7" localSheetId="5">'[1]Template names'!#REF!</definedName>
    <definedName name="_MEB7" localSheetId="4">'[2]Template names'!#REF!</definedName>
    <definedName name="_MEB7" localSheetId="39">'Template names'!#REF!</definedName>
    <definedName name="_MEB7" localSheetId="40">'Template names'!#REF!</definedName>
    <definedName name="_MEB7">'Template names'!#REF!</definedName>
    <definedName name="_MEB8" localSheetId="5">'[1]Template names'!#REF!</definedName>
    <definedName name="_MEB8" localSheetId="4">'[2]Template names'!#REF!</definedName>
    <definedName name="_MEB8" localSheetId="39">'Template names'!#REF!</definedName>
    <definedName name="_MEB8" localSheetId="40">'Template names'!#REF!</definedName>
    <definedName name="_MEB8">'Template names'!#REF!</definedName>
    <definedName name="_MEB9" localSheetId="5">'[1]Template names'!#REF!</definedName>
    <definedName name="_MEB9" localSheetId="4">'[2]Template names'!#REF!</definedName>
    <definedName name="_MEB9" localSheetId="39">'Template names'!#REF!</definedName>
    <definedName name="_MEB9" localSheetId="40">'Template names'!#REF!</definedName>
    <definedName name="_MEB9">'Template names'!#REF!</definedName>
    <definedName name="_MER1" localSheetId="5">'[1]Template names'!#REF!</definedName>
    <definedName name="_MER1" localSheetId="4">'[2]Template names'!#REF!</definedName>
    <definedName name="_MER1" localSheetId="39">'Template names'!#REF!</definedName>
    <definedName name="_MER1" localSheetId="40">'Template names'!#REF!</definedName>
    <definedName name="_MER1">'Template names'!#REF!</definedName>
    <definedName name="_MER10" localSheetId="5">'[1]Template names'!#REF!</definedName>
    <definedName name="_MER10" localSheetId="4">'[2]Template names'!#REF!</definedName>
    <definedName name="_MER10" localSheetId="39">'Template names'!#REF!</definedName>
    <definedName name="_MER10" localSheetId="40">'Template names'!#REF!</definedName>
    <definedName name="_MER10">'Template names'!#REF!</definedName>
    <definedName name="_MER11" localSheetId="5">'[1]Template names'!#REF!</definedName>
    <definedName name="_MER11" localSheetId="4">'[2]Template names'!#REF!</definedName>
    <definedName name="_MER11" localSheetId="39">'Template names'!#REF!</definedName>
    <definedName name="_MER11" localSheetId="40">'Template names'!#REF!</definedName>
    <definedName name="_MER11">'Template names'!#REF!</definedName>
    <definedName name="_MER2" localSheetId="5">'[1]Template names'!#REF!</definedName>
    <definedName name="_MER2" localSheetId="4">'[2]Template names'!#REF!</definedName>
    <definedName name="_MER2" localSheetId="39">'Template names'!#REF!</definedName>
    <definedName name="_MER2" localSheetId="40">'Template names'!#REF!</definedName>
    <definedName name="_MER2">'Template names'!#REF!</definedName>
    <definedName name="_MER3" localSheetId="5">'[1]Template names'!#REF!</definedName>
    <definedName name="_MER3" localSheetId="4">'[2]Template names'!#REF!</definedName>
    <definedName name="_MER3" localSheetId="39">'Template names'!#REF!</definedName>
    <definedName name="_MER3" localSheetId="40">'Template names'!#REF!</definedName>
    <definedName name="_MER3">'Template names'!#REF!</definedName>
    <definedName name="_MER4" localSheetId="5">'[1]Template names'!#REF!</definedName>
    <definedName name="_MER4" localSheetId="4">'[2]Template names'!#REF!</definedName>
    <definedName name="_MER4" localSheetId="39">'Template names'!#REF!</definedName>
    <definedName name="_MER4" localSheetId="40">'Template names'!#REF!</definedName>
    <definedName name="_MER4">'Template names'!#REF!</definedName>
    <definedName name="_MER5" localSheetId="5">'[1]Template names'!#REF!</definedName>
    <definedName name="_MER5" localSheetId="4">'[2]Template names'!#REF!</definedName>
    <definedName name="_MER5" localSheetId="39">'Template names'!#REF!</definedName>
    <definedName name="_MER5" localSheetId="40">'Template names'!#REF!</definedName>
    <definedName name="_MER5">'Template names'!#REF!</definedName>
    <definedName name="_MER6" localSheetId="5">'[1]Template names'!#REF!</definedName>
    <definedName name="_MER6" localSheetId="4">'[2]Template names'!#REF!</definedName>
    <definedName name="_MER6" localSheetId="39">'Template names'!#REF!</definedName>
    <definedName name="_MER6" localSheetId="40">'Template names'!#REF!</definedName>
    <definedName name="_MER6">'Template names'!#REF!</definedName>
    <definedName name="_MER7" localSheetId="5">'[1]Template names'!#REF!</definedName>
    <definedName name="_MER7" localSheetId="4">'[2]Template names'!#REF!</definedName>
    <definedName name="_MER7" localSheetId="39">'Template names'!#REF!</definedName>
    <definedName name="_MER7" localSheetId="40">'Template names'!#REF!</definedName>
    <definedName name="_MER7">'Template names'!#REF!</definedName>
    <definedName name="_MER8" localSheetId="5">'[1]Template names'!#REF!</definedName>
    <definedName name="_MER8" localSheetId="4">'[2]Template names'!#REF!</definedName>
    <definedName name="_MER8" localSheetId="39">'Template names'!#REF!</definedName>
    <definedName name="_MER8" localSheetId="40">'Template names'!#REF!</definedName>
    <definedName name="_MER8">'Template names'!#REF!</definedName>
    <definedName name="_MER9" localSheetId="5">'[1]Template names'!#REF!</definedName>
    <definedName name="_MER9" localSheetId="4">'[2]Template names'!#REF!</definedName>
    <definedName name="_MER9" localSheetId="39">'Template names'!#REF!</definedName>
    <definedName name="_MER9" localSheetId="40">'Template names'!#REF!</definedName>
    <definedName name="_MER9">'Template names'!#REF!</definedName>
    <definedName name="_rat03" localSheetId="39">#REF!</definedName>
    <definedName name="_rat03" localSheetId="40">#REF!</definedName>
    <definedName name="_rat03">#REF!</definedName>
    <definedName name="_rat04" localSheetId="39">#REF!</definedName>
    <definedName name="_rat04" localSheetId="40">#REF!</definedName>
    <definedName name="_rat04">#REF!</definedName>
    <definedName name="_rat05" localSheetId="39">#REF!</definedName>
    <definedName name="_rat05" localSheetId="40">#REF!</definedName>
    <definedName name="_rat05">#REF!</definedName>
    <definedName name="_rat06" localSheetId="39">#REF!</definedName>
    <definedName name="_rat06" localSheetId="40">#REF!</definedName>
    <definedName name="_rat06">#REF!</definedName>
    <definedName name="_rat07" localSheetId="39">#REF!</definedName>
    <definedName name="_rat07" localSheetId="40">#REF!</definedName>
    <definedName name="_rat07">#REF!</definedName>
    <definedName name="_rat08" localSheetId="39">#REF!</definedName>
    <definedName name="_rat08" localSheetId="40">#REF!</definedName>
    <definedName name="_rat08">#REF!</definedName>
    <definedName name="_rat09" localSheetId="39">#REF!</definedName>
    <definedName name="_rat09" localSheetId="40">#REF!</definedName>
    <definedName name="_rat09">#REF!</definedName>
    <definedName name="_rat10" localSheetId="39">#REF!</definedName>
    <definedName name="_rat10" localSheetId="40">#REF!</definedName>
    <definedName name="_rat10">#REF!</definedName>
    <definedName name="_rat11" localSheetId="39">#REF!</definedName>
    <definedName name="_rat11" localSheetId="40">#REF!</definedName>
    <definedName name="_rat11">#REF!</definedName>
    <definedName name="_rat12" localSheetId="39">#REF!</definedName>
    <definedName name="_rat12" localSheetId="40">#REF!</definedName>
    <definedName name="_rat12">#REF!</definedName>
    <definedName name="_rat13" localSheetId="39">#REF!</definedName>
    <definedName name="_rat13" localSheetId="40">#REF!</definedName>
    <definedName name="_rat13">#REF!</definedName>
    <definedName name="_rgr05" localSheetId="39">#REF!</definedName>
    <definedName name="_rgr05" localSheetId="40">#REF!</definedName>
    <definedName name="_rgr05">#REF!</definedName>
    <definedName name="_rgr06" localSheetId="40">#REF!</definedName>
    <definedName name="_rgr06">#REF!</definedName>
    <definedName name="_rgr07" localSheetId="40">#REF!</definedName>
    <definedName name="_rgr07">#REF!</definedName>
    <definedName name="_rgr08" localSheetId="40">#REF!</definedName>
    <definedName name="_rgr08">#REF!</definedName>
    <definedName name="_rgr09" localSheetId="40">#REF!</definedName>
    <definedName name="_rgr09">#REF!</definedName>
    <definedName name="_rgr10" localSheetId="40">#REF!</definedName>
    <definedName name="_rgr10">#REF!</definedName>
    <definedName name="_rgr11" localSheetId="40">#REF!</definedName>
    <definedName name="_rgr11">#REF!</definedName>
    <definedName name="_rgr12" localSheetId="40">#REF!</definedName>
    <definedName name="_rgr12">#REF!</definedName>
    <definedName name="_rgr13" localSheetId="40">#REF!</definedName>
    <definedName name="_rgr13">#REF!</definedName>
    <definedName name="_rgr14" localSheetId="40">#REF!</definedName>
    <definedName name="_rgr14">#REF!</definedName>
    <definedName name="_rgr15" localSheetId="40">#REF!</definedName>
    <definedName name="_rgr15">#REF!</definedName>
    <definedName name="_rgr16" localSheetId="40">#REF!</definedName>
    <definedName name="_rgr16">#REF!</definedName>
    <definedName name="_rgr17" localSheetId="40">#REF!</definedName>
    <definedName name="_rgr17">#REF!</definedName>
    <definedName name="_rgr18" localSheetId="40">#REF!</definedName>
    <definedName name="_rgr18">#REF!</definedName>
    <definedName name="_rgr19" localSheetId="40">#REF!</definedName>
    <definedName name="_rgr19">#REF!</definedName>
    <definedName name="_rgr20" localSheetId="40">#REF!</definedName>
    <definedName name="_rgr20">#REF!</definedName>
    <definedName name="_rmc05" localSheetId="1">#REF!</definedName>
    <definedName name="_rmc05" localSheetId="39">#REF!</definedName>
    <definedName name="_rmc05" localSheetId="40">#REF!</definedName>
    <definedName name="_rmc05">#REF!</definedName>
    <definedName name="_rmc06" localSheetId="40">#REF!</definedName>
    <definedName name="_rmc06">#REF!</definedName>
    <definedName name="_rmc07" localSheetId="40">#REF!</definedName>
    <definedName name="_rmc07">#REF!</definedName>
    <definedName name="_rmc08" localSheetId="40">#REF!</definedName>
    <definedName name="_rmc08">#REF!</definedName>
    <definedName name="_rmc09" localSheetId="40">#REF!</definedName>
    <definedName name="_rmc09">#REF!</definedName>
    <definedName name="_rmc10" localSheetId="40">#REF!</definedName>
    <definedName name="_rmc10">#REF!</definedName>
    <definedName name="_rmc11" localSheetId="40">#REF!</definedName>
    <definedName name="_rmc11">#REF!</definedName>
    <definedName name="_rmc12" localSheetId="40">#REF!</definedName>
    <definedName name="_rmc12">#REF!</definedName>
    <definedName name="_rmc13" localSheetId="40">#REF!</definedName>
    <definedName name="_rmc13">#REF!</definedName>
    <definedName name="_rmc14" localSheetId="40">#REF!</definedName>
    <definedName name="_rmc14">#REF!</definedName>
    <definedName name="_rmc15" localSheetId="40">#REF!</definedName>
    <definedName name="_rmc15">#REF!</definedName>
    <definedName name="_rmc16" localSheetId="40">#REF!</definedName>
    <definedName name="_rmc16">#REF!</definedName>
    <definedName name="_rmc17" localSheetId="40">#REF!</definedName>
    <definedName name="_rmc17">#REF!</definedName>
    <definedName name="_rmc18" localSheetId="40">#REF!</definedName>
    <definedName name="_rmc18">#REF!</definedName>
    <definedName name="_rmc19" localSheetId="40">#REF!</definedName>
    <definedName name="_rmc19">#REF!</definedName>
    <definedName name="_rmc20" localSheetId="40">#REF!</definedName>
    <definedName name="_rmc20">#REF!</definedName>
    <definedName name="_rmc21" localSheetId="40">#REF!</definedName>
    <definedName name="_rmc21">#REF!</definedName>
    <definedName name="_Sch1" localSheetId="39">'[4]Template names'!#REF!</definedName>
    <definedName name="_Sch1" localSheetId="40">'[4]Template names'!#REF!</definedName>
    <definedName name="_Sch1">'[4]Template names'!#REF!</definedName>
    <definedName name="_Sch10" localSheetId="39">'[4]Template names'!#REF!</definedName>
    <definedName name="_Sch10" localSheetId="40">'[4]Template names'!#REF!</definedName>
    <definedName name="_Sch10">'[4]Template names'!#REF!</definedName>
    <definedName name="_sch11" localSheetId="39">'[4]Template names'!#REF!</definedName>
    <definedName name="_sch11" localSheetId="40">'[4]Template names'!#REF!</definedName>
    <definedName name="_sch11">'[4]Template names'!#REF!</definedName>
    <definedName name="_Sch2" localSheetId="39">'[4]Template names'!#REF!</definedName>
    <definedName name="_Sch2" localSheetId="40">'[4]Template names'!#REF!</definedName>
    <definedName name="_Sch2">'[4]Template names'!#REF!</definedName>
    <definedName name="_Sch3" localSheetId="39">'[4]Template names'!#REF!</definedName>
    <definedName name="_Sch3" localSheetId="40">'[4]Template names'!#REF!</definedName>
    <definedName name="_Sch3">'[4]Template names'!#REF!</definedName>
    <definedName name="_Sch4" localSheetId="39">'[4]Template names'!#REF!</definedName>
    <definedName name="_Sch4" localSheetId="40">'[4]Template names'!#REF!</definedName>
    <definedName name="_Sch4">'[4]Template names'!#REF!</definedName>
    <definedName name="_Sch5" localSheetId="39">'[4]Template names'!#REF!</definedName>
    <definedName name="_Sch5" localSheetId="40">'[4]Template names'!#REF!</definedName>
    <definedName name="_Sch5">'[4]Template names'!#REF!</definedName>
    <definedName name="_Sch6" localSheetId="39">'[4]Template names'!#REF!</definedName>
    <definedName name="_Sch6" localSheetId="40">'[4]Template names'!#REF!</definedName>
    <definedName name="_Sch6">'[4]Template names'!#REF!</definedName>
    <definedName name="_Sch7" localSheetId="39">'[4]Template names'!#REF!</definedName>
    <definedName name="_Sch7" localSheetId="40">'[4]Template names'!#REF!</definedName>
    <definedName name="_Sch7">'[4]Template names'!#REF!</definedName>
    <definedName name="_Sch8" localSheetId="39">'[4]Template names'!#REF!</definedName>
    <definedName name="_Sch8" localSheetId="40">'[4]Template names'!#REF!</definedName>
    <definedName name="_Sch8">'[4]Template names'!#REF!</definedName>
    <definedName name="_Sch9" localSheetId="39">'[4]Template names'!#REF!</definedName>
    <definedName name="_Sch9" localSheetId="40">'[4]Template names'!#REF!</definedName>
    <definedName name="_Sch9">'[4]Template names'!#REF!</definedName>
    <definedName name="_sdc05" localSheetId="1">#REF!</definedName>
    <definedName name="_sdc05" localSheetId="39">#REF!</definedName>
    <definedName name="_sdc05" localSheetId="40">#REF!</definedName>
    <definedName name="_sdc05">#REF!</definedName>
    <definedName name="_sdc06" localSheetId="40">#REF!</definedName>
    <definedName name="_sdc06">#REF!</definedName>
    <definedName name="_sdc07" localSheetId="40">#REF!</definedName>
    <definedName name="_sdc07">#REF!</definedName>
    <definedName name="_sdc08" localSheetId="40">#REF!</definedName>
    <definedName name="_sdc08">#REF!</definedName>
    <definedName name="_sdc09" localSheetId="40">#REF!</definedName>
    <definedName name="_sdc09">#REF!</definedName>
    <definedName name="_sdc10" localSheetId="40">#REF!</definedName>
    <definedName name="_sdc10">#REF!</definedName>
    <definedName name="_sdc11" localSheetId="40">#REF!</definedName>
    <definedName name="_sdc11">#REF!</definedName>
    <definedName name="_sdc12" localSheetId="40">#REF!</definedName>
    <definedName name="_sdc12">#REF!</definedName>
    <definedName name="_sdc13" localSheetId="40">#REF!</definedName>
    <definedName name="_sdc13">#REF!</definedName>
    <definedName name="_sdc14" localSheetId="40">#REF!</definedName>
    <definedName name="_sdc14">#REF!</definedName>
    <definedName name="_sdc15" localSheetId="40">#REF!</definedName>
    <definedName name="_sdc15">#REF!</definedName>
    <definedName name="_sdc16" localSheetId="40">#REF!</definedName>
    <definedName name="_sdc16">#REF!</definedName>
    <definedName name="_sdc17" localSheetId="40">#REF!</definedName>
    <definedName name="_sdc17">#REF!</definedName>
    <definedName name="_sdc18" localSheetId="40">#REF!</definedName>
    <definedName name="_sdc18">#REF!</definedName>
    <definedName name="_sdc19" localSheetId="40">#REF!</definedName>
    <definedName name="_sdc19">#REF!</definedName>
    <definedName name="_sdc20" localSheetId="40">#REF!</definedName>
    <definedName name="_sdc20">#REF!</definedName>
    <definedName name="_wc05" localSheetId="1">#REF!</definedName>
    <definedName name="_wc05" localSheetId="39">#REF!</definedName>
    <definedName name="_wc05" localSheetId="40">#REF!</definedName>
    <definedName name="_wc05">#REF!</definedName>
    <definedName name="_wc06" localSheetId="40">#REF!</definedName>
    <definedName name="_wc06">#REF!</definedName>
    <definedName name="_wc07" localSheetId="40">#REF!</definedName>
    <definedName name="_wc07">#REF!</definedName>
    <definedName name="_wc08" localSheetId="40">#REF!</definedName>
    <definedName name="_wc08">#REF!</definedName>
    <definedName name="_wc09" localSheetId="40">#REF!</definedName>
    <definedName name="_wc09">#REF!</definedName>
    <definedName name="_wc10" localSheetId="40">#REF!</definedName>
    <definedName name="_wc10">#REF!</definedName>
    <definedName name="_wc11" localSheetId="40">#REF!</definedName>
    <definedName name="_wc11">#REF!</definedName>
    <definedName name="_wc12" localSheetId="40">#REF!</definedName>
    <definedName name="_wc12">#REF!</definedName>
    <definedName name="_wc13" localSheetId="40">#REF!</definedName>
    <definedName name="_wc13">#REF!</definedName>
    <definedName name="_wc14" localSheetId="40">#REF!</definedName>
    <definedName name="_wc14">#REF!</definedName>
    <definedName name="_wc15" localSheetId="40">#REF!</definedName>
    <definedName name="_wc15">#REF!</definedName>
    <definedName name="_wc16" localSheetId="40">#REF!</definedName>
    <definedName name="_wc16">#REF!</definedName>
    <definedName name="_wc17" localSheetId="40">#REF!</definedName>
    <definedName name="_wc17">#REF!</definedName>
    <definedName name="_wc18" localSheetId="40">#REF!</definedName>
    <definedName name="_wc18">#REF!</definedName>
    <definedName name="_wc19" localSheetId="40">#REF!</definedName>
    <definedName name="_wc19">#REF!</definedName>
    <definedName name="_wc20" localSheetId="40">#REF!</definedName>
    <definedName name="_wc20">#REF!</definedName>
    <definedName name="ADJ10plus" localSheetId="5">'[1]Template names'!#REF!</definedName>
    <definedName name="ADJ10plus" localSheetId="4">'[2]Template names'!#REF!</definedName>
    <definedName name="ADJ10plus" localSheetId="39">'Template names'!#REF!</definedName>
    <definedName name="ADJ10plus" localSheetId="40">'Template names'!#REF!</definedName>
    <definedName name="ADJ10plus">'Template names'!#REF!</definedName>
    <definedName name="ADJ18A" localSheetId="5">'[1]Template names'!#REF!</definedName>
    <definedName name="ADJ18A" localSheetId="4">'[2]Template names'!#REF!</definedName>
    <definedName name="ADJ18A" localSheetId="39">'Template names'!#REF!</definedName>
    <definedName name="ADJ18A" localSheetId="40">'Template names'!#REF!</definedName>
    <definedName name="ADJ18A">'Template names'!#REF!</definedName>
    <definedName name="ADJ18B" localSheetId="5">'[1]Template names'!#REF!</definedName>
    <definedName name="ADJ18B" localSheetId="4">'[2]Template names'!#REF!</definedName>
    <definedName name="ADJ18B" localSheetId="39">'Template names'!#REF!</definedName>
    <definedName name="ADJ18B" localSheetId="40">'Template names'!#REF!</definedName>
    <definedName name="ADJ18B">'Template names'!#REF!</definedName>
    <definedName name="ADJ19B" localSheetId="5">'[1]Template names'!#REF!</definedName>
    <definedName name="ADJ19B" localSheetId="4">'[2]Template names'!#REF!</definedName>
    <definedName name="ADJ19B" localSheetId="39">'Template names'!#REF!</definedName>
    <definedName name="ADJ19B" localSheetId="40">'Template names'!#REF!</definedName>
    <definedName name="ADJ19B">'Template names'!#REF!</definedName>
    <definedName name="ADJ8A" localSheetId="5">'[1]Template names'!#REF!</definedName>
    <definedName name="ADJ8A" localSheetId="4">'[2]Template names'!#REF!</definedName>
    <definedName name="ADJ8A" localSheetId="39">'Template names'!#REF!</definedName>
    <definedName name="ADJ8A" localSheetId="40">'Template names'!#REF!</definedName>
    <definedName name="ADJ8A">'Template names'!#REF!</definedName>
    <definedName name="ADJ8B" localSheetId="5">'[1]Template names'!#REF!</definedName>
    <definedName name="ADJ8B" localSheetId="4">'[2]Template names'!#REF!</definedName>
    <definedName name="ADJ8B" localSheetId="39">'Template names'!#REF!</definedName>
    <definedName name="ADJ8B" localSheetId="40">'Template names'!#REF!</definedName>
    <definedName name="ADJ8B">'Template names'!#REF!</definedName>
    <definedName name="ADJB1">'Template names'!$B$77</definedName>
    <definedName name="ADJB10">'Template names'!$B$86</definedName>
    <definedName name="ADJB11">'Template names'!$B$87</definedName>
    <definedName name="ADJB12">'Template names'!$B$88</definedName>
    <definedName name="ADJB13">'Template names'!$B$89</definedName>
    <definedName name="ADJB14">'Template names'!$B$90</definedName>
    <definedName name="ADJB15">'Template names'!$B$91</definedName>
    <definedName name="ADJB16">'Template names'!$B$92</definedName>
    <definedName name="ADJB17">'Template names'!$B$93</definedName>
    <definedName name="ADJB18a">'Template names'!$B$94</definedName>
    <definedName name="ADJB18b">'Template names'!$B$95</definedName>
    <definedName name="ADJB18c">'Template names'!$B$96</definedName>
    <definedName name="ADJB18d">'Template names'!$B$97</definedName>
    <definedName name="ADJB18e">'Template names'!$F$98</definedName>
    <definedName name="ADJB19">'Template names'!$B$99</definedName>
    <definedName name="ADJB2">'Template names'!$B$78</definedName>
    <definedName name="ADJB20">'Template names'!$B$100</definedName>
    <definedName name="ADJB3">'Template names'!$B$79</definedName>
    <definedName name="ADJB4">'Template names'!$B$80</definedName>
    <definedName name="ADJB5">'Template names'!$B$81</definedName>
    <definedName name="ADJB6">'Template names'!$B$82</definedName>
    <definedName name="ADJB7">'Template names'!$B$83</definedName>
    <definedName name="ADJB8">'Template names'!$B$84</definedName>
    <definedName name="ADJB9">'Template names'!$B$85</definedName>
    <definedName name="ADJP1" localSheetId="5">'[1]Template names'!#REF!</definedName>
    <definedName name="ADJP1" localSheetId="4">'[2]Template names'!#REF!</definedName>
    <definedName name="ADJP1" localSheetId="39">'Template names'!#REF!</definedName>
    <definedName name="ADJP1" localSheetId="40">'Template names'!#REF!</definedName>
    <definedName name="ADJP1">'Template names'!#REF!</definedName>
    <definedName name="adjsum" localSheetId="5">'[1]Template names'!#REF!</definedName>
    <definedName name="adjsum" localSheetId="1">'Template names'!#REF!</definedName>
    <definedName name="adjsum" localSheetId="4">'[2]Template names'!#REF!</definedName>
    <definedName name="adjsum">'Template names'!$B$67</definedName>
    <definedName name="ADJTB1" localSheetId="5">'[1]Template names'!#REF!</definedName>
    <definedName name="ADJTB1" localSheetId="4">'[2]Template names'!#REF!</definedName>
    <definedName name="ADJTB1" localSheetId="39">'Template names'!#REF!</definedName>
    <definedName name="ADJTB1" localSheetId="40">'Template names'!#REF!</definedName>
    <definedName name="ADJTB1">'Template names'!#REF!</definedName>
    <definedName name="ADJXX" localSheetId="5">'[1]Template names'!#REF!</definedName>
    <definedName name="ADJXX" localSheetId="4">'[2]Template names'!#REF!</definedName>
    <definedName name="ADJXX" localSheetId="39">'Template names'!#REF!</definedName>
    <definedName name="ADJXX" localSheetId="40">'Template names'!#REF!</definedName>
    <definedName name="ADJXX">'Template names'!#REF!</definedName>
    <definedName name="Approve1" localSheetId="4">'[2]Template names'!$B$100</definedName>
    <definedName name="Approve1">'[1]Template names'!$B$100</definedName>
    <definedName name="Approve10" localSheetId="4">'[2]Template names'!$B$109</definedName>
    <definedName name="Approve10">'[1]Template names'!$B$109</definedName>
    <definedName name="Approve2" localSheetId="4">'[2]Template names'!$B$102</definedName>
    <definedName name="Approve2">'[1]Template names'!$B$102</definedName>
    <definedName name="Approve3" localSheetId="4">'[2]Template names'!$B$101</definedName>
    <definedName name="Approve3">'[1]Template names'!$B$101</definedName>
    <definedName name="Approve4" localSheetId="4">'[2]Template names'!$B$103</definedName>
    <definedName name="Approve4">'[1]Template names'!$B$103</definedName>
    <definedName name="Approve5" localSheetId="4">'[2]Template names'!$B$104</definedName>
    <definedName name="Approve5">'[1]Template names'!$B$104</definedName>
    <definedName name="Approve6" localSheetId="4">'[2]Template names'!$B$105</definedName>
    <definedName name="Approve6">'[1]Template names'!$B$105</definedName>
    <definedName name="Approve7" localSheetId="4">'[2]Template names'!$B$106</definedName>
    <definedName name="Approve7">'[1]Template names'!$B$106</definedName>
    <definedName name="Approve8" localSheetId="4">'[2]Template names'!$B$107</definedName>
    <definedName name="Approve8">'[1]Template names'!$B$107</definedName>
    <definedName name="Approve9" localSheetId="4">'[2]Template names'!$B$108</definedName>
    <definedName name="Approve9">'[1]Template names'!$B$108</definedName>
    <definedName name="Asset_Class">'Lookup and lists'!$R$17:$R$41</definedName>
    <definedName name="Asset_sub_class">'Lookup and lists'!$T$17:$T$125</definedName>
    <definedName name="avelife07" localSheetId="40">#REF!</definedName>
    <definedName name="avelife07">#REF!</definedName>
    <definedName name="avelife08" localSheetId="40">#REF!</definedName>
    <definedName name="avelife08">#REF!</definedName>
    <definedName name="avelife09" localSheetId="40">#REF!</definedName>
    <definedName name="avelife09">#REF!</definedName>
    <definedName name="avelife10" localSheetId="40">#REF!</definedName>
    <definedName name="avelife10">#REF!</definedName>
    <definedName name="avelife11" localSheetId="40">#REF!</definedName>
    <definedName name="avelife11">#REF!</definedName>
    <definedName name="avelife12" localSheetId="40">#REF!</definedName>
    <definedName name="avelife12">#REF!</definedName>
    <definedName name="avelife13" localSheetId="40">#REF!</definedName>
    <definedName name="avelife13">#REF!</definedName>
    <definedName name="balloon" localSheetId="39">#REF!</definedName>
    <definedName name="balloon" localSheetId="40">#REF!</definedName>
    <definedName name="balloon">#REF!</definedName>
    <definedName name="basedesc">'Template names'!$D$27:$D$27</definedName>
    <definedName name="Bus" localSheetId="39">#REF!</definedName>
    <definedName name="Bus" localSheetId="40">#REF!</definedName>
    <definedName name="Bus">#REF!</definedName>
    <definedName name="capexfactor" localSheetId="39">#REF!</definedName>
    <definedName name="capexfactor" localSheetId="40">#REF!</definedName>
    <definedName name="capexfactor">#REF!</definedName>
    <definedName name="capexlimit06" localSheetId="40">#REF!</definedName>
    <definedName name="capexlimit06">#REF!</definedName>
    <definedName name="capexlimit07" localSheetId="40">#REF!</definedName>
    <definedName name="capexlimit07">#REF!</definedName>
    <definedName name="capexlimit08" localSheetId="40">#REF!</definedName>
    <definedName name="capexlimit08">#REF!</definedName>
    <definedName name="capexlimit09" localSheetId="40">#REF!</definedName>
    <definedName name="capexlimit09">#REF!</definedName>
    <definedName name="capexrate04" localSheetId="39">#REF!</definedName>
    <definedName name="capexrate04" localSheetId="40">#REF!</definedName>
    <definedName name="capexrate04">#REF!</definedName>
    <definedName name="capexrate05" localSheetId="39">#REF!</definedName>
    <definedName name="capexrate05" localSheetId="40">#REF!</definedName>
    <definedName name="capexrate05">#REF!</definedName>
    <definedName name="capexrate06" localSheetId="40">#REF!</definedName>
    <definedName name="capexrate06">#REF!</definedName>
    <definedName name="capexrate07" localSheetId="40">#REF!</definedName>
    <definedName name="capexrate07">#REF!</definedName>
    <definedName name="capexrate08" localSheetId="40">#REF!</definedName>
    <definedName name="capexrate08">#REF!</definedName>
    <definedName name="capexrate09" localSheetId="40">#REF!</definedName>
    <definedName name="capexrate09">#REF!</definedName>
    <definedName name="capexrate10" localSheetId="40">#REF!</definedName>
    <definedName name="capexrate10">#REF!</definedName>
    <definedName name="capexrate11" localSheetId="40">#REF!</definedName>
    <definedName name="capexrate11">#REF!</definedName>
    <definedName name="capexrate12" localSheetId="40">#REF!</definedName>
    <definedName name="capexrate12">#REF!</definedName>
    <definedName name="capexrate13" localSheetId="40">#REF!</definedName>
    <definedName name="capexrate13">#REF!</definedName>
    <definedName name="capexrate14" localSheetId="40">#REF!</definedName>
    <definedName name="capexrate14">#REF!</definedName>
    <definedName name="capexrate15" localSheetId="40">#REF!</definedName>
    <definedName name="capexrate15">#REF!</definedName>
    <definedName name="capexrate16" localSheetId="40">#REF!</definedName>
    <definedName name="capexrate16">#REF!</definedName>
    <definedName name="capexrate17" localSheetId="40">#REF!</definedName>
    <definedName name="capexrate17">#REF!</definedName>
    <definedName name="capexrate18" localSheetId="40">#REF!</definedName>
    <definedName name="capexrate18">#REF!</definedName>
    <definedName name="capexrate19" localSheetId="40">#REF!</definedName>
    <definedName name="capexrate19">#REF!</definedName>
    <definedName name="capexrate20" localSheetId="40">#REF!</definedName>
    <definedName name="capexrate20">#REF!</definedName>
    <definedName name="capexrate21" localSheetId="40">#REF!</definedName>
    <definedName name="capexrate21">#REF!</definedName>
    <definedName name="Capytd" localSheetId="40">#REF!</definedName>
    <definedName name="Capytd">#REF!</definedName>
    <definedName name="Cash1">'Template names'!$B$59</definedName>
    <definedName name="Cash2">'Template names'!$B$60</definedName>
    <definedName name="cfactor08" localSheetId="40">#REF!</definedName>
    <definedName name="cfactor08">#REF!</definedName>
    <definedName name="cfactor09" localSheetId="40">#REF!</definedName>
    <definedName name="cfactor09">#REF!</definedName>
    <definedName name="cfactor10" localSheetId="40">#REF!</definedName>
    <definedName name="cfactor10">#REF!</definedName>
    <definedName name="cfactor11" localSheetId="40">#REF!</definedName>
    <definedName name="cfactor11">#REF!</definedName>
    <definedName name="cfactor12" localSheetId="40">#REF!</definedName>
    <definedName name="cfactor12">#REF!</definedName>
    <definedName name="cfactor13" localSheetId="40">#REF!</definedName>
    <definedName name="cfactor13">#REF!</definedName>
    <definedName name="Consolques" localSheetId="5">'[1]Template names'!$A$95</definedName>
    <definedName name="Consolques" localSheetId="4">'[2]Template names'!$A$95</definedName>
    <definedName name="Consolques">'Template names'!$A$65</definedName>
    <definedName name="cpix04" localSheetId="39">#REF!</definedName>
    <definedName name="cpix04" localSheetId="40">#REF!</definedName>
    <definedName name="cpix04">#REF!</definedName>
    <definedName name="cpix05" localSheetId="39">#REF!</definedName>
    <definedName name="cpix05" localSheetId="40">#REF!</definedName>
    <definedName name="cpix05">#REF!</definedName>
    <definedName name="cpix06" localSheetId="40">#REF!</definedName>
    <definedName name="cpix06">#REF!</definedName>
    <definedName name="cpix07" localSheetId="40">#REF!</definedName>
    <definedName name="cpix07">#REF!</definedName>
    <definedName name="cpix08" localSheetId="40">#REF!</definedName>
    <definedName name="cpix08">#REF!</definedName>
    <definedName name="cpix09" localSheetId="40">#REF!</definedName>
    <definedName name="cpix09">#REF!</definedName>
    <definedName name="cpix10" localSheetId="40">#REF!</definedName>
    <definedName name="cpix10">#REF!</definedName>
    <definedName name="cpix11" localSheetId="40">#REF!</definedName>
    <definedName name="cpix11">#REF!</definedName>
    <definedName name="cpix12" localSheetId="40">#REF!</definedName>
    <definedName name="cpix12">#REF!</definedName>
    <definedName name="cpix13" localSheetId="40">#REF!</definedName>
    <definedName name="cpix13">#REF!</definedName>
    <definedName name="cpix14" localSheetId="40">#REF!</definedName>
    <definedName name="cpix14">#REF!</definedName>
    <definedName name="cpix15" localSheetId="40">#REF!</definedName>
    <definedName name="cpix15">#REF!</definedName>
    <definedName name="cpix16" localSheetId="40">#REF!</definedName>
    <definedName name="cpix16">#REF!</definedName>
    <definedName name="cpix17" localSheetId="40">#REF!</definedName>
    <definedName name="cpix17">#REF!</definedName>
    <definedName name="cpix18" localSheetId="40">#REF!</definedName>
    <definedName name="cpix18">#REF!</definedName>
    <definedName name="cpix19" localSheetId="40">#REF!</definedName>
    <definedName name="cpix19">#REF!</definedName>
    <definedName name="cpix20" localSheetId="40">#REF!</definedName>
    <definedName name="cpix20">#REF!</definedName>
    <definedName name="cpix21" localSheetId="40">#REF!</definedName>
    <definedName name="cpix21">#REF!</definedName>
    <definedName name="credit06" localSheetId="39">#REF!</definedName>
    <definedName name="credit06" localSheetId="40">#REF!</definedName>
    <definedName name="credit06">#REF!</definedName>
    <definedName name="date" localSheetId="5">[5]Data!$B$2</definedName>
    <definedName name="Date" localSheetId="1">Instructions!$X$10</definedName>
    <definedName name="date" localSheetId="4">[5]Data!$B$2</definedName>
    <definedName name="Date">Instructions!$X$10</definedName>
    <definedName name="debt03" localSheetId="39">#REF!</definedName>
    <definedName name="debt03" localSheetId="40">#REF!</definedName>
    <definedName name="debt03">#REF!</definedName>
    <definedName name="debt04" localSheetId="39">#REF!</definedName>
    <definedName name="debt04" localSheetId="40">#REF!</definedName>
    <definedName name="debt04">#REF!</definedName>
    <definedName name="debt05" localSheetId="39">#REF!</definedName>
    <definedName name="debt05" localSheetId="40">#REF!</definedName>
    <definedName name="debt05">#REF!</definedName>
    <definedName name="debt06" localSheetId="40">#REF!</definedName>
    <definedName name="debt06">#REF!</definedName>
    <definedName name="debt07" localSheetId="40">#REF!</definedName>
    <definedName name="debt07">#REF!</definedName>
    <definedName name="debt08" localSheetId="40">#REF!</definedName>
    <definedName name="debt08">#REF!</definedName>
    <definedName name="debt09" localSheetId="40">#REF!</definedName>
    <definedName name="debt09">#REF!</definedName>
    <definedName name="debt10" localSheetId="40">#REF!</definedName>
    <definedName name="debt10">#REF!</definedName>
    <definedName name="debt11" localSheetId="40">#REF!</definedName>
    <definedName name="debt11">#REF!</definedName>
    <definedName name="debt12" localSheetId="40">#REF!</definedName>
    <definedName name="debt12">#REF!</definedName>
    <definedName name="debt13" localSheetId="40">#REF!</definedName>
    <definedName name="debt13">#REF!</definedName>
    <definedName name="debt14" localSheetId="40">#REF!</definedName>
    <definedName name="debt14">#REF!</definedName>
    <definedName name="debt15" localSheetId="40">#REF!</definedName>
    <definedName name="debt15">#REF!</definedName>
    <definedName name="debt16" localSheetId="40">#REF!</definedName>
    <definedName name="debt16">#REF!</definedName>
    <definedName name="debt17" localSheetId="40">#REF!</definedName>
    <definedName name="debt17">#REF!</definedName>
    <definedName name="debt18" localSheetId="40">#REF!</definedName>
    <definedName name="debt18">#REF!</definedName>
    <definedName name="debt19" localSheetId="40">#REF!</definedName>
    <definedName name="debt19">#REF!</definedName>
    <definedName name="debt20" localSheetId="40">#REF!</definedName>
    <definedName name="debt20">#REF!</definedName>
    <definedName name="debt21" localSheetId="40">#REF!</definedName>
    <definedName name="debt21">#REF!</definedName>
    <definedName name="debtrev04" localSheetId="39">#REF!</definedName>
    <definedName name="debtrev04" localSheetId="40">#REF!</definedName>
    <definedName name="debtrev04">#REF!</definedName>
    <definedName name="debtrev05" localSheetId="39">#REF!</definedName>
    <definedName name="debtrev05" localSheetId="40">#REF!</definedName>
    <definedName name="debtrev05">#REF!</definedName>
    <definedName name="debtrev06" localSheetId="40">#REF!</definedName>
    <definedName name="debtrev06">#REF!</definedName>
    <definedName name="debtrev07" localSheetId="40">#REF!</definedName>
    <definedName name="debtrev07">#REF!</definedName>
    <definedName name="debtrev08" localSheetId="40">#REF!</definedName>
    <definedName name="debtrev08">#REF!</definedName>
    <definedName name="debtrev09" localSheetId="40">#REF!</definedName>
    <definedName name="debtrev09">#REF!</definedName>
    <definedName name="debtrev10" localSheetId="40">#REF!</definedName>
    <definedName name="debtrev10">#REF!</definedName>
    <definedName name="debtrev11" localSheetId="40">#REF!</definedName>
    <definedName name="debtrev11">#REF!</definedName>
    <definedName name="debtrev12" localSheetId="40">#REF!</definedName>
    <definedName name="debtrev12">#REF!</definedName>
    <definedName name="debtrev13" localSheetId="40">#REF!</definedName>
    <definedName name="debtrev13">#REF!</definedName>
    <definedName name="debtrev14" localSheetId="40">#REF!</definedName>
    <definedName name="debtrev14">#REF!</definedName>
    <definedName name="debtrev15" localSheetId="40">#REF!</definedName>
    <definedName name="debtrev15">#REF!</definedName>
    <definedName name="debtrev16" localSheetId="40">#REF!</definedName>
    <definedName name="debtrev16">#REF!</definedName>
    <definedName name="debtrev17" localSheetId="40">#REF!</definedName>
    <definedName name="debtrev17">#REF!</definedName>
    <definedName name="debtrev18" localSheetId="40">#REF!</definedName>
    <definedName name="debtrev18">#REF!</definedName>
    <definedName name="debtrev19" localSheetId="40">#REF!</definedName>
    <definedName name="debtrev19">#REF!</definedName>
    <definedName name="debtrev20" localSheetId="40">#REF!</definedName>
    <definedName name="debtrev20">#REF!</definedName>
    <definedName name="debtrev21" localSheetId="40">#REF!</definedName>
    <definedName name="debtrev21">#REF!</definedName>
    <definedName name="desc" localSheetId="5">'[1]Template names'!$B$30</definedName>
    <definedName name="desc" localSheetId="4">'[2]Template names'!$B$30</definedName>
    <definedName name="desc">'Template names'!$B$19</definedName>
    <definedName name="dfratio03" localSheetId="40">#REF!</definedName>
    <definedName name="dfratio03">#REF!</definedName>
    <definedName name="dfratio04" localSheetId="40">#REF!</definedName>
    <definedName name="dfratio04">#REF!</definedName>
    <definedName name="dfratio05" localSheetId="40">#REF!</definedName>
    <definedName name="dfratio05">#REF!</definedName>
    <definedName name="dfratio06" localSheetId="40">#REF!</definedName>
    <definedName name="dfratio06">#REF!</definedName>
    <definedName name="dfratioadj04" localSheetId="40">#REF!</definedName>
    <definedName name="dfratioadj04">#REF!</definedName>
    <definedName name="dfration02" localSheetId="40">#REF!</definedName>
    <definedName name="dfration02">#REF!</definedName>
    <definedName name="ecchoice" localSheetId="39">#REF!</definedName>
    <definedName name="ecchoice" localSheetId="40">#REF!</definedName>
    <definedName name="ecchoice">#REF!</definedName>
    <definedName name="elec05" localSheetId="39">#REF!</definedName>
    <definedName name="elec05" localSheetId="40">#REF!</definedName>
    <definedName name="elec05">#REF!</definedName>
    <definedName name="elec06" localSheetId="40">#REF!</definedName>
    <definedName name="elec06">#REF!</definedName>
    <definedName name="elec07" localSheetId="40">#REF!</definedName>
    <definedName name="elec07">#REF!</definedName>
    <definedName name="elec08" localSheetId="40">#REF!</definedName>
    <definedName name="elec08">#REF!</definedName>
    <definedName name="elec09" localSheetId="40">#REF!</definedName>
    <definedName name="elec09">#REF!</definedName>
    <definedName name="elec10" localSheetId="40">#REF!</definedName>
    <definedName name="elec10">#REF!</definedName>
    <definedName name="elec11" localSheetId="40">#REF!</definedName>
    <definedName name="elec11">#REF!</definedName>
    <definedName name="elec12" localSheetId="40">#REF!</definedName>
    <definedName name="elec12">#REF!</definedName>
    <definedName name="elec13" localSheetId="40">#REF!</definedName>
    <definedName name="elec13">#REF!</definedName>
    <definedName name="elecbulk06" localSheetId="40">#REF!</definedName>
    <definedName name="elecbulk06">#REF!</definedName>
    <definedName name="elecextra" localSheetId="40">#REF!</definedName>
    <definedName name="elecextra">#REF!</definedName>
    <definedName name="elecrev06" localSheetId="40">#REF!</definedName>
    <definedName name="elecrev06">#REF!</definedName>
    <definedName name="elecrev07" localSheetId="40">#REF!</definedName>
    <definedName name="elecrev07">#REF!</definedName>
    <definedName name="elecrev08" localSheetId="40">#REF!</definedName>
    <definedName name="elecrev08">#REF!</definedName>
    <definedName name="elecrev09" localSheetId="40">#REF!</definedName>
    <definedName name="elecrev09">#REF!</definedName>
    <definedName name="elecrev10" localSheetId="40">#REF!</definedName>
    <definedName name="elecrev10">#REF!</definedName>
    <definedName name="elecrev11" localSheetId="40">#REF!</definedName>
    <definedName name="elecrev11">#REF!</definedName>
    <definedName name="elecrev12" localSheetId="40">#REF!</definedName>
    <definedName name="elecrev12">#REF!</definedName>
    <definedName name="elecrev13" localSheetId="40">#REF!</definedName>
    <definedName name="elecrev13">#REF!</definedName>
    <definedName name="elecrev14" localSheetId="40">#REF!</definedName>
    <definedName name="elecrev14">#REF!</definedName>
    <definedName name="elecrev15" localSheetId="40">#REF!</definedName>
    <definedName name="elecrev15">#REF!</definedName>
    <definedName name="elecrev16" localSheetId="40">#REF!</definedName>
    <definedName name="elecrev16">#REF!</definedName>
    <definedName name="elecrev17" localSheetId="40">#REF!</definedName>
    <definedName name="elecrev17">#REF!</definedName>
    <definedName name="elecrev18" localSheetId="40">#REF!</definedName>
    <definedName name="elecrev18">#REF!</definedName>
    <definedName name="elecrev19" localSheetId="40">#REF!</definedName>
    <definedName name="elecrev19">#REF!</definedName>
    <definedName name="elecrev20" localSheetId="40">#REF!</definedName>
    <definedName name="elecrev20">#REF!</definedName>
    <definedName name="elecrev21" localSheetId="40">#REF!</definedName>
    <definedName name="elecrev21">#REF!</definedName>
    <definedName name="EOYcapex" localSheetId="40">#REF!</definedName>
    <definedName name="EOYcapex">#REF!</definedName>
    <definedName name="eskom07" localSheetId="39">#REF!</definedName>
    <definedName name="eskom07" localSheetId="40">#REF!</definedName>
    <definedName name="eskom07">#REF!</definedName>
    <definedName name="FinYear" localSheetId="1">Instructions!$X$38</definedName>
    <definedName name="FinYear" localSheetId="4">[2]Instructions!$X$36</definedName>
    <definedName name="FinYear">[1]Instructions!$X$36</definedName>
    <definedName name="finyears" localSheetId="39">#REF!</definedName>
    <definedName name="finyears" localSheetId="40">#REF!</definedName>
    <definedName name="finyears">#REF!</definedName>
    <definedName name="GrantNatCapex" localSheetId="4">'[2]Lookup and lists'!$AB$2:$AB$9</definedName>
    <definedName name="GrantNatCapex">'[1]Lookup and lists'!$AB$2:$AB$6</definedName>
    <definedName name="GrantNatOpex" localSheetId="4">'[2]Lookup and lists'!$Z$2:$Z$13</definedName>
    <definedName name="GrantNatOpex">'[1]Lookup and lists'!$Z$2:$Z$8</definedName>
    <definedName name="GrantProvOpex" localSheetId="4">'[2]Lookup and lists'!$AA$2:$AA$6</definedName>
    <definedName name="GrantProvOpex">'[1]Lookup and lists'!$AA$2:$AA$6</definedName>
    <definedName name="Head1" localSheetId="5">'[1]Template names'!$B$2</definedName>
    <definedName name="Head1" localSheetId="4">'[2]Template names'!$B$2</definedName>
    <definedName name="Head1">'Template names'!$B$2</definedName>
    <definedName name="Head10" localSheetId="5">'[1]Template names'!$B$16</definedName>
    <definedName name="Head10" localSheetId="4">'[2]Template names'!$B$16</definedName>
    <definedName name="Head10">'Template names'!$B$17</definedName>
    <definedName name="Head11" localSheetId="5">'[1]Template names'!$B$17</definedName>
    <definedName name="Head11" localSheetId="4">'[2]Template names'!$B$17</definedName>
    <definedName name="Head11">'Template names'!$B$18</definedName>
    <definedName name="Head12" localSheetId="4">'[2]Template names'!$B$18</definedName>
    <definedName name="Head12">'[1]Template names'!$B$18</definedName>
    <definedName name="Head13" localSheetId="4">'[2]Template names'!$B$19</definedName>
    <definedName name="Head13">'[1]Template names'!$B$19</definedName>
    <definedName name="Head14" localSheetId="4">'[2]Template names'!$B$20</definedName>
    <definedName name="Head14">'[1]Template names'!$B$20</definedName>
    <definedName name="Head15" localSheetId="4">'[2]Template names'!$B$21</definedName>
    <definedName name="Head15">'[1]Template names'!$B$21</definedName>
    <definedName name="Head16" localSheetId="4">'[2]Template names'!$B$22</definedName>
    <definedName name="Head16">'[1]Template names'!$B$22</definedName>
    <definedName name="Head17" localSheetId="4">'[2]Template names'!$B$23</definedName>
    <definedName name="Head17">'[1]Template names'!$B$23</definedName>
    <definedName name="Head18" localSheetId="4">'[2]Template names'!$B$24</definedName>
    <definedName name="Head18">'[1]Template names'!$B$24</definedName>
    <definedName name="Head19" localSheetId="4">'[2]Template names'!$B$25</definedName>
    <definedName name="Head19">'[1]Template names'!$B$25</definedName>
    <definedName name="head1A" localSheetId="5">'[1]Template names'!$B$3</definedName>
    <definedName name="head1A" localSheetId="4">'[2]Template names'!$B$3</definedName>
    <definedName name="Head1A">'Template names'!$B$3</definedName>
    <definedName name="head1b" localSheetId="5">'[1]Template names'!$B$4</definedName>
    <definedName name="head1b" localSheetId="4">'[2]Template names'!$B$4</definedName>
    <definedName name="Head1B">'Template names'!$B$4</definedName>
    <definedName name="Head2" localSheetId="5">'[1]Template names'!$B$5</definedName>
    <definedName name="Head2" localSheetId="4">'[2]Template names'!$B$5</definedName>
    <definedName name="Head2">'Template names'!$B$5</definedName>
    <definedName name="Head20" localSheetId="4">'[2]Template names'!$B$26</definedName>
    <definedName name="Head20">'[1]Template names'!$B$26</definedName>
    <definedName name="Head21" localSheetId="4">'[2]Template names'!$B$27</definedName>
    <definedName name="Head21">'[1]Template names'!$B$27</definedName>
    <definedName name="Head22" localSheetId="4">'[2]Template names'!$B$28</definedName>
    <definedName name="Head22">'[1]Template names'!$B$28</definedName>
    <definedName name="Head23" localSheetId="4">'[2]Template names'!$B$29</definedName>
    <definedName name="Head23">'[1]Template names'!$B$29</definedName>
    <definedName name="Head24">'Template names'!$B$19</definedName>
    <definedName name="head27" localSheetId="5">'[1]Template names'!$B$33</definedName>
    <definedName name="head27" localSheetId="4">'[2]Template names'!$B$33</definedName>
    <definedName name="head27">'Template names'!$B$21</definedName>
    <definedName name="head27a" localSheetId="5">'[1]Template names'!$B$34</definedName>
    <definedName name="head27a" localSheetId="4">'[2]Template names'!$B$34</definedName>
    <definedName name="head27a">'Template names'!$B$22</definedName>
    <definedName name="Head29">'Template names'!$B$24</definedName>
    <definedName name="Head2A">'Template names'!$B$6</definedName>
    <definedName name="Head2B" localSheetId="39">'[4]Template names'!#REF!</definedName>
    <definedName name="Head2B" localSheetId="40">'[4]Template names'!#REF!</definedName>
    <definedName name="Head2B">'[4]Template names'!#REF!</definedName>
    <definedName name="Head3" localSheetId="5">'[1]Template names'!$B$7</definedName>
    <definedName name="Head3" localSheetId="4">'[2]Template names'!$B$7</definedName>
    <definedName name="Head3">'Template names'!$B$7</definedName>
    <definedName name="Head30">'Template names'!$B$25</definedName>
    <definedName name="Head31">'Template names'!$B$26</definedName>
    <definedName name="Head32">'Template names'!$B$27</definedName>
    <definedName name="Head33">'Template names'!$B$28</definedName>
    <definedName name="Head34">'Template names'!$B$29</definedName>
    <definedName name="Head35">'Template names'!$B$30</definedName>
    <definedName name="Head36">'Template names'!$B$31</definedName>
    <definedName name="Head37">'Template names'!$B$32</definedName>
    <definedName name="Head38">'Template names'!$B$33</definedName>
    <definedName name="Head39">'Template names'!$B$34</definedName>
    <definedName name="Head3a">'Template names'!$B$8</definedName>
    <definedName name="Head4" localSheetId="5">'[1]Template names'!$B$8</definedName>
    <definedName name="Head4" localSheetId="4">'[2]Template names'!$B$8</definedName>
    <definedName name="Head4">'Template names'!$B$9</definedName>
    <definedName name="Head40">'Template names'!$B$35</definedName>
    <definedName name="Head41">'Template names'!$B$36</definedName>
    <definedName name="Head42">'Template names'!$B$37</definedName>
    <definedName name="Head43">'Template names'!$B$38</definedName>
    <definedName name="Head44" localSheetId="5">'[1]Template names'!$B$51</definedName>
    <definedName name="Head44" localSheetId="4">'[2]Template names'!$B$51</definedName>
    <definedName name="Head44">'Template names'!$B$39</definedName>
    <definedName name="Head45" localSheetId="5">'[1]Template names'!$B$52</definedName>
    <definedName name="Head45" localSheetId="4">'[2]Template names'!$B$52</definedName>
    <definedName name="Head45">'Template names'!$B$40</definedName>
    <definedName name="head46">'Template names'!$B$41</definedName>
    <definedName name="Head47" localSheetId="5">'[1]Template names'!$B$54</definedName>
    <definedName name="Head47" localSheetId="4">'[2]Template names'!$B$54</definedName>
    <definedName name="Head47">'Template names'!$B$42</definedName>
    <definedName name="Head48" localSheetId="5">'[1]Template names'!$B$55</definedName>
    <definedName name="Head48" localSheetId="4">'[2]Template names'!$B$55</definedName>
    <definedName name="Head48">'Template names'!$B$43</definedName>
    <definedName name="Head49">'Template names'!$B$44</definedName>
    <definedName name="Head5" localSheetId="5">'[1]Template names'!$B$9</definedName>
    <definedName name="Head5" localSheetId="4">'[2]Template names'!$B$9</definedName>
    <definedName name="Head5">'Template names'!$B$10</definedName>
    <definedName name="Head50">'Template names'!$B$45</definedName>
    <definedName name="Head51">'Template names'!$B$46</definedName>
    <definedName name="Head52">'Template names'!$B$47</definedName>
    <definedName name="Head53">'Template names'!$B$48</definedName>
    <definedName name="Head54">'Template names'!$B$49</definedName>
    <definedName name="Head55">'Template names'!$B$50</definedName>
    <definedName name="Head56">'Template names'!$B$51</definedName>
    <definedName name="Head57">'Template names'!$B$52</definedName>
    <definedName name="Head58">'Template names'!$B$53</definedName>
    <definedName name="Head59">'Template names'!$B$54</definedName>
    <definedName name="Head5A" localSheetId="5">'[1]Template names'!$B$10</definedName>
    <definedName name="Head5A" localSheetId="4">'[2]Template names'!$B$10</definedName>
    <definedName name="Head5A">'Template names'!$B$11</definedName>
    <definedName name="Head5b" localSheetId="5">'[1]Template names'!$B$11</definedName>
    <definedName name="Head5b" localSheetId="4">'[2]Template names'!$B$11</definedName>
    <definedName name="Head5b">'Template names'!$B$12</definedName>
    <definedName name="Head6" localSheetId="5">'[1]Template names'!$B$12</definedName>
    <definedName name="Head6" localSheetId="4">'[2]Template names'!$B$12</definedName>
    <definedName name="Head6">'Template names'!$B$13</definedName>
    <definedName name="Head7" localSheetId="5">'[1]Template names'!$B$13</definedName>
    <definedName name="Head7" localSheetId="4">'[2]Template names'!$B$13</definedName>
    <definedName name="Head7">'Template names'!$B$14</definedName>
    <definedName name="Head8" localSheetId="5">'[1]Template names'!$B$14</definedName>
    <definedName name="Head8" localSheetId="4">'[2]Template names'!$B$14</definedName>
    <definedName name="Head8">'Template names'!$B$15</definedName>
    <definedName name="Head9" localSheetId="5">'[1]Template names'!$B$15</definedName>
    <definedName name="Head9" localSheetId="4">'[2]Template names'!$B$15</definedName>
    <definedName name="Head9">'Template names'!$B$16</definedName>
    <definedName name="Headings" localSheetId="5">'[1]Lookup and lists'!$A$1:$O$24</definedName>
    <definedName name="Headings" localSheetId="4">'[2]Lookup and lists'!$A$1:$O$24</definedName>
    <definedName name="Headings">'Lookup and lists'!$B$1:$O$10</definedName>
    <definedName name="hhgr05" localSheetId="39">#REF!</definedName>
    <definedName name="hhgr05" localSheetId="40">#REF!</definedName>
    <definedName name="hhgr05">#REF!</definedName>
    <definedName name="hhgr06" localSheetId="40">#REF!</definedName>
    <definedName name="hhgr06">#REF!</definedName>
    <definedName name="hhgr07" localSheetId="40">#REF!</definedName>
    <definedName name="hhgr07">#REF!</definedName>
    <definedName name="hhgr08" localSheetId="40">#REF!</definedName>
    <definedName name="hhgr08">#REF!</definedName>
    <definedName name="hhgr09" localSheetId="40">#REF!</definedName>
    <definedName name="hhgr09">#REF!</definedName>
    <definedName name="hhgr10" localSheetId="40">#REF!</definedName>
    <definedName name="hhgr10">#REF!</definedName>
    <definedName name="hhgr11" localSheetId="40">#REF!</definedName>
    <definedName name="hhgr11">#REF!</definedName>
    <definedName name="hhgr12" localSheetId="40">#REF!</definedName>
    <definedName name="hhgr12">#REF!</definedName>
    <definedName name="hhgr13" localSheetId="40">#REF!</definedName>
    <definedName name="hhgr13">#REF!</definedName>
    <definedName name="hhgr14" localSheetId="40">#REF!</definedName>
    <definedName name="hhgr14">#REF!</definedName>
    <definedName name="hhgr15" localSheetId="40">#REF!</definedName>
    <definedName name="hhgr15">#REF!</definedName>
    <definedName name="hhgr16" localSheetId="40">#REF!</definedName>
    <definedName name="hhgr16">#REF!</definedName>
    <definedName name="hhgr17" localSheetId="40">#REF!</definedName>
    <definedName name="hhgr17">#REF!</definedName>
    <definedName name="hhgr18" localSheetId="40">#REF!</definedName>
    <definedName name="hhgr18">#REF!</definedName>
    <definedName name="hhgr19" localSheetId="40">#REF!</definedName>
    <definedName name="hhgr19">#REF!</definedName>
    <definedName name="hhgr20" localSheetId="40">#REF!</definedName>
    <definedName name="hhgr20">#REF!</definedName>
    <definedName name="hhgr21" localSheetId="40">#REF!</definedName>
    <definedName name="hhgr21">#REF!</definedName>
    <definedName name="incentive" localSheetId="39">#REF!</definedName>
    <definedName name="incentive" localSheetId="40">#REF!</definedName>
    <definedName name="incentive">#REF!</definedName>
    <definedName name="infra" localSheetId="40">#REF!</definedName>
    <definedName name="infra">#REF!</definedName>
    <definedName name="Infrarenewal" localSheetId="40">#REF!</definedName>
    <definedName name="Infrarenewal">#REF!</definedName>
    <definedName name="infrastratnum" localSheetId="40">#REF!</definedName>
    <definedName name="infrastratnum">#REF!</definedName>
    <definedName name="Instructions" localSheetId="1">#REF!</definedName>
    <definedName name="Instructions" localSheetId="40">#REF!</definedName>
    <definedName name="Instructions">#REF!</definedName>
    <definedName name="inventory" localSheetId="39">#REF!</definedName>
    <definedName name="inventory" localSheetId="40">#REF!</definedName>
    <definedName name="inventory">#REF!</definedName>
    <definedName name="IUDF">'Lookup and lists'!$U$17:$U$20</definedName>
    <definedName name="List1" localSheetId="4">'[2]Lookup and lists'!$Q$2:$Q$4</definedName>
    <definedName name="List1">'[1]Lookup and lists'!$Q$2:$Q$4</definedName>
    <definedName name="List2" localSheetId="4">'[2]Lookup and lists'!$R$2:$R$8</definedName>
    <definedName name="List2">'[1]Lookup and lists'!$R$2:$R$8</definedName>
    <definedName name="List3" localSheetId="4">'[2]Lookup and lists'!$S$2:$S$7</definedName>
    <definedName name="List3">'[1]Lookup and lists'!$S$2:$S$7</definedName>
    <definedName name="List4" localSheetId="4">'[2]Lookup and lists'!$T$2:$T$4</definedName>
    <definedName name="List4">'[1]Lookup and lists'!$T$2:$T$4</definedName>
    <definedName name="List5" localSheetId="4">'[2]Lookup and lists'!$U$2:$U$4</definedName>
    <definedName name="List5">'[1]Lookup and lists'!$U$2:$U$4</definedName>
    <definedName name="List6" localSheetId="4">'[2]Lookup and lists'!$V$2:$V$3</definedName>
    <definedName name="List6">'[1]Lookup and lists'!$V$2:$V$3</definedName>
    <definedName name="List7" localSheetId="4">'[2]Lookup and lists'!$W$2:$W$3</definedName>
    <definedName name="List7">'[1]Lookup and lists'!$W$2:$W$3</definedName>
    <definedName name="List8" localSheetId="4">'[2]Lookup and lists'!$X$2:$X$3</definedName>
    <definedName name="List8">'[1]Lookup and lists'!$X$2:$X$3</definedName>
    <definedName name="longterm" localSheetId="39">#REF!</definedName>
    <definedName name="longterm" localSheetId="40">#REF!</definedName>
    <definedName name="longterm">#REF!</definedName>
    <definedName name="MEAB1" localSheetId="5">'[1]Template names'!#REF!</definedName>
    <definedName name="MEAB1" localSheetId="4">'[2]Template names'!#REF!</definedName>
    <definedName name="MEAB1" localSheetId="39">'Template names'!#REF!</definedName>
    <definedName name="MEAB1" localSheetId="40">'Template names'!#REF!</definedName>
    <definedName name="MEAB1">'Template names'!#REF!</definedName>
    <definedName name="MEAB10" localSheetId="5">'[1]Template names'!#REF!</definedName>
    <definedName name="MEAB10" localSheetId="4">'[2]Template names'!#REF!</definedName>
    <definedName name="MEAB10" localSheetId="39">'Template names'!#REF!</definedName>
    <definedName name="MEAB10" localSheetId="40">'Template names'!#REF!</definedName>
    <definedName name="MEAB10">'Template names'!#REF!</definedName>
    <definedName name="MEAB11" localSheetId="5">'[1]Template names'!#REF!</definedName>
    <definedName name="MEAB11" localSheetId="4">'[2]Template names'!#REF!</definedName>
    <definedName name="MEAB11" localSheetId="39">'Template names'!#REF!</definedName>
    <definedName name="MEAB11" localSheetId="40">'Template names'!#REF!</definedName>
    <definedName name="MEAB11">'Template names'!#REF!</definedName>
    <definedName name="MEAB2" localSheetId="5">'[1]Template names'!#REF!</definedName>
    <definedName name="MEAB2" localSheetId="4">'[2]Template names'!#REF!</definedName>
    <definedName name="MEAB2" localSheetId="39">'Template names'!#REF!</definedName>
    <definedName name="MEAB2" localSheetId="40">'Template names'!#REF!</definedName>
    <definedName name="MEAB2">'Template names'!#REF!</definedName>
    <definedName name="MEAB3" localSheetId="5">'[1]Template names'!#REF!</definedName>
    <definedName name="MEAB3" localSheetId="4">'[2]Template names'!#REF!</definedName>
    <definedName name="MEAB3" localSheetId="39">'Template names'!#REF!</definedName>
    <definedName name="MEAB3" localSheetId="40">'Template names'!#REF!</definedName>
    <definedName name="MEAB3">'Template names'!#REF!</definedName>
    <definedName name="MEAB4" localSheetId="5">'[1]Template names'!#REF!</definedName>
    <definedName name="MEAB4" localSheetId="4">'[2]Template names'!#REF!</definedName>
    <definedName name="MEAB4" localSheetId="39">'Template names'!#REF!</definedName>
    <definedName name="MEAB4" localSheetId="40">'Template names'!#REF!</definedName>
    <definedName name="MEAB4">'Template names'!#REF!</definedName>
    <definedName name="MEAB5" localSheetId="5">'[1]Template names'!#REF!</definedName>
    <definedName name="MEAB5" localSheetId="4">'[2]Template names'!#REF!</definedName>
    <definedName name="MEAB5" localSheetId="39">'Template names'!#REF!</definedName>
    <definedName name="MEAB5" localSheetId="40">'Template names'!#REF!</definedName>
    <definedName name="MEAB5">'Template names'!#REF!</definedName>
    <definedName name="MEAB6" localSheetId="5">'[1]Template names'!#REF!</definedName>
    <definedName name="MEAB6" localSheetId="4">'[2]Template names'!#REF!</definedName>
    <definedName name="MEAB6" localSheetId="39">'Template names'!#REF!</definedName>
    <definedName name="MEAB6" localSheetId="40">'Template names'!#REF!</definedName>
    <definedName name="MEAB6">'Template names'!#REF!</definedName>
    <definedName name="MEAB7" localSheetId="5">'[1]Template names'!#REF!</definedName>
    <definedName name="MEAB7" localSheetId="4">'[2]Template names'!#REF!</definedName>
    <definedName name="MEAB7" localSheetId="39">'Template names'!#REF!</definedName>
    <definedName name="MEAB7" localSheetId="40">'Template names'!#REF!</definedName>
    <definedName name="MEAB7">'Template names'!#REF!</definedName>
    <definedName name="MEAB8" localSheetId="5">'[1]Template names'!#REF!</definedName>
    <definedName name="MEAB8" localSheetId="4">'[2]Template names'!#REF!</definedName>
    <definedName name="MEAB8" localSheetId="39">'Template names'!#REF!</definedName>
    <definedName name="MEAB8" localSheetId="40">'Template names'!#REF!</definedName>
    <definedName name="MEAB8">'Template names'!#REF!</definedName>
    <definedName name="MEAB9" localSheetId="5">'[1]Template names'!#REF!</definedName>
    <definedName name="MEAB9" localSheetId="4">'[2]Template names'!#REF!</definedName>
    <definedName name="MEAB9" localSheetId="39">'Template names'!#REF!</definedName>
    <definedName name="MEAB9" localSheetId="40">'Template names'!#REF!</definedName>
    <definedName name="MEAB9">'Template names'!#REF!</definedName>
    <definedName name="MEABsum" localSheetId="5">'[1]Template names'!#REF!</definedName>
    <definedName name="MEABsum" localSheetId="4">'[2]Template names'!#REF!</definedName>
    <definedName name="MEABsum" localSheetId="39">'Template names'!#REF!</definedName>
    <definedName name="MEABsum" localSheetId="40">'Template names'!#REF!</definedName>
    <definedName name="MEABsum">'Template names'!#REF!</definedName>
    <definedName name="MEB1A" localSheetId="5">'[1]Template names'!#REF!</definedName>
    <definedName name="MEB1A" localSheetId="4">'[2]Template names'!#REF!</definedName>
    <definedName name="MEB1A" localSheetId="39">'Template names'!#REF!</definedName>
    <definedName name="MEB1A" localSheetId="40">'Template names'!#REF!</definedName>
    <definedName name="MEB1A">'Template names'!#REF!</definedName>
    <definedName name="MEBsum" localSheetId="5">'[1]Template names'!#REF!</definedName>
    <definedName name="MEBsum" localSheetId="4">'[2]Template names'!#REF!</definedName>
    <definedName name="MEBsum" localSheetId="39">'Template names'!#REF!</definedName>
    <definedName name="MEBsum" localSheetId="40">'Template names'!#REF!</definedName>
    <definedName name="MEBsum">'Template names'!#REF!</definedName>
    <definedName name="MERsum" localSheetId="5">'[1]Template names'!#REF!</definedName>
    <definedName name="MERsum" localSheetId="4">'[2]Template names'!#REF!</definedName>
    <definedName name="MERsum" localSheetId="39">'Template names'!#REF!</definedName>
    <definedName name="MERsum" localSheetId="40">'Template names'!#REF!</definedName>
    <definedName name="MERsum">'Template names'!#REF!</definedName>
    <definedName name="month">[5]Data!$B$1</definedName>
    <definedName name="MTREF" localSheetId="5">[1]Instructions!$X$34</definedName>
    <definedName name="MTREF" localSheetId="1">Instructions!$X$36</definedName>
    <definedName name="MTREF" localSheetId="4">[2]Instructions!$X$34</definedName>
    <definedName name="MTREF">Instructions!$X$36</definedName>
    <definedName name="MTSF">'Lookup and lists'!$V$17:$V$30</definedName>
    <definedName name="muni" localSheetId="5">'[1]Template names'!$B$93</definedName>
    <definedName name="muni" localSheetId="4">'[2]Template names'!$B$93</definedName>
    <definedName name="muni">'Template names'!$B$63</definedName>
    <definedName name="MuniEntities" localSheetId="5">'[1]Template names'!$B$94</definedName>
    <definedName name="MuniEntities" localSheetId="4">'[2]Template names'!$B$94</definedName>
    <definedName name="MuniEntities">'Template names'!$B$64</definedName>
    <definedName name="MuniType" localSheetId="5">'[1]Template names'!$D$94</definedName>
    <definedName name="MuniType" localSheetId="4">'[2]Template names'!$D$94</definedName>
    <definedName name="MuniType">'Template names'!$D$64</definedName>
    <definedName name="NatCapexGrantNames" localSheetId="3">'Lookup and lists'!$T$2:$T$9</definedName>
    <definedName name="NatCapexGrantNames">'Lookup and lists'!$T$2:$T$9</definedName>
    <definedName name="NatOpexGrantNames" localSheetId="3">'Lookup and lists'!$R$2:$R$13</definedName>
    <definedName name="NatOpexGrantNames">'Lookup and lists'!$R$2:$R$13</definedName>
    <definedName name="nersa07" localSheetId="39">#REF!</definedName>
    <definedName name="nersa07" localSheetId="40">#REF!</definedName>
    <definedName name="nersa07">#REF!</definedName>
    <definedName name="nersa08" localSheetId="39">#REF!</definedName>
    <definedName name="nersa08" localSheetId="40">#REF!</definedName>
    <definedName name="nersa08">#REF!</definedName>
    <definedName name="nethhgr05" localSheetId="39">#REF!</definedName>
    <definedName name="nethhgr05" localSheetId="40">#REF!</definedName>
    <definedName name="nethhgr05">#REF!</definedName>
    <definedName name="nethhgr06" localSheetId="40">#REF!</definedName>
    <definedName name="nethhgr06">#REF!</definedName>
    <definedName name="nethhgr07" localSheetId="40">#REF!</definedName>
    <definedName name="nethhgr07">#REF!</definedName>
    <definedName name="nethhgr08" localSheetId="40">#REF!</definedName>
    <definedName name="nethhgr08">#REF!</definedName>
    <definedName name="nethhgr09" localSheetId="40">#REF!</definedName>
    <definedName name="nethhgr09">#REF!</definedName>
    <definedName name="nethhgr10" localSheetId="40">#REF!</definedName>
    <definedName name="nethhgr10">#REF!</definedName>
    <definedName name="nethhgr11" localSheetId="40">#REF!</definedName>
    <definedName name="nethhgr11">#REF!</definedName>
    <definedName name="nethhgr12" localSheetId="40">#REF!</definedName>
    <definedName name="nethhgr12">#REF!</definedName>
    <definedName name="nethhgr13" localSheetId="40">#REF!</definedName>
    <definedName name="nethhgr13">#REF!</definedName>
    <definedName name="nethhgr14" localSheetId="40">#REF!</definedName>
    <definedName name="nethhgr14">#REF!</definedName>
    <definedName name="nethhgr15" localSheetId="40">#REF!</definedName>
    <definedName name="nethhgr15">#REF!</definedName>
    <definedName name="nethhgr16" localSheetId="40">#REF!</definedName>
    <definedName name="nethhgr16">#REF!</definedName>
    <definedName name="nethhgr17" localSheetId="40">#REF!</definedName>
    <definedName name="nethhgr17">#REF!</definedName>
    <definedName name="nethhgr18" localSheetId="40">#REF!</definedName>
    <definedName name="nethhgr18">#REF!</definedName>
    <definedName name="nethhgr19" localSheetId="40">#REF!</definedName>
    <definedName name="nethhgr19">#REF!</definedName>
    <definedName name="nethhgr20" localSheetId="40">#REF!</definedName>
    <definedName name="nethhgr20">#REF!</definedName>
    <definedName name="nethhgr21" localSheetId="40">#REF!</definedName>
    <definedName name="nethhgr21">#REF!</definedName>
    <definedName name="ninety" localSheetId="40">#REF!</definedName>
    <definedName name="ninety">#REF!</definedName>
    <definedName name="Note20">[6]Names!$B$89</definedName>
    <definedName name="Orgstructurevotes" localSheetId="4">'Org structure'!$C$2</definedName>
    <definedName name="OrgStructureVotes" localSheetId="40">#REF!</definedName>
    <definedName name="OrgStructureVotes">#REF!</definedName>
    <definedName name="poorgr06" localSheetId="40">#REF!</definedName>
    <definedName name="poorgr06">#REF!</definedName>
    <definedName name="_xlnm.Print_Area" localSheetId="18">'B10-SerDel'!$A$1:$M$96</definedName>
    <definedName name="_xlnm.Print_Area" localSheetId="6">'B1-Sum'!$A$1:$L$68</definedName>
    <definedName name="_xlnm.Print_Area" localSheetId="7" xml:space="preserve">   'B2-FinPerf SC'!$A$1:$M$64</definedName>
    <definedName name="_xlnm.Print_Area" localSheetId="9">'B3-FinPerf V'!$A$1:$M$163</definedName>
    <definedName name="_xlnm.Print_Area" localSheetId="11" xml:space="preserve">  'B4-FinPerf RE'!$A$1:$M$61</definedName>
    <definedName name="_xlnm.Print_Area" localSheetId="12">'B5-Capex'!$A$1:$M$89</definedName>
    <definedName name="_xlnm.Print_Area" localSheetId="14">'B6-FinPos'!$A$1:$M$62</definedName>
    <definedName name="_xlnm.Print_Area" localSheetId="15" xml:space="preserve">        'B7-CFlow'!$A$1:$M$53</definedName>
    <definedName name="_xlnm.Print_Area" localSheetId="16">'B8-ResRecon'!$A$1:$M$32</definedName>
    <definedName name="_xlnm.Print_Area" localSheetId="17">'B9-Asset'!$A$1:$M$224</definedName>
    <definedName name="_xlnm.Print_Area" localSheetId="5">Contacts!$A$1:$D$140</definedName>
    <definedName name="_xlnm.Print_Area" localSheetId="1">Instructions!$A$1:$M$47</definedName>
    <definedName name="_xlnm.Print_Area" localSheetId="19">'SB1'!$A$1:$M$179</definedName>
    <definedName name="_xlnm.Print_Area" localSheetId="28">'SB10'!$A$1:$M$44</definedName>
    <definedName name="_xlnm.Print_Area" localSheetId="29">'SB11'!$A$1:$L$120</definedName>
    <definedName name="_xlnm.Print_Area" localSheetId="30">'SB12'!$A$1:$R$43</definedName>
    <definedName name="_xlnm.Print_Area" localSheetId="31">'SB13'!$A$1:$R$53</definedName>
    <definedName name="_xlnm.Print_Area" localSheetId="32">'SB14'!$A$1:$R$44</definedName>
    <definedName name="_xlnm.Print_Area" localSheetId="33">'SB15'!$A$1:$R$56</definedName>
    <definedName name="_xlnm.Print_Area" localSheetId="34">'SB16'!$A$1:$R$43</definedName>
    <definedName name="_xlnm.Print_Area" localSheetId="35">'SB17'!$A$1:$Q$29</definedName>
    <definedName name="_xlnm.Print_Area" localSheetId="36">SB18a!$A$1:$M$180</definedName>
    <definedName name="_xlnm.Print_Area" localSheetId="20">'SB2'!$A$1:$M$82</definedName>
    <definedName name="_xlnm.Print_Area" localSheetId="42">'SB20'!$A$1:$M$55</definedName>
    <definedName name="_xlnm.Print_Area" localSheetId="21">'SB3'!$A$1:$M$75</definedName>
    <definedName name="_xlnm.Print_Area" localSheetId="22">'SB4'!$A$1:$J$41</definedName>
    <definedName name="_xlnm.Print_Area" localSheetId="23">'SB5'!$A$1:$K$304</definedName>
    <definedName name="_xlnm.Print_Area" localSheetId="24">'SB6'!$A$1:$K$33</definedName>
    <definedName name="_xlnm.Print_Area" localSheetId="25">'SB7'!$A$1:$K$62</definedName>
    <definedName name="_xlnm.Print_Area" localSheetId="27">'SB9'!$A$1:$K$65</definedName>
    <definedName name="_xlnm.Print_Titles" localSheetId="21">'SB3'!$2:$4</definedName>
    <definedName name="proptax07" localSheetId="40">#REF!</definedName>
    <definedName name="proptax07">#REF!</definedName>
    <definedName name="ProvCapexGrantNames" localSheetId="3">'Lookup and lists'!$U$2:$U$9</definedName>
    <definedName name="ProvCapexGrantNames">'Lookup and lists'!$U$2:$U$9</definedName>
    <definedName name="ProvOpexGrantNames" localSheetId="3">'Lookup and lists'!$S$2:$S$6</definedName>
    <definedName name="ProvOpexGrantNames">'Lookup and lists'!$S$2:$S$6</definedName>
    <definedName name="Rand000" localSheetId="39">#REF!</definedName>
    <definedName name="Rand000" localSheetId="40">#REF!</definedName>
    <definedName name="Rand000">#REF!</definedName>
    <definedName name="RandM">'Template names'!$B$61</definedName>
    <definedName name="REDHHGR06" localSheetId="39">#REF!</definedName>
    <definedName name="REDHHGR06" localSheetId="40">#REF!</definedName>
    <definedName name="REDHHGR06">#REF!</definedName>
    <definedName name="redhhgr07" localSheetId="39">#REF!</definedName>
    <definedName name="redhhgr07" localSheetId="40">#REF!</definedName>
    <definedName name="redhhgr07">#REF!</definedName>
    <definedName name="redrev06" localSheetId="39">#REF!</definedName>
    <definedName name="redrev06" localSheetId="40">#REF!</definedName>
    <definedName name="redrev06">#REF!</definedName>
    <definedName name="redrev07" localSheetId="39">#REF!</definedName>
    <definedName name="redrev07" localSheetId="40">#REF!</definedName>
    <definedName name="redrev07">#REF!</definedName>
    <definedName name="Reds" localSheetId="39">#REF!</definedName>
    <definedName name="Reds" localSheetId="40">#REF!</definedName>
    <definedName name="Reds">#REF!</definedName>
    <definedName name="renewyears" localSheetId="40">#REF!</definedName>
    <definedName name="renewyears">#REF!</definedName>
    <definedName name="Request0506" localSheetId="39">#REF!</definedName>
    <definedName name="Request0506" localSheetId="40">#REF!</definedName>
    <definedName name="Request0506">#REF!</definedName>
    <definedName name="resiprop" localSheetId="40">#REF!</definedName>
    <definedName name="resiprop">#REF!</definedName>
    <definedName name="result" localSheetId="5">'[1]Template names'!$B$35</definedName>
    <definedName name="result" localSheetId="4">'[2]Template names'!$B$35</definedName>
    <definedName name="result">'Template names'!$B$23</definedName>
    <definedName name="rmcRED06" localSheetId="1">#REF!</definedName>
    <definedName name="rmcRED06" localSheetId="39">#REF!</definedName>
    <definedName name="rmcRED06" localSheetId="40">#REF!</definedName>
    <definedName name="rmcRED06">#REF!</definedName>
    <definedName name="rmcred07" localSheetId="1">#REF!</definedName>
    <definedName name="rmcred07" localSheetId="39">#REF!</definedName>
    <definedName name="rmcred07" localSheetId="40">#REF!</definedName>
    <definedName name="rmcred07">#REF!</definedName>
    <definedName name="roundfactor" localSheetId="1">#REF!</definedName>
    <definedName name="roundfactor" localSheetId="39">#REF!</definedName>
    <definedName name="roundfactor" localSheetId="40">#REF!</definedName>
    <definedName name="roundfactor">#REF!</definedName>
    <definedName name="S71A" localSheetId="5">'[1]Template names'!#REF!</definedName>
    <definedName name="S71A" localSheetId="4">'[2]Template names'!#REF!</definedName>
    <definedName name="S71A" localSheetId="39">'Template names'!#REF!</definedName>
    <definedName name="S71A" localSheetId="40">'Template names'!#REF!</definedName>
    <definedName name="S71A">'Template names'!#REF!</definedName>
    <definedName name="S71B" localSheetId="5">'[1]Template names'!#REF!</definedName>
    <definedName name="S71B" localSheetId="4">'[2]Template names'!#REF!</definedName>
    <definedName name="S71B" localSheetId="39">'Template names'!#REF!</definedName>
    <definedName name="S71B" localSheetId="40">'Template names'!#REF!</definedName>
    <definedName name="S71B">'Template names'!#REF!</definedName>
    <definedName name="s71B8" localSheetId="5">'[1]Template names'!#REF!</definedName>
    <definedName name="s71B8" localSheetId="4">'[2]Template names'!#REF!</definedName>
    <definedName name="s71B8" localSheetId="39">'Template names'!#REF!</definedName>
    <definedName name="s71B8" localSheetId="40">'Template names'!#REF!</definedName>
    <definedName name="s71B8">'Template names'!#REF!</definedName>
    <definedName name="s71B9" localSheetId="5">'[1]Template names'!#REF!</definedName>
    <definedName name="s71B9" localSheetId="4">'[2]Template names'!#REF!</definedName>
    <definedName name="s71B9" localSheetId="39">'Template names'!#REF!</definedName>
    <definedName name="s71B9" localSheetId="40">'Template names'!#REF!</definedName>
    <definedName name="s71B9">'Template names'!#REF!</definedName>
    <definedName name="S71C" localSheetId="5">'[1]Template names'!#REF!</definedName>
    <definedName name="S71C" localSheetId="4">'[2]Template names'!#REF!</definedName>
    <definedName name="S71C" localSheetId="39">'Template names'!#REF!</definedName>
    <definedName name="S71C" localSheetId="40">'Template names'!#REF!</definedName>
    <definedName name="S71C">'Template names'!#REF!</definedName>
    <definedName name="S71D" localSheetId="5">'[1]Template names'!#REF!</definedName>
    <definedName name="S71D" localSheetId="4">'[2]Template names'!#REF!</definedName>
    <definedName name="S71D" localSheetId="39">'Template names'!#REF!</definedName>
    <definedName name="S71D" localSheetId="40">'Template names'!#REF!</definedName>
    <definedName name="S71D">'Template names'!#REF!</definedName>
    <definedName name="S71E" localSheetId="5">'[1]Template names'!#REF!</definedName>
    <definedName name="S71E" localSheetId="4">'[2]Template names'!#REF!</definedName>
    <definedName name="S71E" localSheetId="39">'Template names'!#REF!</definedName>
    <definedName name="S71E" localSheetId="40">'Template names'!#REF!</definedName>
    <definedName name="S71E">'Template names'!#REF!</definedName>
    <definedName name="S71F" localSheetId="5">'[1]Template names'!#REF!</definedName>
    <definedName name="S71F" localSheetId="4">'[2]Template names'!#REF!</definedName>
    <definedName name="S71F" localSheetId="39">'Template names'!#REF!</definedName>
    <definedName name="S71F" localSheetId="40">'Template names'!#REF!</definedName>
    <definedName name="S71F">'Template names'!#REF!</definedName>
    <definedName name="S71G" localSheetId="5">'[1]Template names'!#REF!</definedName>
    <definedName name="S71G" localSheetId="4">'[2]Template names'!#REF!</definedName>
    <definedName name="S71G" localSheetId="39">'Template names'!#REF!</definedName>
    <definedName name="S71G" localSheetId="40">'Template names'!#REF!</definedName>
    <definedName name="S71G">'Template names'!#REF!</definedName>
    <definedName name="S71H" localSheetId="5">'[1]Template names'!#REF!</definedName>
    <definedName name="S71H" localSheetId="4">'[2]Template names'!#REF!</definedName>
    <definedName name="S71H" localSheetId="39">'Template names'!#REF!</definedName>
    <definedName name="S71H" localSheetId="40">'Template names'!#REF!</definedName>
    <definedName name="S71H">'Template names'!#REF!</definedName>
    <definedName name="S71I" localSheetId="5">'[1]Template names'!#REF!</definedName>
    <definedName name="S71I" localSheetId="4">'[2]Template names'!#REF!</definedName>
    <definedName name="S71I" localSheetId="39">'Template names'!#REF!</definedName>
    <definedName name="S71I" localSheetId="40">'Template names'!#REF!</definedName>
    <definedName name="S71I">'Template names'!#REF!</definedName>
    <definedName name="S71J" localSheetId="5">'[1]Template names'!#REF!</definedName>
    <definedName name="S71J" localSheetId="4">'[2]Template names'!#REF!</definedName>
    <definedName name="S71J" localSheetId="39">'Template names'!#REF!</definedName>
    <definedName name="S71J" localSheetId="40">'Template names'!#REF!</definedName>
    <definedName name="S71J">'Template names'!#REF!</definedName>
    <definedName name="S71K" localSheetId="5">'[1]Template names'!#REF!</definedName>
    <definedName name="S71K" localSheetId="4">'[2]Template names'!#REF!</definedName>
    <definedName name="S71K" localSheetId="39">'Template names'!#REF!</definedName>
    <definedName name="S71K" localSheetId="40">'Template names'!#REF!</definedName>
    <definedName name="S71K">'Template names'!#REF!</definedName>
    <definedName name="S71L" localSheetId="5">'[1]Template names'!#REF!</definedName>
    <definedName name="S71L" localSheetId="4">'[2]Template names'!#REF!</definedName>
    <definedName name="S71L" localSheetId="39">'Template names'!#REF!</definedName>
    <definedName name="S71L" localSheetId="40">'Template names'!#REF!</definedName>
    <definedName name="S71L">'Template names'!#REF!</definedName>
    <definedName name="S71M" localSheetId="5">'[1]Template names'!#REF!</definedName>
    <definedName name="S71M" localSheetId="4">'[2]Template names'!#REF!</definedName>
    <definedName name="S71M" localSheetId="39">'Template names'!#REF!</definedName>
    <definedName name="S71M" localSheetId="40">'Template names'!#REF!</definedName>
    <definedName name="S71M">'Template names'!#REF!</definedName>
    <definedName name="S71N" localSheetId="5">'[1]Template names'!#REF!</definedName>
    <definedName name="S71N" localSheetId="4">'[2]Template names'!#REF!</definedName>
    <definedName name="S71N" localSheetId="39">'Template names'!#REF!</definedName>
    <definedName name="S71N" localSheetId="40">'Template names'!#REF!</definedName>
    <definedName name="S71N">'Template names'!#REF!</definedName>
    <definedName name="S71O" localSheetId="5">'[1]Template names'!#REF!</definedName>
    <definedName name="S71O" localSheetId="4">'[2]Template names'!#REF!</definedName>
    <definedName name="S71O" localSheetId="39">'Template names'!#REF!</definedName>
    <definedName name="S71O" localSheetId="40">'Template names'!#REF!</definedName>
    <definedName name="S71O">'Template names'!#REF!</definedName>
    <definedName name="S71P" localSheetId="5">'[1]Template names'!#REF!</definedName>
    <definedName name="S71P" localSheetId="4">'[2]Template names'!#REF!</definedName>
    <definedName name="S71P" localSheetId="39">'Template names'!#REF!</definedName>
    <definedName name="S71P" localSheetId="40">'Template names'!#REF!</definedName>
    <definedName name="S71P">'Template names'!#REF!</definedName>
    <definedName name="S71Q" localSheetId="5">'[1]Template names'!#REF!</definedName>
    <definedName name="S71Q" localSheetId="4">'[2]Template names'!#REF!</definedName>
    <definedName name="S71Q" localSheetId="39">'Template names'!#REF!</definedName>
    <definedName name="S71Q" localSheetId="40">'Template names'!#REF!</definedName>
    <definedName name="S71Q">'Template names'!#REF!</definedName>
    <definedName name="S71SDBIP" localSheetId="5">'[1]Template names'!#REF!</definedName>
    <definedName name="S71SDBIP" localSheetId="1">'Template names'!#REF!</definedName>
    <definedName name="S71SDBIP" localSheetId="4">'[2]Template names'!#REF!</definedName>
    <definedName name="S71SDBIP" localSheetId="39">'[4]Template names'!#REF!</definedName>
    <definedName name="S71SDBIP" localSheetId="40">'[4]Template names'!#REF!</definedName>
    <definedName name="S71SDBIP">'[4]Template names'!#REF!</definedName>
    <definedName name="s71sum" localSheetId="5">'[1]Template names'!#REF!</definedName>
    <definedName name="s71sum" localSheetId="4">'[2]Template names'!#REF!</definedName>
    <definedName name="s71sum" localSheetId="39">'Template names'!#REF!</definedName>
    <definedName name="s71sum" localSheetId="40">'Template names'!#REF!</definedName>
    <definedName name="s71sum">'Template names'!#REF!</definedName>
    <definedName name="Scale" localSheetId="5">'[1]Compliance assessment'!$L$77</definedName>
    <definedName name="Scale" localSheetId="4">'[2]Compliance assessment'!$L$77</definedName>
    <definedName name="Scale" localSheetId="39">'[4]Template names'!#REF!</definedName>
    <definedName name="Scale" localSheetId="40">'[4]Template names'!#REF!</definedName>
    <definedName name="Scale">'[4]Template names'!#REF!</definedName>
    <definedName name="scenario" localSheetId="1">#REF!</definedName>
    <definedName name="scenario" localSheetId="39">#REF!</definedName>
    <definedName name="scenario" localSheetId="40">#REF!</definedName>
    <definedName name="scenario">#REF!</definedName>
    <definedName name="Sch1a" localSheetId="39">'[4]Template names'!#REF!</definedName>
    <definedName name="Sch1a" localSheetId="40">'[4]Template names'!#REF!</definedName>
    <definedName name="Sch1a">'[4]Template names'!#REF!</definedName>
    <definedName name="Sch2N" localSheetId="39">'[4]Template names'!#REF!</definedName>
    <definedName name="Sch2N" localSheetId="40">'[4]Template names'!#REF!</definedName>
    <definedName name="Sch2N">'[4]Template names'!#REF!</definedName>
    <definedName name="Sch5N" localSheetId="39">'[4]Template names'!#REF!</definedName>
    <definedName name="Sch5N" localSheetId="40">'[4]Template names'!#REF!</definedName>
    <definedName name="Sch5N">'[4]Template names'!#REF!</definedName>
    <definedName name="Sch7N" localSheetId="39">'[4]Template names'!#REF!</definedName>
    <definedName name="Sch7N" localSheetId="40">'[4]Template names'!#REF!</definedName>
    <definedName name="Sch7N">'[4]Template names'!#REF!</definedName>
    <definedName name="SDBIP1" localSheetId="5">'[1]Template names'!#REF!</definedName>
    <definedName name="SDBIP1" localSheetId="1">'Template names'!#REF!</definedName>
    <definedName name="SDBIP1" localSheetId="4">'[2]Template names'!#REF!</definedName>
    <definedName name="SDBIP1" localSheetId="39">'[4]Template names'!#REF!</definedName>
    <definedName name="SDBIP1" localSheetId="40">'[4]Template names'!#REF!</definedName>
    <definedName name="SDBIP1">'[4]Template names'!#REF!</definedName>
    <definedName name="SDBIP10" localSheetId="5">'[1]Template names'!#REF!</definedName>
    <definedName name="SDBIP10" localSheetId="1">'Template names'!#REF!</definedName>
    <definedName name="SDBIP10" localSheetId="4">'[2]Template names'!#REF!</definedName>
    <definedName name="SDBIP10" localSheetId="39">'[4]Template names'!#REF!</definedName>
    <definedName name="SDBIP10" localSheetId="40">'[4]Template names'!#REF!</definedName>
    <definedName name="SDBIP10">'[4]Template names'!#REF!</definedName>
    <definedName name="SDBIP2" localSheetId="5">'[1]Template names'!#REF!</definedName>
    <definedName name="SDBIP2" localSheetId="1">'Template names'!#REF!</definedName>
    <definedName name="SDBIP2" localSheetId="4">'[2]Template names'!#REF!</definedName>
    <definedName name="SDBIP2" localSheetId="39">'[4]Template names'!#REF!</definedName>
    <definedName name="SDBIP2" localSheetId="40">'[4]Template names'!#REF!</definedName>
    <definedName name="SDBIP2">'[4]Template names'!#REF!</definedName>
    <definedName name="SDBIP3" localSheetId="5">'[1]Template names'!#REF!</definedName>
    <definedName name="SDBIP3" localSheetId="1">'Template names'!#REF!</definedName>
    <definedName name="SDBIP3" localSheetId="4">'[2]Template names'!#REF!</definedName>
    <definedName name="SDBIP3" localSheetId="39">'[4]Template names'!#REF!</definedName>
    <definedName name="SDBIP3" localSheetId="40">'[4]Template names'!#REF!</definedName>
    <definedName name="SDBIP3">'[4]Template names'!#REF!</definedName>
    <definedName name="SDBIP4" localSheetId="5">'[1]Template names'!#REF!</definedName>
    <definedName name="SDBIP4" localSheetId="1">'Template names'!#REF!</definedName>
    <definedName name="SDBIP4" localSheetId="4">'[2]Template names'!#REF!</definedName>
    <definedName name="SDBIP4" localSheetId="39">'[4]Template names'!#REF!</definedName>
    <definedName name="SDBIP4" localSheetId="40">'[4]Template names'!#REF!</definedName>
    <definedName name="SDBIP4">'[4]Template names'!#REF!</definedName>
    <definedName name="SDBIP8" localSheetId="5">'[1]Template names'!#REF!</definedName>
    <definedName name="SDBIP8" localSheetId="1">'Template names'!#REF!</definedName>
    <definedName name="SDBIP8" localSheetId="4">'[2]Template names'!#REF!</definedName>
    <definedName name="SDBIP8" localSheetId="39">'[4]Template names'!#REF!</definedName>
    <definedName name="SDBIP8" localSheetId="40">'[4]Template names'!#REF!</definedName>
    <definedName name="SDBIP8">'[4]Template names'!#REF!</definedName>
    <definedName name="sdcred06" localSheetId="40">#REF!</definedName>
    <definedName name="sdcred06">#REF!</definedName>
    <definedName name="SFPerf1">'Template names'!$B$55</definedName>
    <definedName name="SFPerf2" localSheetId="5">'[1]Template names'!$B$65</definedName>
    <definedName name="SFPerf2" localSheetId="4">'[2]Template names'!$B$65</definedName>
    <definedName name="SFPerf2">'Template names'!$B$56</definedName>
    <definedName name="SFpos1">'Template names'!$B$57</definedName>
    <definedName name="SFpos2">'Template names'!$B$58</definedName>
    <definedName name="TabC19" localSheetId="39">'[4]Template names'!#REF!</definedName>
    <definedName name="TabC19" localSheetId="40">'[4]Template names'!#REF!</definedName>
    <definedName name="TabC19">'[4]Template names'!#REF!</definedName>
    <definedName name="TabC3" localSheetId="5">'[1]Template names'!#REF!</definedName>
    <definedName name="TabC3" localSheetId="1">'Template names'!#REF!</definedName>
    <definedName name="TabC3" localSheetId="4">'[2]Template names'!#REF!</definedName>
    <definedName name="TabC3" localSheetId="39">'[4]Template names'!#REF!</definedName>
    <definedName name="TabC3" localSheetId="40">'[4]Template names'!#REF!</definedName>
    <definedName name="TabC3">'[4]Template names'!#REF!</definedName>
    <definedName name="TabC4" localSheetId="5">'[1]Template names'!#REF!</definedName>
    <definedName name="TabC4" localSheetId="1">'Template names'!#REF!</definedName>
    <definedName name="TabC4" localSheetId="4">'[2]Template names'!#REF!</definedName>
    <definedName name="TabC4" localSheetId="39">'[4]Template names'!#REF!</definedName>
    <definedName name="TabC4" localSheetId="40">'[4]Template names'!#REF!</definedName>
    <definedName name="TabC4">'[4]Template names'!#REF!</definedName>
    <definedName name="TabC5" localSheetId="5">'[1]Template names'!#REF!</definedName>
    <definedName name="TabC5" localSheetId="1">'Template names'!#REF!</definedName>
    <definedName name="TabC5" localSheetId="4">'[2]Template names'!#REF!</definedName>
    <definedName name="TabC5" localSheetId="39">'[4]Template names'!#REF!</definedName>
    <definedName name="TabC5" localSheetId="40">'[4]Template names'!#REF!</definedName>
    <definedName name="TabC5">'[4]Template names'!#REF!</definedName>
    <definedName name="TabC6" localSheetId="5">'[1]Template names'!#REF!</definedName>
    <definedName name="TabC6" localSheetId="1">'Template names'!#REF!</definedName>
    <definedName name="TabC6" localSheetId="4">'[2]Template names'!#REF!</definedName>
    <definedName name="TabC6" localSheetId="39">'[4]Template names'!#REF!</definedName>
    <definedName name="TabC6" localSheetId="40">'[4]Template names'!#REF!</definedName>
    <definedName name="TabC6">'[4]Template names'!#REF!</definedName>
    <definedName name="Tabc7" localSheetId="5">'[1]Template names'!#REF!</definedName>
    <definedName name="Tabc7" localSheetId="1">'Template names'!#REF!</definedName>
    <definedName name="Tabc7" localSheetId="4">'[2]Template names'!#REF!</definedName>
    <definedName name="Tabc7" localSheetId="39">'[4]Template names'!#REF!</definedName>
    <definedName name="Tabc7" localSheetId="40">'[4]Template names'!#REF!</definedName>
    <definedName name="Tabc7">'[4]Template names'!#REF!</definedName>
    <definedName name="Tabc8" localSheetId="5">'[1]Template names'!#REF!</definedName>
    <definedName name="Tabc8" localSheetId="1">'Template names'!#REF!</definedName>
    <definedName name="Tabc8" localSheetId="4">'[2]Template names'!#REF!</definedName>
    <definedName name="Tabc8" localSheetId="39">'[4]Template names'!#REF!</definedName>
    <definedName name="Tabc8" localSheetId="40">'[4]Template names'!#REF!</definedName>
    <definedName name="Tabc8">'[4]Template names'!#REF!</definedName>
    <definedName name="Tabc9" localSheetId="5">'[1]Template names'!#REF!</definedName>
    <definedName name="Tabc9" localSheetId="1">'Template names'!#REF!</definedName>
    <definedName name="Tabc9" localSheetId="4">'[2]Template names'!#REF!</definedName>
    <definedName name="Tabc9" localSheetId="39">'[4]Template names'!#REF!</definedName>
    <definedName name="Tabc9" localSheetId="40">'[4]Template names'!#REF!</definedName>
    <definedName name="Tabc9">'[4]Template names'!#REF!</definedName>
    <definedName name="Tablc8" localSheetId="5">'[1]Template names'!#REF!</definedName>
    <definedName name="Tablc8" localSheetId="1">'Template names'!#REF!</definedName>
    <definedName name="Tablc8" localSheetId="4">'[2]Template names'!#REF!</definedName>
    <definedName name="Tablc8">'Template names'!$F$86</definedName>
    <definedName name="Table1" localSheetId="39">'[4]Template names'!#REF!</definedName>
    <definedName name="Table1" localSheetId="40">'[4]Template names'!#REF!</definedName>
    <definedName name="Table1">'[4]Template names'!#REF!</definedName>
    <definedName name="Table10" localSheetId="39">'[4]Template names'!#REF!</definedName>
    <definedName name="Table10" localSheetId="40">'[4]Template names'!#REF!</definedName>
    <definedName name="Table10">'[4]Template names'!#REF!</definedName>
    <definedName name="Table11" localSheetId="39">'[4]Template names'!#REF!</definedName>
    <definedName name="Table11" localSheetId="40">'[4]Template names'!#REF!</definedName>
    <definedName name="Table11">'[4]Template names'!#REF!</definedName>
    <definedName name="Table12" localSheetId="39">'[4]Template names'!#REF!</definedName>
    <definedName name="Table12" localSheetId="40">'[4]Template names'!#REF!</definedName>
    <definedName name="Table12">'[4]Template names'!#REF!</definedName>
    <definedName name="Table13" localSheetId="39">'[4]Template names'!#REF!</definedName>
    <definedName name="Table13" localSheetId="40">'[4]Template names'!#REF!</definedName>
    <definedName name="Table13">'[4]Template names'!#REF!</definedName>
    <definedName name="Table14" localSheetId="39">'[4]Template names'!#REF!</definedName>
    <definedName name="Table14" localSheetId="40">'[4]Template names'!#REF!</definedName>
    <definedName name="Table14">'[4]Template names'!#REF!</definedName>
    <definedName name="Table14A" localSheetId="39">'[4]Template names'!#REF!</definedName>
    <definedName name="Table14A" localSheetId="40">'[4]Template names'!#REF!</definedName>
    <definedName name="Table14A">'[4]Template names'!#REF!</definedName>
    <definedName name="Table14B" localSheetId="39">'[4]Template names'!#REF!</definedName>
    <definedName name="Table14B" localSheetId="40">'[4]Template names'!#REF!</definedName>
    <definedName name="Table14B">'[4]Template names'!#REF!</definedName>
    <definedName name="Table15" localSheetId="39">'[4]Template names'!#REF!</definedName>
    <definedName name="Table15" localSheetId="40">'[4]Template names'!#REF!</definedName>
    <definedName name="Table15">'[4]Template names'!#REF!</definedName>
    <definedName name="Table15A" localSheetId="39">'[4]Template names'!#REF!</definedName>
    <definedName name="Table15A" localSheetId="40">'[4]Template names'!#REF!</definedName>
    <definedName name="Table15A">'[4]Template names'!#REF!</definedName>
    <definedName name="Table15New" localSheetId="39">'[4]Template names'!#REF!</definedName>
    <definedName name="Table15New" localSheetId="40">'[4]Template names'!#REF!</definedName>
    <definedName name="Table15New">'[4]Template names'!#REF!</definedName>
    <definedName name="Table16" localSheetId="39">'[4]Template names'!#REF!</definedName>
    <definedName name="Table16" localSheetId="40">'[4]Template names'!#REF!</definedName>
    <definedName name="Table16">'[4]Template names'!#REF!</definedName>
    <definedName name="Table17" localSheetId="39">'[4]Template names'!#REF!</definedName>
    <definedName name="Table17" localSheetId="40">'[4]Template names'!#REF!</definedName>
    <definedName name="Table17">'[4]Template names'!#REF!</definedName>
    <definedName name="Table18" localSheetId="39">'[4]Template names'!#REF!</definedName>
    <definedName name="Table18" localSheetId="40">'[4]Template names'!#REF!</definedName>
    <definedName name="Table18">'[4]Template names'!#REF!</definedName>
    <definedName name="Table19" localSheetId="39">'[4]Template names'!#REF!</definedName>
    <definedName name="Table19" localSheetId="40">'[4]Template names'!#REF!</definedName>
    <definedName name="Table19">'[4]Template names'!#REF!</definedName>
    <definedName name="Table2" localSheetId="39">'[4]Template names'!#REF!</definedName>
    <definedName name="Table2" localSheetId="40">'[4]Template names'!#REF!</definedName>
    <definedName name="Table2">'[4]Template names'!#REF!</definedName>
    <definedName name="Table20" localSheetId="39">'[4]Template names'!#REF!</definedName>
    <definedName name="Table20" localSheetId="40">'[4]Template names'!#REF!</definedName>
    <definedName name="Table20">'[4]Template names'!#REF!</definedName>
    <definedName name="Table21" localSheetId="39">'[4]Template names'!#REF!</definedName>
    <definedName name="Table21" localSheetId="40">'[4]Template names'!#REF!</definedName>
    <definedName name="Table21">'[4]Template names'!#REF!</definedName>
    <definedName name="Table22" localSheetId="39">'[4]Template names'!#REF!</definedName>
    <definedName name="Table22" localSheetId="40">'[4]Template names'!#REF!</definedName>
    <definedName name="Table22">'[4]Template names'!#REF!</definedName>
    <definedName name="Table23" localSheetId="39">'[4]Template names'!#REF!</definedName>
    <definedName name="Table23" localSheetId="40">'[4]Template names'!#REF!</definedName>
    <definedName name="Table23">'[4]Template names'!#REF!</definedName>
    <definedName name="Table24" localSheetId="39">'[4]Template names'!#REF!</definedName>
    <definedName name="Table24" localSheetId="40">'[4]Template names'!#REF!</definedName>
    <definedName name="Table24">'[4]Template names'!#REF!</definedName>
    <definedName name="Table24A" localSheetId="39">'[4]Template names'!#REF!</definedName>
    <definedName name="Table24A" localSheetId="40">'[4]Template names'!#REF!</definedName>
    <definedName name="Table24A">'[4]Template names'!#REF!</definedName>
    <definedName name="Table25" localSheetId="39">'[4]Template names'!#REF!</definedName>
    <definedName name="Table25" localSheetId="40">'[4]Template names'!#REF!</definedName>
    <definedName name="Table25">'[4]Template names'!#REF!</definedName>
    <definedName name="Table26" localSheetId="39">'[4]Template names'!#REF!</definedName>
    <definedName name="Table26" localSheetId="40">'[4]Template names'!#REF!</definedName>
    <definedName name="Table26">'[4]Template names'!#REF!</definedName>
    <definedName name="Table27" localSheetId="39">'[4]Template names'!#REF!</definedName>
    <definedName name="Table27" localSheetId="40">'[4]Template names'!#REF!</definedName>
    <definedName name="Table27">'[4]Template names'!#REF!</definedName>
    <definedName name="Table28" localSheetId="39">'[4]Template names'!#REF!</definedName>
    <definedName name="Table28" localSheetId="40">'[4]Template names'!#REF!</definedName>
    <definedName name="Table28">'[4]Template names'!#REF!</definedName>
    <definedName name="Table29" localSheetId="39">'[4]Template names'!#REF!</definedName>
    <definedName name="Table29" localSheetId="40">'[4]Template names'!#REF!</definedName>
    <definedName name="Table29">'[4]Template names'!#REF!</definedName>
    <definedName name="Table3" localSheetId="39">'[4]Template names'!#REF!</definedName>
    <definedName name="Table3" localSheetId="40">'[4]Template names'!#REF!</definedName>
    <definedName name="Table3">'[4]Template names'!#REF!</definedName>
    <definedName name="Table30" localSheetId="39">'[4]Template names'!#REF!</definedName>
    <definedName name="Table30" localSheetId="40">'[4]Template names'!#REF!</definedName>
    <definedName name="Table30">'[4]Template names'!#REF!</definedName>
    <definedName name="Table31" localSheetId="39">'[4]Template names'!#REF!</definedName>
    <definedName name="Table31" localSheetId="40">'[4]Template names'!#REF!</definedName>
    <definedName name="Table31">'[4]Template names'!#REF!</definedName>
    <definedName name="Table32" localSheetId="39">'[4]Template names'!#REF!</definedName>
    <definedName name="Table32" localSheetId="40">'[4]Template names'!#REF!</definedName>
    <definedName name="Table32">'[4]Template names'!#REF!</definedName>
    <definedName name="Table33" localSheetId="39">'[4]Template names'!#REF!</definedName>
    <definedName name="Table33" localSheetId="40">'[4]Template names'!#REF!</definedName>
    <definedName name="Table33">'[4]Template names'!#REF!</definedName>
    <definedName name="Table4" localSheetId="39">'[4]Template names'!#REF!</definedName>
    <definedName name="Table4" localSheetId="40">'[4]Template names'!#REF!</definedName>
    <definedName name="Table4">'[4]Template names'!#REF!</definedName>
    <definedName name="Table5" localSheetId="39">'[4]Template names'!#REF!</definedName>
    <definedName name="Table5" localSheetId="40">'[4]Template names'!#REF!</definedName>
    <definedName name="Table5">'[4]Template names'!#REF!</definedName>
    <definedName name="Table6" localSheetId="39">'[4]Template names'!#REF!</definedName>
    <definedName name="Table6" localSheetId="40">'[4]Template names'!#REF!</definedName>
    <definedName name="Table6">'[4]Template names'!#REF!</definedName>
    <definedName name="Table7" localSheetId="39">'[4]Template names'!#REF!</definedName>
    <definedName name="Table7" localSheetId="40">'[4]Template names'!#REF!</definedName>
    <definedName name="Table7">'[4]Template names'!#REF!</definedName>
    <definedName name="Table8" localSheetId="39">'[4]Template names'!#REF!</definedName>
    <definedName name="Table8" localSheetId="40">'[4]Template names'!#REF!</definedName>
    <definedName name="Table8">'[4]Template names'!#REF!</definedName>
    <definedName name="Table9" localSheetId="39">'[4]Template names'!#REF!</definedName>
    <definedName name="Table9" localSheetId="40">'[4]Template names'!#REF!</definedName>
    <definedName name="Table9">'[4]Template names'!#REF!</definedName>
    <definedName name="TableA1" localSheetId="4">'[2]Template names'!$B$111</definedName>
    <definedName name="TableA1">'[1]Template names'!$B$111</definedName>
    <definedName name="TableA10" localSheetId="4">'[2]Template names'!$B$120</definedName>
    <definedName name="TableA10">'[1]Template names'!$B$120</definedName>
    <definedName name="TableA11" localSheetId="4">'[2]Template names'!$B$121</definedName>
    <definedName name="TableA11">'[1]Template names'!$B$121</definedName>
    <definedName name="TableA12">'[1]Template names'!$B$122</definedName>
    <definedName name="TableA12a">'[2]Template names'!$B$122</definedName>
    <definedName name="TableA12b">'[2]Template names'!$B$123</definedName>
    <definedName name="TableA13" localSheetId="4">'[2]Template names'!$B$124</definedName>
    <definedName name="TableA13">'[1]Template names'!$B$123</definedName>
    <definedName name="TableA14" localSheetId="4">'[2]Template names'!$B$125</definedName>
    <definedName name="TableA14">'[1]Template names'!$B$124</definedName>
    <definedName name="TableA15" localSheetId="4">'[2]Template names'!$B$126</definedName>
    <definedName name="TableA15">'[1]Template names'!$B$125</definedName>
    <definedName name="TableA16" localSheetId="4">'[2]Template names'!$B$127</definedName>
    <definedName name="TableA16">'[1]Template names'!$B$126</definedName>
    <definedName name="TableA17" localSheetId="4">'[2]Template names'!$B$128</definedName>
    <definedName name="TableA17">'[1]Template names'!$B$127</definedName>
    <definedName name="TableA18" localSheetId="4">'[2]Template names'!$B$129</definedName>
    <definedName name="TableA18">'[1]Template names'!$B$128</definedName>
    <definedName name="TableA19" localSheetId="4">'[2]Template names'!$B$130</definedName>
    <definedName name="TableA19">'[1]Template names'!$B$129</definedName>
    <definedName name="TableA2" localSheetId="4">'[2]Template names'!$B$112</definedName>
    <definedName name="TableA2">'[1]Template names'!$B$112</definedName>
    <definedName name="TableA20" localSheetId="4">'[2]Template names'!$B$131</definedName>
    <definedName name="TableA20">'[1]Template names'!$B$130</definedName>
    <definedName name="TableA21" localSheetId="4">'[2]Template names'!$B$132</definedName>
    <definedName name="TableA21">'[1]Template names'!$B$131</definedName>
    <definedName name="TableA22" localSheetId="4">'[2]Template names'!$B$133</definedName>
    <definedName name="TableA22">'[1]Template names'!$B$132</definedName>
    <definedName name="TableA23" localSheetId="4">'[2]Template names'!$B$134</definedName>
    <definedName name="TableA23">'[1]Template names'!$B$133</definedName>
    <definedName name="TableA24" localSheetId="4">'[2]Template names'!$B$135</definedName>
    <definedName name="TableA24">'[1]Template names'!$B$134</definedName>
    <definedName name="TableA25" localSheetId="4">'[2]Template names'!$B$136</definedName>
    <definedName name="TableA25">'[1]Template names'!$B$135</definedName>
    <definedName name="TableA26" localSheetId="4">'[2]Template names'!$B$137</definedName>
    <definedName name="TableA26">'[1]Template names'!$B$136</definedName>
    <definedName name="TableA27" localSheetId="4">'[2]Template names'!$B$138</definedName>
    <definedName name="TableA27">'[1]Template names'!$B$137</definedName>
    <definedName name="TableA28" localSheetId="4">'[2]Template names'!$B$139</definedName>
    <definedName name="TableA28">'[1]Template names'!$B$138</definedName>
    <definedName name="TableA29" localSheetId="4">'[2]Template names'!$B$140</definedName>
    <definedName name="TableA29">'[1]Template names'!$B$139</definedName>
    <definedName name="TableA3" localSheetId="4">'[2]Template names'!$B$113</definedName>
    <definedName name="TableA3">'[1]Template names'!$B$113</definedName>
    <definedName name="TableA30" localSheetId="4">'[2]Template names'!$B$141</definedName>
    <definedName name="TableA30">'[1]Template names'!$B$140</definedName>
    <definedName name="TableA31" localSheetId="4">'[2]Template names'!$B$142</definedName>
    <definedName name="TableA31">'[1]Template names'!$B$141</definedName>
    <definedName name="TableA32" localSheetId="4">'[2]Template names'!$B$143</definedName>
    <definedName name="TableA32">'[1]Template names'!$B$142</definedName>
    <definedName name="TableA33" localSheetId="4">'[2]Template names'!$B$144</definedName>
    <definedName name="TableA33">'[1]Template names'!$B$143</definedName>
    <definedName name="TableA34a" localSheetId="4">'[2]Template names'!$B$145</definedName>
    <definedName name="TableA34a">'[1]Template names'!$B$144</definedName>
    <definedName name="TableA34b" localSheetId="4">'[2]Template names'!$B$146</definedName>
    <definedName name="TableA34b">'[1]Template names'!$B$145</definedName>
    <definedName name="TableA34c" localSheetId="4">'[2]Template names'!$B$147</definedName>
    <definedName name="TableA34c">'[1]Template names'!$B$146</definedName>
    <definedName name="TableA34d">'[2]Template names'!$B$148</definedName>
    <definedName name="TableA35" localSheetId="4">'[2]Template names'!$B$149</definedName>
    <definedName name="TableA35">'[1]Template names'!$B$147</definedName>
    <definedName name="TableA36" localSheetId="4">'[2]Template names'!$B$150</definedName>
    <definedName name="TableA36">'[1]Template names'!$B$148</definedName>
    <definedName name="TableA37" localSheetId="4">'[2]Template names'!$B$151</definedName>
    <definedName name="TableA37">'[1]Template names'!$B$149</definedName>
    <definedName name="TableA4" localSheetId="4">'[2]Template names'!$B$114</definedName>
    <definedName name="TableA4">'[1]Template names'!$B$114</definedName>
    <definedName name="TableA5" localSheetId="4">'[2]Template names'!$B$115</definedName>
    <definedName name="TableA5">'[1]Template names'!$B$115</definedName>
    <definedName name="TableA6" localSheetId="4">'[2]Template names'!$B$116</definedName>
    <definedName name="TableA6">'[1]Template names'!$B$116</definedName>
    <definedName name="TableA7" localSheetId="4">'[2]Template names'!$B$117</definedName>
    <definedName name="TableA7">'[1]Template names'!$B$117</definedName>
    <definedName name="TableA8" localSheetId="4">'[2]Template names'!$B$118</definedName>
    <definedName name="TableA8">'[1]Template names'!$B$118</definedName>
    <definedName name="TableA9" localSheetId="5">'[1]Template names'!$B$119</definedName>
    <definedName name="TableA9" localSheetId="4">'[2]Template names'!$B$119</definedName>
    <definedName name="TableA9">'[7]Template names'!$B$119</definedName>
    <definedName name="TableD7" localSheetId="5">'[1]Template names'!#REF!</definedName>
    <definedName name="TableD7" localSheetId="1">'Template names'!#REF!</definedName>
    <definedName name="TableD7" localSheetId="4">'[2]Template names'!#REF!</definedName>
    <definedName name="TableD7" localSheetId="39">'[4]Template names'!#REF!</definedName>
    <definedName name="TableD7" localSheetId="40">'[4]Template names'!#REF!</definedName>
    <definedName name="TableD7">'[4]Template names'!#REF!</definedName>
    <definedName name="TableD8" localSheetId="5">'[1]Template names'!#REF!</definedName>
    <definedName name="TableD8" localSheetId="1">'Template names'!#REF!</definedName>
    <definedName name="TableD8" localSheetId="4">'[2]Template names'!#REF!</definedName>
    <definedName name="TableD8" localSheetId="39">'[4]Template names'!#REF!</definedName>
    <definedName name="TableD8" localSheetId="40">'[4]Template names'!#REF!</definedName>
    <definedName name="TableD8">'[4]Template names'!#REF!</definedName>
    <definedName name="TableE4" localSheetId="5">'[1]Template names'!#REF!</definedName>
    <definedName name="TableE4" localSheetId="1">'Template names'!#REF!</definedName>
    <definedName name="TableE4" localSheetId="4">'[2]Template names'!#REF!</definedName>
    <definedName name="TableE4" localSheetId="39">'[4]Template names'!#REF!</definedName>
    <definedName name="TableE4" localSheetId="40">'[4]Template names'!#REF!</definedName>
    <definedName name="TableE4">'[4]Template names'!#REF!</definedName>
    <definedName name="TableE7" localSheetId="5">'[1]Template names'!#REF!</definedName>
    <definedName name="TableE7" localSheetId="1">'Template names'!#REF!</definedName>
    <definedName name="TableE7" localSheetId="4">'[2]Template names'!#REF!</definedName>
    <definedName name="TableE7" localSheetId="39">'[4]Template names'!#REF!</definedName>
    <definedName name="TableE7" localSheetId="40">'[4]Template names'!#REF!</definedName>
    <definedName name="TableE7">'[4]Template names'!#REF!</definedName>
    <definedName name="TableE9" localSheetId="5">'[1]Template names'!#REF!</definedName>
    <definedName name="TableE9" localSheetId="1">'Template names'!#REF!</definedName>
    <definedName name="TableE9" localSheetId="4">'[2]Template names'!#REF!</definedName>
    <definedName name="TableE9" localSheetId="39">'[4]Template names'!#REF!</definedName>
    <definedName name="TableE9" localSheetId="40">'[4]Template names'!#REF!</definedName>
    <definedName name="TableE9">'[4]Template names'!#REF!</definedName>
    <definedName name="TableF6" localSheetId="5">'[1]Template names'!#REF!</definedName>
    <definedName name="TableF6" localSheetId="1">'Template names'!#REF!</definedName>
    <definedName name="TableF6" localSheetId="4">'[2]Template names'!#REF!</definedName>
    <definedName name="TableF6" localSheetId="39">'[4]Template names'!#REF!</definedName>
    <definedName name="TableF6" localSheetId="40">'[4]Template names'!#REF!</definedName>
    <definedName name="TableF6">'[4]Template names'!#REF!</definedName>
    <definedName name="tariffdisc05" localSheetId="1">#REF!</definedName>
    <definedName name="tariffdisc05" localSheetId="39">#REF!</definedName>
    <definedName name="tariffdisc05" localSheetId="40">#REF!</definedName>
    <definedName name="tariffdisc05">#REF!</definedName>
    <definedName name="tariffdisc06" localSheetId="40">#REF!</definedName>
    <definedName name="tariffdisc06">#REF!</definedName>
    <definedName name="tariffdisc07" localSheetId="40">#REF!</definedName>
    <definedName name="tariffdisc07">#REF!</definedName>
    <definedName name="tariffdisc08" localSheetId="40">#REF!</definedName>
    <definedName name="tariffdisc08">#REF!</definedName>
    <definedName name="tariffdisc09" localSheetId="40">#REF!</definedName>
    <definedName name="tariffdisc09">#REF!</definedName>
    <definedName name="tariffdisc10" localSheetId="40">#REF!</definedName>
    <definedName name="tariffdisc10">#REF!</definedName>
    <definedName name="tariffdisc11" localSheetId="40">#REF!</definedName>
    <definedName name="tariffdisc11">#REF!</definedName>
    <definedName name="tariffdisc12" localSheetId="40">#REF!</definedName>
    <definedName name="tariffdisc12">#REF!</definedName>
    <definedName name="tariffdisc13" localSheetId="40">#REF!</definedName>
    <definedName name="tariffdisc13">#REF!</definedName>
    <definedName name="tariffdisc14" localSheetId="40">#REF!</definedName>
    <definedName name="tariffdisc14">#REF!</definedName>
    <definedName name="tariffdisc15" localSheetId="40">#REF!</definedName>
    <definedName name="tariffdisc15">#REF!</definedName>
    <definedName name="tariffdisc16" localSheetId="40">#REF!</definedName>
    <definedName name="tariffdisc16">#REF!</definedName>
    <definedName name="tariffdisc17" localSheetId="40">#REF!</definedName>
    <definedName name="tariffdisc17">#REF!</definedName>
    <definedName name="tariffdisc18" localSheetId="40">#REF!</definedName>
    <definedName name="tariffdisc18">#REF!</definedName>
    <definedName name="tariffdisc19" localSheetId="40">#REF!</definedName>
    <definedName name="tariffdisc19">#REF!</definedName>
    <definedName name="tariffdisc20" localSheetId="40">#REF!</definedName>
    <definedName name="tariffdisc20">#REF!</definedName>
    <definedName name="title1" localSheetId="40">#REF!</definedName>
    <definedName name="title1">#REF!</definedName>
    <definedName name="Vdesc" localSheetId="5">'[1]Template names'!$B$32</definedName>
    <definedName name="Vdesc" localSheetId="4">'[2]Template names'!$B$32</definedName>
    <definedName name="Vdesc">'Template names'!$B$20</definedName>
    <definedName name="Vote" localSheetId="5">'[1]Org structure'!$A$2:$A$16</definedName>
    <definedName name="Vote" localSheetId="4">'Org structure'!$A$2:$A$16</definedName>
    <definedName name="Vote" localSheetId="40">#REF!</definedName>
    <definedName name="Vote">#REF!</definedName>
    <definedName name="Vote1" localSheetId="5">'[1]Org structure'!$B$3:$B$12</definedName>
    <definedName name="Vote1" localSheetId="4">'Org structure'!$D$3:$D$12</definedName>
    <definedName name="Vote1" localSheetId="40">#REF!</definedName>
    <definedName name="Vote1">#REF!</definedName>
    <definedName name="Vote10" localSheetId="5">'[1]Org structure'!$B$103:$B$112</definedName>
    <definedName name="Vote10" localSheetId="4">'Org structure'!$D$120:$D$129</definedName>
    <definedName name="Vote10" localSheetId="40">#REF!</definedName>
    <definedName name="Vote10">#REF!</definedName>
    <definedName name="Vote11" localSheetId="5">'[1]Org structure'!$B$114:$B$123</definedName>
    <definedName name="Vote11" localSheetId="4">'Org structure'!$D$131:$D$140</definedName>
    <definedName name="Vote11" localSheetId="40">#REF!</definedName>
    <definedName name="Vote11">#REF!</definedName>
    <definedName name="Vote12" localSheetId="5">'[1]Org structure'!$B$125:$B$134</definedName>
    <definedName name="Vote12" localSheetId="4">'Org structure'!$D$142:$D$151</definedName>
    <definedName name="Vote12" localSheetId="40">#REF!</definedName>
    <definedName name="Vote12">#REF!</definedName>
    <definedName name="Vote13" localSheetId="5">'[1]Org structure'!$B$136:$B$145</definedName>
    <definedName name="Vote13" localSheetId="4">'Org structure'!$D$153:$D$162</definedName>
    <definedName name="Vote13" localSheetId="40">#REF!</definedName>
    <definedName name="Vote13">#REF!</definedName>
    <definedName name="Vote14" localSheetId="5">'[1]Org structure'!$B$147:$B$156</definedName>
    <definedName name="Vote14" localSheetId="4">'Org structure'!$D$164:$D$173</definedName>
    <definedName name="Vote14" localSheetId="40">#REF!</definedName>
    <definedName name="Vote14">#REF!</definedName>
    <definedName name="Vote15" localSheetId="5">'[1]Org structure'!$B$158:$B$167</definedName>
    <definedName name="Vote15" localSheetId="4">'Org structure'!$D$175:$D$184</definedName>
    <definedName name="Vote15" localSheetId="40">#REF!</definedName>
    <definedName name="Vote15">#REF!</definedName>
    <definedName name="Vote2" localSheetId="5">'[1]Org structure'!$B$14:$B$23</definedName>
    <definedName name="Vote2" localSheetId="4">'Org structure'!$D$14:$D$23</definedName>
    <definedName name="Vote2" localSheetId="40">#REF!</definedName>
    <definedName name="Vote2">#REF!</definedName>
    <definedName name="Vote3" localSheetId="5">'[1]Org structure'!$B$25:$B$34</definedName>
    <definedName name="Vote3" localSheetId="4">'Org structure'!$D$25:$D$34</definedName>
    <definedName name="Vote3" localSheetId="40">#REF!</definedName>
    <definedName name="Vote3">#REF!</definedName>
    <definedName name="Vote4" localSheetId="5">'[1]Org structure'!$B$36:$B$45</definedName>
    <definedName name="Vote4" localSheetId="4">'Org structure'!$D$36:$D$45</definedName>
    <definedName name="Vote4" localSheetId="40">#REF!</definedName>
    <definedName name="Vote4">#REF!</definedName>
    <definedName name="Vote5" localSheetId="5">'[1]Org structure'!$B$47:$B$56</definedName>
    <definedName name="Vote5" localSheetId="4">'Org structure'!$D$47:$D$56</definedName>
    <definedName name="Vote5" localSheetId="40">#REF!</definedName>
    <definedName name="Vote5">#REF!</definedName>
    <definedName name="Vote6" localSheetId="5">'[1]Org structure'!$B$58:$B$67</definedName>
    <definedName name="Vote6" localSheetId="4">'Org structure'!$D$65:$D$74</definedName>
    <definedName name="Vote6" localSheetId="40">#REF!</definedName>
    <definedName name="Vote6">#REF!</definedName>
    <definedName name="Vote7" localSheetId="5">'[1]Org structure'!$B$69:$B$78</definedName>
    <definedName name="Vote7" localSheetId="4">'Org structure'!$D$81:$D$90</definedName>
    <definedName name="Vote7" localSheetId="40">#REF!</definedName>
    <definedName name="Vote7">#REF!</definedName>
    <definedName name="Vote8" localSheetId="5">'[1]Org structure'!$B$80:$B$90</definedName>
    <definedName name="Vote8" localSheetId="4">'Org structure'!$D$98:$D$107</definedName>
    <definedName name="Vote8" localSheetId="40">#REF!</definedName>
    <definedName name="Vote8">#REF!</definedName>
    <definedName name="Vote9" localSheetId="5">'[1]Org structure'!$B$92:$B$101</definedName>
    <definedName name="Vote9" localSheetId="4">'Org structure'!$D$109:$D$118</definedName>
    <definedName name="Vote9" localSheetId="40">#REF!</definedName>
    <definedName name="Vote9">#REF!</definedName>
    <definedName name="Y_N">'Lookup and lists'!$R$62:$R$64</definedName>
    <definedName name="YesNo" localSheetId="3">'Lookup and lists'!$V$2:$V$3</definedName>
    <definedName name="YesNo">'Lookup and lists'!$V$2:$V$3</definedName>
    <definedName name="yrend">[5]Data!$B$3</definedName>
  </definedNames>
  <calcPr calcId="162913"/>
</workbook>
</file>

<file path=xl/calcChain.xml><?xml version="1.0" encoding="utf-8"?>
<calcChain xmlns="http://schemas.openxmlformats.org/spreadsheetml/2006/main">
  <c r="I38" i="18" l="1"/>
  <c r="H21" i="18"/>
  <c r="I21" i="18"/>
  <c r="I13" i="13"/>
  <c r="P14" i="31" l="1"/>
  <c r="I28" i="13"/>
  <c r="I10" i="13"/>
  <c r="I9" i="13"/>
  <c r="I14" i="46"/>
  <c r="I16" i="13" l="1"/>
  <c r="I12" i="13"/>
  <c r="I18" i="13" l="1"/>
  <c r="K18" i="33" l="1"/>
  <c r="M27" i="32"/>
  <c r="M33" i="32"/>
  <c r="G33" i="25"/>
  <c r="F33" i="25"/>
  <c r="E33" i="25"/>
  <c r="D33" i="25"/>
  <c r="C33" i="25"/>
  <c r="G9" i="25"/>
  <c r="F9" i="25"/>
  <c r="E9" i="25"/>
  <c r="D9" i="25"/>
  <c r="C9" i="25"/>
  <c r="H68" i="11" l="1"/>
  <c r="G68" i="11"/>
  <c r="F68" i="11"/>
  <c r="E68" i="11"/>
  <c r="D68" i="11"/>
  <c r="C68" i="11"/>
  <c r="I98" i="17"/>
  <c r="I97" i="17"/>
  <c r="F15" i="24"/>
  <c r="D38" i="24" l="1"/>
  <c r="D37" i="24"/>
  <c r="D36" i="24"/>
  <c r="D35" i="24"/>
  <c r="D34" i="24"/>
  <c r="D33" i="24"/>
  <c r="D16" i="24"/>
  <c r="D15" i="24"/>
  <c r="D14" i="24"/>
  <c r="D13" i="24"/>
  <c r="D12" i="24"/>
  <c r="D11" i="24"/>
  <c r="D10" i="24"/>
  <c r="L18" i="33" l="1"/>
  <c r="M18" i="33"/>
  <c r="M22" i="33"/>
  <c r="M8" i="33"/>
  <c r="M21" i="33"/>
  <c r="M23" i="33"/>
  <c r="L21" i="33"/>
  <c r="L23" i="33"/>
  <c r="M26" i="32"/>
  <c r="G38" i="24" l="1"/>
  <c r="F38" i="24"/>
  <c r="G37" i="24"/>
  <c r="F37" i="24"/>
  <c r="G36" i="24"/>
  <c r="F36" i="24"/>
  <c r="G35" i="24"/>
  <c r="F35" i="24"/>
  <c r="G34" i="24"/>
  <c r="F34" i="24"/>
  <c r="G33" i="24"/>
  <c r="F33" i="24"/>
  <c r="G18" i="24"/>
  <c r="F18" i="24"/>
  <c r="G16" i="24"/>
  <c r="F16" i="24"/>
  <c r="G15" i="24"/>
  <c r="G14" i="24"/>
  <c r="F14" i="24"/>
  <c r="G13" i="24"/>
  <c r="F13" i="24"/>
  <c r="G12" i="24"/>
  <c r="F12" i="24"/>
  <c r="G11" i="24"/>
  <c r="F11" i="24"/>
  <c r="G10" i="24"/>
  <c r="F10" i="24"/>
  <c r="H140" i="15"/>
  <c r="H142" i="15"/>
  <c r="H12" i="33" l="1"/>
  <c r="D34" i="27" l="1"/>
  <c r="N300" i="35" l="1"/>
  <c r="N234" i="35"/>
  <c r="R300" i="35" l="1"/>
  <c r="Q300" i="35"/>
  <c r="P300" i="35"/>
  <c r="O300" i="35"/>
  <c r="M300" i="35"/>
  <c r="A44" i="36" l="1"/>
  <c r="M43" i="36"/>
  <c r="L43" i="36"/>
  <c r="K43" i="36"/>
  <c r="J43" i="36"/>
  <c r="I43" i="36"/>
  <c r="H43" i="36"/>
  <c r="G43" i="36"/>
  <c r="F43" i="36"/>
  <c r="E43" i="36"/>
  <c r="D43" i="36"/>
  <c r="C43" i="36"/>
  <c r="K42" i="36"/>
  <c r="J42" i="36"/>
  <c r="K41" i="36"/>
  <c r="J41" i="36"/>
  <c r="K40" i="36"/>
  <c r="J40" i="36"/>
  <c r="K39" i="36"/>
  <c r="J39" i="36"/>
  <c r="K38" i="36"/>
  <c r="J38" i="36"/>
  <c r="K37" i="36"/>
  <c r="J37" i="36"/>
  <c r="K36" i="36"/>
  <c r="J36" i="36"/>
  <c r="K35" i="36"/>
  <c r="J35" i="36"/>
  <c r="K34" i="36"/>
  <c r="J34" i="36"/>
  <c r="K33" i="36"/>
  <c r="J33" i="36"/>
  <c r="M30" i="36"/>
  <c r="L30" i="36"/>
  <c r="K30" i="36"/>
  <c r="J30" i="36"/>
  <c r="I30" i="36"/>
  <c r="H30" i="36"/>
  <c r="G30" i="36"/>
  <c r="F30" i="36"/>
  <c r="E30" i="36"/>
  <c r="D30" i="36"/>
  <c r="C30" i="36"/>
  <c r="K29" i="36"/>
  <c r="J29" i="36"/>
  <c r="K28" i="36"/>
  <c r="J28" i="36"/>
  <c r="K27" i="36"/>
  <c r="J27" i="36"/>
  <c r="K26" i="36"/>
  <c r="J26" i="36"/>
  <c r="K25" i="36"/>
  <c r="J25" i="36"/>
  <c r="K24" i="36"/>
  <c r="J24" i="36"/>
  <c r="K23" i="36"/>
  <c r="J23" i="36"/>
  <c r="K22" i="36"/>
  <c r="J22" i="36"/>
  <c r="K21" i="36"/>
  <c r="J21" i="36"/>
  <c r="K20" i="36"/>
  <c r="J20" i="36"/>
  <c r="M17" i="36"/>
  <c r="L17" i="36"/>
  <c r="K17" i="36"/>
  <c r="J17" i="36"/>
  <c r="I17" i="36"/>
  <c r="H17" i="36"/>
  <c r="G17" i="36"/>
  <c r="F17" i="36"/>
  <c r="E17" i="36"/>
  <c r="D17" i="36"/>
  <c r="C17" i="36"/>
  <c r="K16" i="36"/>
  <c r="J16" i="36"/>
  <c r="K15" i="36"/>
  <c r="J15" i="36"/>
  <c r="K14" i="36"/>
  <c r="J14" i="36"/>
  <c r="K13" i="36"/>
  <c r="J13" i="36"/>
  <c r="K12" i="36"/>
  <c r="J12" i="36"/>
  <c r="K11" i="36"/>
  <c r="J11" i="36"/>
  <c r="K10" i="36"/>
  <c r="J10" i="36"/>
  <c r="K9" i="36"/>
  <c r="J9" i="36"/>
  <c r="K8" i="36"/>
  <c r="J8" i="36"/>
  <c r="K7" i="36"/>
  <c r="J7" i="36"/>
  <c r="M3" i="36"/>
  <c r="L3" i="36"/>
  <c r="K3" i="36"/>
  <c r="J3" i="36"/>
  <c r="I3" i="36"/>
  <c r="H3" i="36"/>
  <c r="G3" i="36"/>
  <c r="F3" i="36"/>
  <c r="E3" i="36"/>
  <c r="D3" i="36"/>
  <c r="C3" i="36"/>
  <c r="M2" i="36"/>
  <c r="L2" i="36"/>
  <c r="C2" i="36"/>
  <c r="B2" i="36"/>
  <c r="A2" i="36"/>
  <c r="A1" i="36"/>
  <c r="R4" i="35"/>
  <c r="Q4" i="35"/>
  <c r="P4" i="35"/>
  <c r="O4" i="35"/>
  <c r="N4" i="35"/>
  <c r="M4" i="35"/>
  <c r="Q3" i="35"/>
  <c r="O3" i="35"/>
  <c r="M3" i="35"/>
  <c r="M2" i="35"/>
  <c r="A1" i="35"/>
  <c r="C183" i="53"/>
  <c r="A171" i="53"/>
  <c r="M169" i="53"/>
  <c r="L169" i="53"/>
  <c r="G169" i="53"/>
  <c r="F169" i="53"/>
  <c r="E169" i="53"/>
  <c r="C169" i="53"/>
  <c r="K167" i="53"/>
  <c r="J167" i="53"/>
  <c r="M166" i="53"/>
  <c r="L166" i="53"/>
  <c r="K166" i="53"/>
  <c r="J166" i="53"/>
  <c r="I166" i="53"/>
  <c r="H166" i="53"/>
  <c r="G166" i="53"/>
  <c r="F166" i="53"/>
  <c r="E166" i="53"/>
  <c r="D166" i="53"/>
  <c r="C166" i="53"/>
  <c r="K164" i="53"/>
  <c r="J164" i="53"/>
  <c r="M163" i="53"/>
  <c r="L163" i="53"/>
  <c r="K163" i="53"/>
  <c r="J163" i="53"/>
  <c r="I163" i="53"/>
  <c r="H163" i="53"/>
  <c r="G163" i="53"/>
  <c r="F163" i="53"/>
  <c r="E163" i="53"/>
  <c r="D163" i="53"/>
  <c r="C163" i="53"/>
  <c r="K161" i="53"/>
  <c r="J161" i="53"/>
  <c r="M160" i="53"/>
  <c r="L160" i="53"/>
  <c r="K160" i="53"/>
  <c r="J160" i="53"/>
  <c r="I160" i="53"/>
  <c r="H160" i="53"/>
  <c r="G160" i="53"/>
  <c r="F160" i="53"/>
  <c r="E160" i="53"/>
  <c r="D160" i="53"/>
  <c r="C160" i="53"/>
  <c r="K158" i="53"/>
  <c r="J158" i="53"/>
  <c r="M157" i="53"/>
  <c r="L157" i="53"/>
  <c r="K157" i="53"/>
  <c r="J157" i="53"/>
  <c r="I157" i="53"/>
  <c r="H157" i="53"/>
  <c r="G157" i="53"/>
  <c r="F157" i="53"/>
  <c r="E157" i="53"/>
  <c r="D157" i="53"/>
  <c r="C157" i="53"/>
  <c r="K155" i="53"/>
  <c r="J155" i="53"/>
  <c r="M154" i="53"/>
  <c r="L154" i="53"/>
  <c r="K154" i="53"/>
  <c r="J154" i="53"/>
  <c r="I154" i="53"/>
  <c r="H154" i="53"/>
  <c r="G154" i="53"/>
  <c r="F154" i="53"/>
  <c r="E154" i="53"/>
  <c r="D154" i="53"/>
  <c r="C154" i="53"/>
  <c r="K152" i="53"/>
  <c r="J152" i="53"/>
  <c r="M151" i="53"/>
  <c r="L151" i="53"/>
  <c r="K151" i="53"/>
  <c r="J151" i="53"/>
  <c r="I151" i="53"/>
  <c r="H151" i="53"/>
  <c r="G151" i="53"/>
  <c r="F151" i="53"/>
  <c r="E151" i="53"/>
  <c r="D151" i="53"/>
  <c r="C151" i="53"/>
  <c r="K149" i="53"/>
  <c r="J149" i="53"/>
  <c r="K148" i="53"/>
  <c r="J148" i="53"/>
  <c r="K147" i="53"/>
  <c r="J147" i="53"/>
  <c r="K146" i="53"/>
  <c r="J146" i="53"/>
  <c r="K145" i="53"/>
  <c r="J145" i="53"/>
  <c r="K144" i="53"/>
  <c r="J144" i="53"/>
  <c r="M143" i="53"/>
  <c r="L143" i="53"/>
  <c r="K143" i="53"/>
  <c r="J143" i="53"/>
  <c r="I143" i="53"/>
  <c r="H143" i="53"/>
  <c r="G143" i="53"/>
  <c r="F143" i="53"/>
  <c r="E143" i="53"/>
  <c r="D143" i="53"/>
  <c r="C143" i="53"/>
  <c r="K142" i="53"/>
  <c r="J142" i="53"/>
  <c r="M141" i="53"/>
  <c r="L141" i="53"/>
  <c r="K141" i="53"/>
  <c r="J141" i="53"/>
  <c r="I141" i="53"/>
  <c r="H141" i="53"/>
  <c r="G141" i="53"/>
  <c r="F141" i="53"/>
  <c r="E141" i="53"/>
  <c r="D141" i="53"/>
  <c r="C141" i="53"/>
  <c r="K139" i="53"/>
  <c r="J139" i="53"/>
  <c r="M138" i="53"/>
  <c r="L138" i="53"/>
  <c r="K138" i="53"/>
  <c r="J138" i="53"/>
  <c r="I138" i="53"/>
  <c r="H138" i="53"/>
  <c r="G138" i="53"/>
  <c r="F138" i="53"/>
  <c r="E138" i="53"/>
  <c r="D138" i="53"/>
  <c r="C138" i="53"/>
  <c r="K136" i="53"/>
  <c r="J136" i="53"/>
  <c r="K135" i="53"/>
  <c r="J135" i="53"/>
  <c r="K134" i="53"/>
  <c r="J134" i="53"/>
  <c r="M133" i="53"/>
  <c r="L133" i="53"/>
  <c r="K133" i="53"/>
  <c r="J133" i="53"/>
  <c r="I133" i="53"/>
  <c r="H133" i="53"/>
  <c r="G133" i="53"/>
  <c r="F133" i="53"/>
  <c r="E133" i="53"/>
  <c r="D133" i="53"/>
  <c r="C133" i="53"/>
  <c r="K132" i="53"/>
  <c r="J132" i="53"/>
  <c r="K131" i="53"/>
  <c r="J131" i="53"/>
  <c r="K130" i="53"/>
  <c r="J130" i="53"/>
  <c r="K129" i="53"/>
  <c r="J129" i="53"/>
  <c r="K128" i="53"/>
  <c r="J128" i="53"/>
  <c r="K127" i="53"/>
  <c r="J127" i="53"/>
  <c r="K126" i="53"/>
  <c r="J126" i="53"/>
  <c r="K125" i="53"/>
  <c r="J125" i="53"/>
  <c r="K124" i="53"/>
  <c r="J124" i="53"/>
  <c r="K123" i="53"/>
  <c r="J123" i="53"/>
  <c r="K122" i="53"/>
  <c r="J122" i="53"/>
  <c r="M121" i="53"/>
  <c r="L121" i="53"/>
  <c r="I121" i="53"/>
  <c r="I120" i="53" s="1"/>
  <c r="H121" i="53"/>
  <c r="H120" i="53" s="1"/>
  <c r="G121" i="53"/>
  <c r="F121" i="53"/>
  <c r="E121" i="53"/>
  <c r="D121" i="53"/>
  <c r="D120" i="53" s="1"/>
  <c r="C121" i="53"/>
  <c r="M120" i="53"/>
  <c r="L120" i="53"/>
  <c r="G120" i="53"/>
  <c r="F120" i="53"/>
  <c r="E120" i="53"/>
  <c r="C120" i="53"/>
  <c r="K118" i="53"/>
  <c r="J118" i="53"/>
  <c r="K117" i="53"/>
  <c r="J117" i="53"/>
  <c r="M116" i="53"/>
  <c r="L116" i="53"/>
  <c r="K116" i="53"/>
  <c r="J116" i="53"/>
  <c r="I116" i="53"/>
  <c r="H116" i="53"/>
  <c r="G116" i="53"/>
  <c r="F116" i="53"/>
  <c r="E116" i="53"/>
  <c r="D116" i="53"/>
  <c r="C116" i="53"/>
  <c r="K115" i="53"/>
  <c r="J115" i="53"/>
  <c r="K114" i="53"/>
  <c r="J114" i="53"/>
  <c r="M113" i="53"/>
  <c r="L113" i="53"/>
  <c r="K113" i="53"/>
  <c r="J113" i="53"/>
  <c r="I113" i="53"/>
  <c r="H113" i="53"/>
  <c r="G113" i="53"/>
  <c r="F113" i="53"/>
  <c r="E113" i="53"/>
  <c r="D113" i="53"/>
  <c r="C113" i="53"/>
  <c r="M112" i="53"/>
  <c r="L112" i="53"/>
  <c r="J112" i="53"/>
  <c r="I112" i="53"/>
  <c r="H112" i="53"/>
  <c r="G112" i="53"/>
  <c r="F112" i="53"/>
  <c r="E112" i="53"/>
  <c r="D112" i="53"/>
  <c r="K112" i="53" s="1"/>
  <c r="C112" i="53"/>
  <c r="K110" i="53"/>
  <c r="J110" i="53"/>
  <c r="K109" i="53"/>
  <c r="J109" i="53"/>
  <c r="K108" i="53"/>
  <c r="J108" i="53"/>
  <c r="K107" i="53"/>
  <c r="J107" i="53"/>
  <c r="K106" i="53"/>
  <c r="J106" i="53"/>
  <c r="M105" i="53"/>
  <c r="L105" i="53"/>
  <c r="K105" i="53"/>
  <c r="J105" i="53"/>
  <c r="I105" i="53"/>
  <c r="H105" i="53"/>
  <c r="G105" i="53"/>
  <c r="F105" i="53"/>
  <c r="E105" i="53"/>
  <c r="D105" i="53"/>
  <c r="C105" i="53"/>
  <c r="K103" i="53"/>
  <c r="J103" i="53"/>
  <c r="J102" i="53"/>
  <c r="K102" i="53" s="1"/>
  <c r="K101" i="53"/>
  <c r="J101" i="53"/>
  <c r="M100" i="53"/>
  <c r="L100" i="53"/>
  <c r="I100" i="53"/>
  <c r="J100" i="53" s="1"/>
  <c r="J83" i="15" s="1"/>
  <c r="H100" i="53"/>
  <c r="G100" i="53"/>
  <c r="F100" i="53"/>
  <c r="E100" i="53"/>
  <c r="D100" i="53"/>
  <c r="C100" i="53"/>
  <c r="K99" i="53"/>
  <c r="J99" i="53"/>
  <c r="K98" i="53"/>
  <c r="J98" i="53"/>
  <c r="J97" i="53"/>
  <c r="K97" i="53" s="1"/>
  <c r="J96" i="53"/>
  <c r="K96" i="53" s="1"/>
  <c r="K95" i="53"/>
  <c r="J95" i="53"/>
  <c r="J94" i="53"/>
  <c r="K94" i="53" s="1"/>
  <c r="J93" i="53"/>
  <c r="K93" i="53" s="1"/>
  <c r="J92" i="53"/>
  <c r="K92" i="53" s="1"/>
  <c r="J91" i="53"/>
  <c r="K91" i="53" s="1"/>
  <c r="J90" i="53"/>
  <c r="K90" i="53" s="1"/>
  <c r="K89" i="53"/>
  <c r="J89" i="53"/>
  <c r="K88" i="53"/>
  <c r="J88" i="53"/>
  <c r="K87" i="53"/>
  <c r="J87" i="53"/>
  <c r="K86" i="53"/>
  <c r="J86" i="53"/>
  <c r="K85" i="53"/>
  <c r="J85" i="53"/>
  <c r="K84" i="53"/>
  <c r="J84" i="53"/>
  <c r="K83" i="53"/>
  <c r="J83" i="53"/>
  <c r="K82" i="53"/>
  <c r="J82" i="53"/>
  <c r="K81" i="53"/>
  <c r="J81" i="53"/>
  <c r="K80" i="53"/>
  <c r="J80" i="53"/>
  <c r="K79" i="53"/>
  <c r="J79" i="53"/>
  <c r="J78" i="53"/>
  <c r="K78" i="53" s="1"/>
  <c r="M77" i="53"/>
  <c r="L77" i="53"/>
  <c r="I77" i="53"/>
  <c r="J77" i="53" s="1"/>
  <c r="J82" i="15" s="1"/>
  <c r="H77" i="53"/>
  <c r="G77" i="53"/>
  <c r="F77" i="53"/>
  <c r="E77" i="53"/>
  <c r="D77" i="53"/>
  <c r="C77" i="53"/>
  <c r="M76" i="53"/>
  <c r="L76" i="53"/>
  <c r="H76" i="53"/>
  <c r="G76" i="53"/>
  <c r="F76" i="53"/>
  <c r="E76" i="53"/>
  <c r="C76" i="53"/>
  <c r="K74" i="53"/>
  <c r="J74" i="53"/>
  <c r="K73" i="53"/>
  <c r="J73" i="53"/>
  <c r="K72" i="53"/>
  <c r="J72" i="53"/>
  <c r="K71" i="53"/>
  <c r="J71" i="53"/>
  <c r="M70" i="53"/>
  <c r="L70" i="53"/>
  <c r="K70" i="53"/>
  <c r="J70" i="53"/>
  <c r="I70" i="53"/>
  <c r="H70" i="53"/>
  <c r="G70" i="53"/>
  <c r="F70" i="53"/>
  <c r="E70" i="53"/>
  <c r="D70" i="53"/>
  <c r="C70" i="53"/>
  <c r="K69" i="53"/>
  <c r="J69" i="53"/>
  <c r="K68" i="53"/>
  <c r="J68" i="53"/>
  <c r="K67" i="53"/>
  <c r="J67" i="53"/>
  <c r="K66" i="53"/>
  <c r="J66" i="53"/>
  <c r="K65" i="53"/>
  <c r="J65" i="53"/>
  <c r="M64" i="53"/>
  <c r="L64" i="53"/>
  <c r="K64" i="53"/>
  <c r="J64" i="53"/>
  <c r="I64" i="53"/>
  <c r="H64" i="53"/>
  <c r="G64" i="53"/>
  <c r="F64" i="53"/>
  <c r="E64" i="53"/>
  <c r="D64" i="53"/>
  <c r="C64" i="53"/>
  <c r="K63" i="53"/>
  <c r="J63" i="53"/>
  <c r="K62" i="53"/>
  <c r="J62" i="53"/>
  <c r="K61" i="53"/>
  <c r="J61" i="53"/>
  <c r="K60" i="53"/>
  <c r="J60" i="53"/>
  <c r="K59" i="53"/>
  <c r="J59" i="53"/>
  <c r="K58" i="53"/>
  <c r="J58" i="53"/>
  <c r="K57" i="53"/>
  <c r="J57" i="53"/>
  <c r="K56" i="53"/>
  <c r="J56" i="53"/>
  <c r="K55" i="53"/>
  <c r="J55" i="53"/>
  <c r="M54" i="53"/>
  <c r="L54" i="53"/>
  <c r="K54" i="53"/>
  <c r="J54" i="53"/>
  <c r="I54" i="53"/>
  <c r="H54" i="53"/>
  <c r="G54" i="53"/>
  <c r="F54" i="53"/>
  <c r="E54" i="53"/>
  <c r="D54" i="53"/>
  <c r="C54" i="53"/>
  <c r="K53" i="53"/>
  <c r="J53" i="53"/>
  <c r="K52" i="53"/>
  <c r="J52" i="53"/>
  <c r="K51" i="53"/>
  <c r="J51" i="53"/>
  <c r="K50" i="53"/>
  <c r="J50" i="53"/>
  <c r="K49" i="53"/>
  <c r="J49" i="53"/>
  <c r="J48" i="53"/>
  <c r="K48" i="53" s="1"/>
  <c r="K47" i="53"/>
  <c r="J47" i="53"/>
  <c r="M46" i="53"/>
  <c r="L46" i="53"/>
  <c r="I46" i="53"/>
  <c r="J46" i="53" s="1"/>
  <c r="H46" i="53"/>
  <c r="G46" i="53"/>
  <c r="F46" i="53"/>
  <c r="E46" i="53"/>
  <c r="D46" i="53"/>
  <c r="C46" i="53"/>
  <c r="K45" i="53"/>
  <c r="J45" i="53"/>
  <c r="K44" i="53"/>
  <c r="J44" i="53"/>
  <c r="K43" i="53"/>
  <c r="J43" i="53"/>
  <c r="J42" i="53"/>
  <c r="K42" i="53" s="1"/>
  <c r="K41" i="53"/>
  <c r="J41" i="53"/>
  <c r="K40" i="53"/>
  <c r="J40" i="53"/>
  <c r="M39" i="53"/>
  <c r="L39" i="53"/>
  <c r="I39" i="53"/>
  <c r="J39" i="53" s="1"/>
  <c r="J76" i="15" s="1"/>
  <c r="H39" i="53"/>
  <c r="G39" i="53"/>
  <c r="F39" i="53"/>
  <c r="E39" i="53"/>
  <c r="D39" i="53"/>
  <c r="C39" i="53"/>
  <c r="K38" i="53"/>
  <c r="J38" i="53"/>
  <c r="K37" i="53"/>
  <c r="J37" i="53"/>
  <c r="K36" i="53"/>
  <c r="J36" i="53"/>
  <c r="K35" i="53"/>
  <c r="J35" i="53"/>
  <c r="J34" i="53"/>
  <c r="K34" i="53" s="1"/>
  <c r="J33" i="53"/>
  <c r="K33" i="53" s="1"/>
  <c r="K32" i="53"/>
  <c r="J32" i="53"/>
  <c r="K31" i="53"/>
  <c r="J31" i="53"/>
  <c r="K30" i="53"/>
  <c r="J30" i="53"/>
  <c r="K29" i="53"/>
  <c r="J29" i="53"/>
  <c r="M28" i="53"/>
  <c r="L28" i="53"/>
  <c r="I28" i="53"/>
  <c r="I75" i="15" s="1"/>
  <c r="H28" i="53"/>
  <c r="H75" i="15" s="1"/>
  <c r="G28" i="53"/>
  <c r="F28" i="53"/>
  <c r="E28" i="53"/>
  <c r="D28" i="53"/>
  <c r="D75" i="15" s="1"/>
  <c r="C28" i="53"/>
  <c r="K27" i="53"/>
  <c r="J27" i="53"/>
  <c r="K26" i="53"/>
  <c r="J26" i="53"/>
  <c r="K25" i="53"/>
  <c r="J25" i="53"/>
  <c r="K24" i="53"/>
  <c r="J24" i="53"/>
  <c r="K23" i="53"/>
  <c r="J23" i="53"/>
  <c r="J22" i="53"/>
  <c r="K22" i="53" s="1"/>
  <c r="J21" i="53"/>
  <c r="K21" i="53" s="1"/>
  <c r="K20" i="53"/>
  <c r="J20" i="53"/>
  <c r="K19" i="53"/>
  <c r="J19" i="53"/>
  <c r="M18" i="53"/>
  <c r="L18" i="53"/>
  <c r="I18" i="53"/>
  <c r="H18" i="53"/>
  <c r="H74" i="15" s="1"/>
  <c r="G18" i="53"/>
  <c r="F18" i="53"/>
  <c r="E18" i="53"/>
  <c r="D18" i="53"/>
  <c r="C18" i="53"/>
  <c r="K17" i="53"/>
  <c r="J17" i="53"/>
  <c r="K16" i="53"/>
  <c r="J16" i="53"/>
  <c r="K15" i="53"/>
  <c r="J15" i="53"/>
  <c r="M14" i="53"/>
  <c r="L14" i="53"/>
  <c r="K14" i="53"/>
  <c r="J14" i="53"/>
  <c r="I14" i="53"/>
  <c r="H14" i="53"/>
  <c r="G14" i="53"/>
  <c r="F14" i="53"/>
  <c r="E14" i="53"/>
  <c r="D14" i="53"/>
  <c r="C14" i="53"/>
  <c r="K13" i="53"/>
  <c r="J13" i="53"/>
  <c r="K12" i="53"/>
  <c r="J12" i="53"/>
  <c r="J11" i="53"/>
  <c r="K11" i="53" s="1"/>
  <c r="J10" i="53"/>
  <c r="K10" i="53" s="1"/>
  <c r="M9" i="53"/>
  <c r="L9" i="53"/>
  <c r="I9" i="53"/>
  <c r="I72" i="15" s="1"/>
  <c r="H9" i="53"/>
  <c r="G9" i="53"/>
  <c r="F9" i="53"/>
  <c r="E9" i="53"/>
  <c r="D9" i="53"/>
  <c r="C9" i="53"/>
  <c r="M8" i="53"/>
  <c r="L8" i="53"/>
  <c r="G8" i="53"/>
  <c r="F8" i="53"/>
  <c r="E8" i="53"/>
  <c r="C8" i="53"/>
  <c r="M3" i="53"/>
  <c r="L3" i="53"/>
  <c r="K3" i="53"/>
  <c r="J3" i="53"/>
  <c r="I3" i="53"/>
  <c r="H3" i="53"/>
  <c r="G3" i="53"/>
  <c r="F3" i="53"/>
  <c r="E3" i="53"/>
  <c r="D3" i="53"/>
  <c r="C3" i="53"/>
  <c r="M2" i="53"/>
  <c r="L2" i="53"/>
  <c r="C2" i="53"/>
  <c r="B2" i="53"/>
  <c r="A2" i="53"/>
  <c r="A1" i="53"/>
  <c r="M182" i="52"/>
  <c r="L182" i="52"/>
  <c r="C182" i="52"/>
  <c r="A170" i="52"/>
  <c r="M169" i="52"/>
  <c r="L169" i="52"/>
  <c r="H169" i="52"/>
  <c r="G169" i="52"/>
  <c r="F169" i="52"/>
  <c r="E169" i="52"/>
  <c r="C169" i="52"/>
  <c r="K167" i="52"/>
  <c r="J167" i="52"/>
  <c r="M166" i="52"/>
  <c r="L166" i="52"/>
  <c r="K166" i="52"/>
  <c r="J166" i="52"/>
  <c r="I166" i="52"/>
  <c r="H166" i="52"/>
  <c r="G166" i="52"/>
  <c r="F166" i="52"/>
  <c r="E166" i="52"/>
  <c r="D166" i="52"/>
  <c r="C166" i="52"/>
  <c r="K164" i="52"/>
  <c r="J164" i="52"/>
  <c r="M163" i="52"/>
  <c r="L163" i="52"/>
  <c r="K163" i="52"/>
  <c r="J163" i="52"/>
  <c r="I163" i="52"/>
  <c r="H163" i="52"/>
  <c r="G163" i="52"/>
  <c r="F163" i="52"/>
  <c r="E163" i="52"/>
  <c r="D163" i="52"/>
  <c r="C163" i="52"/>
  <c r="K161" i="52"/>
  <c r="J161" i="52"/>
  <c r="M160" i="52"/>
  <c r="L160" i="52"/>
  <c r="J160" i="52"/>
  <c r="I160" i="52"/>
  <c r="H160" i="52"/>
  <c r="G160" i="52"/>
  <c r="F160" i="52"/>
  <c r="E160" i="52"/>
  <c r="D160" i="52"/>
  <c r="K160" i="52" s="1"/>
  <c r="C160" i="52"/>
  <c r="K158" i="52"/>
  <c r="J158" i="52"/>
  <c r="M157" i="52"/>
  <c r="L157" i="52"/>
  <c r="K157" i="52"/>
  <c r="J157" i="52"/>
  <c r="I157" i="52"/>
  <c r="H157" i="52"/>
  <c r="G157" i="52"/>
  <c r="F157" i="52"/>
  <c r="E157" i="52"/>
  <c r="D157" i="52"/>
  <c r="C157" i="52"/>
  <c r="J155" i="52"/>
  <c r="K155" i="52" s="1"/>
  <c r="M154" i="52"/>
  <c r="L154" i="52"/>
  <c r="I154" i="52"/>
  <c r="J154" i="52" s="1"/>
  <c r="H154" i="52"/>
  <c r="G154" i="52"/>
  <c r="F154" i="52"/>
  <c r="E154" i="52"/>
  <c r="D154" i="52"/>
  <c r="C154" i="52"/>
  <c r="K152" i="52"/>
  <c r="J152" i="52"/>
  <c r="M151" i="52"/>
  <c r="L151" i="52"/>
  <c r="I151" i="52"/>
  <c r="J151" i="52" s="1"/>
  <c r="H151" i="52"/>
  <c r="G151" i="52"/>
  <c r="F151" i="52"/>
  <c r="E151" i="52"/>
  <c r="D151" i="52"/>
  <c r="C151" i="52"/>
  <c r="K149" i="52"/>
  <c r="J149" i="52"/>
  <c r="K148" i="52"/>
  <c r="J148" i="52"/>
  <c r="K147" i="52"/>
  <c r="J147" i="52"/>
  <c r="K146" i="52"/>
  <c r="J146" i="52"/>
  <c r="K145" i="52"/>
  <c r="J145" i="52"/>
  <c r="K144" i="52"/>
  <c r="J144" i="52"/>
  <c r="M143" i="52"/>
  <c r="L143" i="52"/>
  <c r="I143" i="52"/>
  <c r="I141" i="52" s="1"/>
  <c r="J141" i="52" s="1"/>
  <c r="K141" i="52" s="1"/>
  <c r="H143" i="52"/>
  <c r="G143" i="52"/>
  <c r="F143" i="52"/>
  <c r="E143" i="52"/>
  <c r="D143" i="52"/>
  <c r="C143" i="52"/>
  <c r="K142" i="52"/>
  <c r="J142" i="52"/>
  <c r="M141" i="52"/>
  <c r="L141" i="52"/>
  <c r="H141" i="52"/>
  <c r="G141" i="52"/>
  <c r="F141" i="52"/>
  <c r="E141" i="52"/>
  <c r="D141" i="52"/>
  <c r="C141" i="52"/>
  <c r="K139" i="52"/>
  <c r="J139" i="52"/>
  <c r="M138" i="52"/>
  <c r="L138" i="52"/>
  <c r="K138" i="52"/>
  <c r="J138" i="52"/>
  <c r="I138" i="52"/>
  <c r="H138" i="52"/>
  <c r="G138" i="52"/>
  <c r="F138" i="52"/>
  <c r="E138" i="52"/>
  <c r="D138" i="52"/>
  <c r="C138" i="52"/>
  <c r="K136" i="52"/>
  <c r="J136" i="52"/>
  <c r="K135" i="52"/>
  <c r="J135" i="52"/>
  <c r="K134" i="52"/>
  <c r="J134" i="52"/>
  <c r="M133" i="52"/>
  <c r="L133" i="52"/>
  <c r="J133" i="52"/>
  <c r="I133" i="52"/>
  <c r="H133" i="52"/>
  <c r="G133" i="52"/>
  <c r="F133" i="52"/>
  <c r="E133" i="52"/>
  <c r="D133" i="52"/>
  <c r="K133" i="52" s="1"/>
  <c r="C133" i="52"/>
  <c r="K132" i="52"/>
  <c r="J132" i="52"/>
  <c r="K131" i="52"/>
  <c r="J131" i="52"/>
  <c r="K130" i="52"/>
  <c r="J130" i="52"/>
  <c r="K129" i="52"/>
  <c r="J129" i="52"/>
  <c r="K128" i="52"/>
  <c r="J128" i="52"/>
  <c r="K127" i="52"/>
  <c r="J127" i="52"/>
  <c r="K126" i="52"/>
  <c r="J126" i="52"/>
  <c r="K125" i="52"/>
  <c r="J125" i="52"/>
  <c r="K124" i="52"/>
  <c r="J124" i="52"/>
  <c r="K123" i="52"/>
  <c r="J123" i="52"/>
  <c r="K122" i="52"/>
  <c r="J122" i="52"/>
  <c r="M121" i="52"/>
  <c r="L121" i="52"/>
  <c r="K121" i="52"/>
  <c r="J121" i="52"/>
  <c r="I121" i="52"/>
  <c r="H121" i="52"/>
  <c r="G121" i="52"/>
  <c r="F121" i="52"/>
  <c r="E121" i="52"/>
  <c r="D121" i="52"/>
  <c r="C121" i="52"/>
  <c r="M120" i="52"/>
  <c r="L120" i="52"/>
  <c r="J120" i="52"/>
  <c r="I120" i="52"/>
  <c r="H120" i="52"/>
  <c r="G120" i="52"/>
  <c r="F120" i="52"/>
  <c r="E120" i="52"/>
  <c r="D120" i="52"/>
  <c r="K120" i="52" s="1"/>
  <c r="C120" i="52"/>
  <c r="K118" i="52"/>
  <c r="J118" i="52"/>
  <c r="K117" i="52"/>
  <c r="J117" i="52"/>
  <c r="M116" i="52"/>
  <c r="L116" i="52"/>
  <c r="K116" i="52"/>
  <c r="J116" i="52"/>
  <c r="I116" i="52"/>
  <c r="H116" i="52"/>
  <c r="G116" i="52"/>
  <c r="F116" i="52"/>
  <c r="E116" i="52"/>
  <c r="D116" i="52"/>
  <c r="C116" i="52"/>
  <c r="K115" i="52"/>
  <c r="J115" i="52"/>
  <c r="K114" i="52"/>
  <c r="J114" i="52"/>
  <c r="M113" i="52"/>
  <c r="L113" i="52"/>
  <c r="K113" i="52"/>
  <c r="J113" i="52"/>
  <c r="I113" i="52"/>
  <c r="H113" i="52"/>
  <c r="G113" i="52"/>
  <c r="F113" i="52"/>
  <c r="E113" i="52"/>
  <c r="D113" i="52"/>
  <c r="C113" i="52"/>
  <c r="M112" i="52"/>
  <c r="L112" i="52"/>
  <c r="K112" i="52"/>
  <c r="J112" i="52"/>
  <c r="I112" i="52"/>
  <c r="H112" i="52"/>
  <c r="G112" i="52"/>
  <c r="F112" i="52"/>
  <c r="E112" i="52"/>
  <c r="D112" i="52"/>
  <c r="C112" i="52"/>
  <c r="K110" i="52"/>
  <c r="J110" i="52"/>
  <c r="K109" i="52"/>
  <c r="J109" i="52"/>
  <c r="K108" i="52"/>
  <c r="J108" i="52"/>
  <c r="K107" i="52"/>
  <c r="J107" i="52"/>
  <c r="K106" i="52"/>
  <c r="J106" i="52"/>
  <c r="M105" i="52"/>
  <c r="L105" i="52"/>
  <c r="K105" i="52"/>
  <c r="J105" i="52"/>
  <c r="I105" i="52"/>
  <c r="H105" i="52"/>
  <c r="G105" i="52"/>
  <c r="F105" i="52"/>
  <c r="E105" i="52"/>
  <c r="D105" i="52"/>
  <c r="C105" i="52"/>
  <c r="K103" i="52"/>
  <c r="J103" i="52"/>
  <c r="K102" i="52"/>
  <c r="J102" i="52"/>
  <c r="K101" i="52"/>
  <c r="J101" i="52"/>
  <c r="M100" i="52"/>
  <c r="L100" i="52"/>
  <c r="I100" i="52"/>
  <c r="J100" i="52" s="1"/>
  <c r="K100" i="52" s="1"/>
  <c r="H100" i="52"/>
  <c r="G100" i="52"/>
  <c r="F100" i="52"/>
  <c r="E100" i="52"/>
  <c r="D100" i="52"/>
  <c r="C100" i="52"/>
  <c r="J99" i="52"/>
  <c r="K99" i="52" s="1"/>
  <c r="K98" i="52"/>
  <c r="J98" i="52"/>
  <c r="K97" i="52"/>
  <c r="J97" i="52"/>
  <c r="K96" i="52"/>
  <c r="J96" i="52"/>
  <c r="K95" i="52"/>
  <c r="J95" i="52"/>
  <c r="K94" i="52"/>
  <c r="J94" i="52"/>
  <c r="K93" i="52"/>
  <c r="J93" i="52"/>
  <c r="K92" i="52"/>
  <c r="J92" i="52"/>
  <c r="K91" i="52"/>
  <c r="J91" i="52"/>
  <c r="K90" i="52"/>
  <c r="J90" i="52"/>
  <c r="K89" i="52"/>
  <c r="J89" i="52"/>
  <c r="K88" i="52"/>
  <c r="J88" i="52"/>
  <c r="K87" i="52"/>
  <c r="J87" i="52"/>
  <c r="K86" i="52"/>
  <c r="J86" i="52"/>
  <c r="K85" i="52"/>
  <c r="J85" i="52"/>
  <c r="K84" i="52"/>
  <c r="J84" i="52"/>
  <c r="K83" i="52"/>
  <c r="J83" i="52"/>
  <c r="K82" i="52"/>
  <c r="J82" i="52"/>
  <c r="K81" i="52"/>
  <c r="J81" i="52"/>
  <c r="K80" i="52"/>
  <c r="J80" i="52"/>
  <c r="K79" i="52"/>
  <c r="J79" i="52"/>
  <c r="J78" i="52"/>
  <c r="K78" i="52" s="1"/>
  <c r="M77" i="52"/>
  <c r="L77" i="52"/>
  <c r="I77" i="52"/>
  <c r="J77" i="52" s="1"/>
  <c r="K77" i="52" s="1"/>
  <c r="H77" i="52"/>
  <c r="G77" i="52"/>
  <c r="F77" i="52"/>
  <c r="E77" i="52"/>
  <c r="D77" i="52"/>
  <c r="C77" i="52"/>
  <c r="M76" i="52"/>
  <c r="L76" i="52"/>
  <c r="H76" i="52"/>
  <c r="G76" i="52"/>
  <c r="F76" i="52"/>
  <c r="E76" i="52"/>
  <c r="D76" i="52"/>
  <c r="C76" i="52"/>
  <c r="K74" i="52"/>
  <c r="J74" i="52"/>
  <c r="K73" i="52"/>
  <c r="J73" i="52"/>
  <c r="K72" i="52"/>
  <c r="J72" i="52"/>
  <c r="K71" i="52"/>
  <c r="J71" i="52"/>
  <c r="M70" i="52"/>
  <c r="L70" i="52"/>
  <c r="K70" i="52"/>
  <c r="J70" i="52"/>
  <c r="I70" i="52"/>
  <c r="H70" i="52"/>
  <c r="G70" i="52"/>
  <c r="F70" i="52"/>
  <c r="E70" i="52"/>
  <c r="D70" i="52"/>
  <c r="C70" i="52"/>
  <c r="K69" i="52"/>
  <c r="J69" i="52"/>
  <c r="K68" i="52"/>
  <c r="J68" i="52"/>
  <c r="K67" i="52"/>
  <c r="J67" i="52"/>
  <c r="K66" i="52"/>
  <c r="J66" i="52"/>
  <c r="K65" i="52"/>
  <c r="J65" i="52"/>
  <c r="M64" i="52"/>
  <c r="L64" i="52"/>
  <c r="K64" i="52"/>
  <c r="J64" i="52"/>
  <c r="I64" i="52"/>
  <c r="H64" i="52"/>
  <c r="G64" i="52"/>
  <c r="F64" i="52"/>
  <c r="E64" i="52"/>
  <c r="D64" i="52"/>
  <c r="C64" i="52"/>
  <c r="K63" i="52"/>
  <c r="J63" i="52"/>
  <c r="K62" i="52"/>
  <c r="J62" i="52"/>
  <c r="K61" i="52"/>
  <c r="J61" i="52"/>
  <c r="K60" i="52"/>
  <c r="J60" i="52"/>
  <c r="K59" i="52"/>
  <c r="J59" i="52"/>
  <c r="K58" i="52"/>
  <c r="J58" i="52"/>
  <c r="K57" i="52"/>
  <c r="J57" i="52"/>
  <c r="K56" i="52"/>
  <c r="J56" i="52"/>
  <c r="K55" i="52"/>
  <c r="J55" i="52"/>
  <c r="M54" i="52"/>
  <c r="L54" i="52"/>
  <c r="K54" i="52"/>
  <c r="J54" i="52"/>
  <c r="I54" i="52"/>
  <c r="H54" i="52"/>
  <c r="G54" i="52"/>
  <c r="F54" i="52"/>
  <c r="E54" i="52"/>
  <c r="D54" i="52"/>
  <c r="C54" i="52"/>
  <c r="K53" i="52"/>
  <c r="J53" i="52"/>
  <c r="K52" i="52"/>
  <c r="J52" i="52"/>
  <c r="K51" i="52"/>
  <c r="J51" i="52"/>
  <c r="K50" i="52"/>
  <c r="J50" i="52"/>
  <c r="K49" i="52"/>
  <c r="J49" i="52"/>
  <c r="K48" i="52"/>
  <c r="J48" i="52"/>
  <c r="K47" i="52"/>
  <c r="J47" i="52"/>
  <c r="M46" i="52"/>
  <c r="L46" i="52"/>
  <c r="J46" i="52"/>
  <c r="K46" i="52" s="1"/>
  <c r="I46" i="52"/>
  <c r="H46" i="52"/>
  <c r="G46" i="52"/>
  <c r="F46" i="52"/>
  <c r="E46" i="52"/>
  <c r="D46" i="52"/>
  <c r="C46" i="52"/>
  <c r="K45" i="52"/>
  <c r="J45" i="52"/>
  <c r="K44" i="52"/>
  <c r="J44" i="52"/>
  <c r="K43" i="52"/>
  <c r="J43" i="52"/>
  <c r="K42" i="52"/>
  <c r="J42" i="52"/>
  <c r="K41" i="52"/>
  <c r="J41" i="52"/>
  <c r="K40" i="52"/>
  <c r="J40" i="52"/>
  <c r="M39" i="52"/>
  <c r="L39" i="52"/>
  <c r="K39" i="52"/>
  <c r="J39" i="52"/>
  <c r="I39" i="52"/>
  <c r="H39" i="52"/>
  <c r="G39" i="52"/>
  <c r="F39" i="52"/>
  <c r="E39" i="52"/>
  <c r="D39" i="52"/>
  <c r="C39" i="52"/>
  <c r="K38" i="52"/>
  <c r="J38" i="52"/>
  <c r="K37" i="52"/>
  <c r="J37" i="52"/>
  <c r="K36" i="52"/>
  <c r="J36" i="52"/>
  <c r="K35" i="52"/>
  <c r="J35" i="52"/>
  <c r="K34" i="52"/>
  <c r="J34" i="52"/>
  <c r="K33" i="52"/>
  <c r="J33" i="52"/>
  <c r="K32" i="52"/>
  <c r="J32" i="52"/>
  <c r="K31" i="52"/>
  <c r="J31" i="52"/>
  <c r="K30" i="52"/>
  <c r="J30" i="52"/>
  <c r="K29" i="52"/>
  <c r="J29" i="52"/>
  <c r="M28" i="52"/>
  <c r="L28" i="52"/>
  <c r="I28" i="52"/>
  <c r="J28" i="52" s="1"/>
  <c r="K28" i="52" s="1"/>
  <c r="H28" i="52"/>
  <c r="G28" i="52"/>
  <c r="F28" i="52"/>
  <c r="E28" i="52"/>
  <c r="D28" i="52"/>
  <c r="C28" i="52"/>
  <c r="K27" i="52"/>
  <c r="J27" i="52"/>
  <c r="K26" i="52"/>
  <c r="J26" i="52"/>
  <c r="J25" i="52"/>
  <c r="K25" i="52" s="1"/>
  <c r="K24" i="52"/>
  <c r="J24" i="52"/>
  <c r="K23" i="52"/>
  <c r="J23" i="52"/>
  <c r="K22" i="52"/>
  <c r="J22" i="52"/>
  <c r="K21" i="52"/>
  <c r="J21" i="52"/>
  <c r="K20" i="52"/>
  <c r="J20" i="52"/>
  <c r="K19" i="52"/>
  <c r="J19" i="52"/>
  <c r="M18" i="52"/>
  <c r="L18" i="52"/>
  <c r="J18" i="52"/>
  <c r="K18" i="52" s="1"/>
  <c r="I18" i="52"/>
  <c r="H18" i="52"/>
  <c r="G18" i="52"/>
  <c r="F18" i="52"/>
  <c r="E18" i="52"/>
  <c r="D18" i="52"/>
  <c r="C18" i="52"/>
  <c r="K17" i="52"/>
  <c r="J17" i="52"/>
  <c r="K16" i="52"/>
  <c r="J16" i="52"/>
  <c r="K15" i="52"/>
  <c r="J15" i="52"/>
  <c r="M14" i="52"/>
  <c r="L14" i="52"/>
  <c r="K14" i="52"/>
  <c r="J14" i="52"/>
  <c r="I14" i="52"/>
  <c r="H14" i="52"/>
  <c r="G14" i="52"/>
  <c r="F14" i="52"/>
  <c r="E14" i="52"/>
  <c r="D14" i="52"/>
  <c r="C14" i="52"/>
  <c r="K13" i="52"/>
  <c r="J13" i="52"/>
  <c r="K12" i="52"/>
  <c r="J12" i="52"/>
  <c r="K11" i="52"/>
  <c r="J11" i="52"/>
  <c r="J10" i="52"/>
  <c r="K10" i="52" s="1"/>
  <c r="M9" i="52"/>
  <c r="L9" i="52"/>
  <c r="I9" i="52"/>
  <c r="J9" i="52" s="1"/>
  <c r="K9" i="52" s="1"/>
  <c r="H9" i="52"/>
  <c r="G9" i="52"/>
  <c r="F9" i="52"/>
  <c r="E9" i="52"/>
  <c r="D9" i="52"/>
  <c r="C9" i="52"/>
  <c r="M8" i="52"/>
  <c r="L8" i="52"/>
  <c r="H8" i="52"/>
  <c r="G8" i="52"/>
  <c r="F8" i="52"/>
  <c r="E8" i="52"/>
  <c r="C8" i="52"/>
  <c r="M3" i="52"/>
  <c r="L3" i="52"/>
  <c r="K3" i="52"/>
  <c r="J3" i="52"/>
  <c r="I3" i="52"/>
  <c r="H3" i="52"/>
  <c r="G3" i="52"/>
  <c r="F3" i="52"/>
  <c r="E3" i="52"/>
  <c r="D3" i="52"/>
  <c r="C3" i="52"/>
  <c r="M2" i="52"/>
  <c r="L2" i="52"/>
  <c r="C2" i="52"/>
  <c r="B2" i="52"/>
  <c r="A2" i="52"/>
  <c r="A1" i="52"/>
  <c r="A170" i="1"/>
  <c r="M169" i="1"/>
  <c r="L169" i="1"/>
  <c r="H169" i="1"/>
  <c r="G169" i="1"/>
  <c r="F169" i="1"/>
  <c r="E169" i="1"/>
  <c r="C169" i="1"/>
  <c r="K167" i="1"/>
  <c r="J167" i="1"/>
  <c r="M166" i="1"/>
  <c r="L166" i="1"/>
  <c r="K166" i="1"/>
  <c r="J166" i="1"/>
  <c r="I166" i="1"/>
  <c r="H166" i="1"/>
  <c r="G166" i="1"/>
  <c r="F166" i="1"/>
  <c r="E166" i="1"/>
  <c r="D166" i="1"/>
  <c r="C166" i="1"/>
  <c r="K164" i="1"/>
  <c r="J164" i="1"/>
  <c r="M163" i="1"/>
  <c r="L163" i="1"/>
  <c r="K163" i="1"/>
  <c r="J163" i="1"/>
  <c r="I163" i="1"/>
  <c r="H163" i="1"/>
  <c r="G163" i="1"/>
  <c r="F163" i="1"/>
  <c r="E163" i="1"/>
  <c r="D163" i="1"/>
  <c r="C163" i="1"/>
  <c r="K161" i="1"/>
  <c r="J161" i="1"/>
  <c r="M160" i="1"/>
  <c r="L160" i="1"/>
  <c r="J160" i="1"/>
  <c r="I160" i="1"/>
  <c r="H160" i="1"/>
  <c r="G160" i="1"/>
  <c r="F160" i="1"/>
  <c r="E160" i="1"/>
  <c r="D160" i="1"/>
  <c r="K160" i="1" s="1"/>
  <c r="K199" i="15" s="1"/>
  <c r="C160" i="1"/>
  <c r="K158" i="1"/>
  <c r="J158" i="1"/>
  <c r="M157" i="1"/>
  <c r="L157" i="1"/>
  <c r="J157" i="1"/>
  <c r="I157" i="1"/>
  <c r="H157" i="1"/>
  <c r="G157" i="1"/>
  <c r="F157" i="1"/>
  <c r="E157" i="1"/>
  <c r="D157" i="1"/>
  <c r="K157" i="1" s="1"/>
  <c r="K198" i="15" s="1"/>
  <c r="C157" i="1"/>
  <c r="J155" i="1"/>
  <c r="K155" i="1" s="1"/>
  <c r="M154" i="1"/>
  <c r="L154" i="1"/>
  <c r="J154" i="1"/>
  <c r="I154" i="1"/>
  <c r="H154" i="1"/>
  <c r="G154" i="1"/>
  <c r="F154" i="1"/>
  <c r="E154" i="1"/>
  <c r="D154" i="1"/>
  <c r="C154" i="1"/>
  <c r="K152" i="1"/>
  <c r="J152" i="1"/>
  <c r="M151" i="1"/>
  <c r="L151" i="1"/>
  <c r="J151" i="1"/>
  <c r="I151" i="1"/>
  <c r="H151" i="1"/>
  <c r="G151" i="1"/>
  <c r="F151" i="1"/>
  <c r="E151" i="1"/>
  <c r="D151" i="1"/>
  <c r="C151" i="1"/>
  <c r="K149" i="1"/>
  <c r="J149" i="1"/>
  <c r="K148" i="1"/>
  <c r="J148" i="1"/>
  <c r="K147" i="1"/>
  <c r="J147" i="1"/>
  <c r="K146" i="1"/>
  <c r="J146" i="1"/>
  <c r="K145" i="1"/>
  <c r="J145" i="1"/>
  <c r="K144" i="1"/>
  <c r="J144" i="1"/>
  <c r="M143" i="1"/>
  <c r="L143" i="1"/>
  <c r="I143" i="1"/>
  <c r="J143" i="1" s="1"/>
  <c r="J194" i="15" s="1"/>
  <c r="J195" i="15" s="1"/>
  <c r="H143" i="1"/>
  <c r="G143" i="1"/>
  <c r="F143" i="1"/>
  <c r="E143" i="1"/>
  <c r="D143" i="1"/>
  <c r="C143" i="1"/>
  <c r="K142" i="1"/>
  <c r="J142" i="1"/>
  <c r="M141" i="1"/>
  <c r="L141" i="1"/>
  <c r="I141" i="1"/>
  <c r="J141" i="1" s="1"/>
  <c r="H141" i="1"/>
  <c r="G141" i="1"/>
  <c r="F141" i="1"/>
  <c r="E141" i="1"/>
  <c r="C141" i="1"/>
  <c r="K139" i="1"/>
  <c r="J139" i="1"/>
  <c r="M138" i="1"/>
  <c r="L138" i="1"/>
  <c r="K138" i="1"/>
  <c r="J138" i="1"/>
  <c r="I138" i="1"/>
  <c r="H138" i="1"/>
  <c r="G138" i="1"/>
  <c r="F138" i="1"/>
  <c r="E138" i="1"/>
  <c r="D138" i="1"/>
  <c r="C138" i="1"/>
  <c r="K136" i="1"/>
  <c r="J136" i="1"/>
  <c r="K135" i="1"/>
  <c r="J135" i="1"/>
  <c r="K134" i="1"/>
  <c r="J134" i="1"/>
  <c r="M133" i="1"/>
  <c r="L133" i="1"/>
  <c r="K133" i="1"/>
  <c r="J133" i="1"/>
  <c r="I133" i="1"/>
  <c r="H133" i="1"/>
  <c r="G133" i="1"/>
  <c r="F133" i="1"/>
  <c r="E133" i="1"/>
  <c r="D133" i="1"/>
  <c r="C133" i="1"/>
  <c r="K132" i="1"/>
  <c r="J132" i="1"/>
  <c r="K131" i="1"/>
  <c r="J131" i="1"/>
  <c r="K130" i="1"/>
  <c r="J130" i="1"/>
  <c r="K129" i="1"/>
  <c r="J129" i="1"/>
  <c r="K128" i="1"/>
  <c r="J128" i="1"/>
  <c r="K127" i="1"/>
  <c r="J127" i="1"/>
  <c r="K126" i="1"/>
  <c r="J126" i="1"/>
  <c r="K125" i="1"/>
  <c r="J125" i="1"/>
  <c r="K124" i="1"/>
  <c r="J124" i="1"/>
  <c r="K123" i="1"/>
  <c r="J123" i="1"/>
  <c r="K122" i="1"/>
  <c r="J122" i="1"/>
  <c r="M121" i="1"/>
  <c r="L121" i="1"/>
  <c r="I121" i="1"/>
  <c r="J121" i="1" s="1"/>
  <c r="H121" i="1"/>
  <c r="G121" i="1"/>
  <c r="F121" i="1"/>
  <c r="E121" i="1"/>
  <c r="D121" i="1"/>
  <c r="D120" i="1" s="1"/>
  <c r="C121" i="1"/>
  <c r="M120" i="1"/>
  <c r="L120" i="1"/>
  <c r="H120" i="1"/>
  <c r="G120" i="1"/>
  <c r="F120" i="1"/>
  <c r="E120" i="1"/>
  <c r="C120" i="1"/>
  <c r="K118" i="1"/>
  <c r="J118" i="1"/>
  <c r="K117" i="1"/>
  <c r="J117" i="1"/>
  <c r="M116" i="1"/>
  <c r="L116" i="1"/>
  <c r="K116" i="1"/>
  <c r="J116" i="1"/>
  <c r="I116" i="1"/>
  <c r="H116" i="1"/>
  <c r="G116" i="1"/>
  <c r="F116" i="1"/>
  <c r="E116" i="1"/>
  <c r="D116" i="1"/>
  <c r="C116" i="1"/>
  <c r="K115" i="1"/>
  <c r="J115" i="1"/>
  <c r="K114" i="1"/>
  <c r="J114" i="1"/>
  <c r="M113" i="1"/>
  <c r="L113" i="1"/>
  <c r="K113" i="1"/>
  <c r="J113" i="1"/>
  <c r="I113" i="1"/>
  <c r="H113" i="1"/>
  <c r="G113" i="1"/>
  <c r="F113" i="1"/>
  <c r="E113" i="1"/>
  <c r="D113" i="1"/>
  <c r="C113" i="1"/>
  <c r="M112" i="1"/>
  <c r="L112" i="1"/>
  <c r="K112" i="1"/>
  <c r="J112" i="1"/>
  <c r="I112" i="1"/>
  <c r="H112" i="1"/>
  <c r="G112" i="1"/>
  <c r="F112" i="1"/>
  <c r="E112" i="1"/>
  <c r="D112" i="1"/>
  <c r="C112" i="1"/>
  <c r="K110" i="1"/>
  <c r="J110" i="1"/>
  <c r="K109" i="1"/>
  <c r="J109" i="1"/>
  <c r="K108" i="1"/>
  <c r="J108" i="1"/>
  <c r="K107" i="1"/>
  <c r="J107" i="1"/>
  <c r="K106" i="1"/>
  <c r="J106" i="1"/>
  <c r="M105" i="1"/>
  <c r="L105" i="1"/>
  <c r="K105" i="1"/>
  <c r="J105" i="1"/>
  <c r="I105" i="1"/>
  <c r="H105" i="1"/>
  <c r="G105" i="1"/>
  <c r="F105" i="1"/>
  <c r="E105" i="1"/>
  <c r="D105" i="1"/>
  <c r="C105" i="1"/>
  <c r="K103" i="1"/>
  <c r="J103" i="1"/>
  <c r="J102" i="1"/>
  <c r="K102" i="1" s="1"/>
  <c r="K101" i="1"/>
  <c r="J101" i="1"/>
  <c r="M100" i="1"/>
  <c r="L100" i="1"/>
  <c r="I100" i="1"/>
  <c r="J100" i="1" s="1"/>
  <c r="J183" i="15" s="1"/>
  <c r="H100" i="1"/>
  <c r="G100" i="1"/>
  <c r="F100" i="1"/>
  <c r="E100" i="1"/>
  <c r="D100" i="1"/>
  <c r="C100" i="1"/>
  <c r="K99" i="1"/>
  <c r="J99" i="1"/>
  <c r="K98" i="1"/>
  <c r="J98" i="1"/>
  <c r="K97" i="1"/>
  <c r="J97" i="1"/>
  <c r="K96" i="1"/>
  <c r="J96" i="1"/>
  <c r="K95" i="1"/>
  <c r="J95" i="1"/>
  <c r="K94" i="1"/>
  <c r="J94" i="1"/>
  <c r="K93" i="1"/>
  <c r="J93" i="1"/>
  <c r="K92" i="1"/>
  <c r="J92" i="1"/>
  <c r="K91" i="1"/>
  <c r="J91" i="1"/>
  <c r="K90" i="1"/>
  <c r="J90" i="1"/>
  <c r="K89" i="1"/>
  <c r="J89" i="1"/>
  <c r="K88" i="1"/>
  <c r="J88" i="1"/>
  <c r="K87" i="1"/>
  <c r="J87" i="1"/>
  <c r="K86" i="1"/>
  <c r="J86" i="1"/>
  <c r="K85" i="1"/>
  <c r="J85" i="1"/>
  <c r="K84" i="1"/>
  <c r="J84" i="1"/>
  <c r="K83" i="1"/>
  <c r="J83" i="1"/>
  <c r="K82" i="1"/>
  <c r="J82" i="1"/>
  <c r="K81" i="1"/>
  <c r="J81" i="1"/>
  <c r="K80" i="1"/>
  <c r="J80" i="1"/>
  <c r="K79" i="1"/>
  <c r="J79" i="1"/>
  <c r="K78" i="1"/>
  <c r="J78" i="1"/>
  <c r="M77" i="1"/>
  <c r="L77" i="1"/>
  <c r="I77" i="1"/>
  <c r="J77" i="1" s="1"/>
  <c r="H77" i="1"/>
  <c r="G77" i="1"/>
  <c r="F77" i="1"/>
  <c r="E77" i="1"/>
  <c r="D77" i="1"/>
  <c r="D76" i="1" s="1"/>
  <c r="C77" i="1"/>
  <c r="M76" i="1"/>
  <c r="L76" i="1"/>
  <c r="H76" i="1"/>
  <c r="G76" i="1"/>
  <c r="F76" i="1"/>
  <c r="E76" i="1"/>
  <c r="C76" i="1"/>
  <c r="K74" i="1"/>
  <c r="J74" i="1"/>
  <c r="K73" i="1"/>
  <c r="J73" i="1"/>
  <c r="K72" i="1"/>
  <c r="J72" i="1"/>
  <c r="K71" i="1"/>
  <c r="J71" i="1"/>
  <c r="M70" i="1"/>
  <c r="L70" i="1"/>
  <c r="K70" i="1"/>
  <c r="J70" i="1"/>
  <c r="I70" i="1"/>
  <c r="H70" i="1"/>
  <c r="G70" i="1"/>
  <c r="F70" i="1"/>
  <c r="E70" i="1"/>
  <c r="D70" i="1"/>
  <c r="C70" i="1"/>
  <c r="K69" i="1"/>
  <c r="J69" i="1"/>
  <c r="K68" i="1"/>
  <c r="J68" i="1"/>
  <c r="K67" i="1"/>
  <c r="J67" i="1"/>
  <c r="K66" i="1"/>
  <c r="J66" i="1"/>
  <c r="K65" i="1"/>
  <c r="J65" i="1"/>
  <c r="M64" i="1"/>
  <c r="L64" i="1"/>
  <c r="K64" i="1"/>
  <c r="J64" i="1"/>
  <c r="I64" i="1"/>
  <c r="H64" i="1"/>
  <c r="G64" i="1"/>
  <c r="F64" i="1"/>
  <c r="E64" i="1"/>
  <c r="D64" i="1"/>
  <c r="C64" i="1"/>
  <c r="K63" i="1"/>
  <c r="J63" i="1"/>
  <c r="K62" i="1"/>
  <c r="J62" i="1"/>
  <c r="K61" i="1"/>
  <c r="J61" i="1"/>
  <c r="K60" i="1"/>
  <c r="J60" i="1"/>
  <c r="K59" i="1"/>
  <c r="J59" i="1"/>
  <c r="K58" i="1"/>
  <c r="J58" i="1"/>
  <c r="K57" i="1"/>
  <c r="J57" i="1"/>
  <c r="K56" i="1"/>
  <c r="J56" i="1"/>
  <c r="K55" i="1"/>
  <c r="J55" i="1"/>
  <c r="M54" i="1"/>
  <c r="L54" i="1"/>
  <c r="K54" i="1"/>
  <c r="J54" i="1"/>
  <c r="I54" i="1"/>
  <c r="H54" i="1"/>
  <c r="G54" i="1"/>
  <c r="F54" i="1"/>
  <c r="E54" i="1"/>
  <c r="D54" i="1"/>
  <c r="C54" i="1"/>
  <c r="K53" i="1"/>
  <c r="J53" i="1"/>
  <c r="K52" i="1"/>
  <c r="J52" i="1"/>
  <c r="K51" i="1"/>
  <c r="J51" i="1"/>
  <c r="K50" i="1"/>
  <c r="J50" i="1"/>
  <c r="K49" i="1"/>
  <c r="J49" i="1"/>
  <c r="K48" i="1"/>
  <c r="J48" i="1"/>
  <c r="K47" i="1"/>
  <c r="J47" i="1"/>
  <c r="M46" i="1"/>
  <c r="L46" i="1"/>
  <c r="J46" i="1"/>
  <c r="I46" i="1"/>
  <c r="H46" i="1"/>
  <c r="G46" i="1"/>
  <c r="F46" i="1"/>
  <c r="E46" i="1"/>
  <c r="D46" i="1"/>
  <c r="C46" i="1"/>
  <c r="K45" i="1"/>
  <c r="J45" i="1"/>
  <c r="K44" i="1"/>
  <c r="J44" i="1"/>
  <c r="K43" i="1"/>
  <c r="J43" i="1"/>
  <c r="J42" i="1"/>
  <c r="K42" i="1" s="1"/>
  <c r="K41" i="1"/>
  <c r="J41" i="1"/>
  <c r="K40" i="1"/>
  <c r="J40" i="1"/>
  <c r="M39" i="1"/>
  <c r="L39" i="1"/>
  <c r="I39" i="1"/>
  <c r="J39" i="1" s="1"/>
  <c r="H39" i="1"/>
  <c r="G39" i="1"/>
  <c r="F39" i="1"/>
  <c r="E39" i="1"/>
  <c r="D39" i="1"/>
  <c r="D176" i="15" s="1"/>
  <c r="C39" i="1"/>
  <c r="K38" i="1"/>
  <c r="J38" i="1"/>
  <c r="K37" i="1"/>
  <c r="J37" i="1"/>
  <c r="K36" i="1"/>
  <c r="J36" i="1"/>
  <c r="J35" i="1"/>
  <c r="K35" i="1" s="1"/>
  <c r="K34" i="1"/>
  <c r="J34" i="1"/>
  <c r="K33" i="1"/>
  <c r="J33" i="1"/>
  <c r="K32" i="1"/>
  <c r="J32" i="1"/>
  <c r="K31" i="1"/>
  <c r="J31" i="1"/>
  <c r="K30" i="1"/>
  <c r="J30" i="1"/>
  <c r="K29" i="1"/>
  <c r="J29" i="1"/>
  <c r="M28" i="1"/>
  <c r="L28" i="1"/>
  <c r="K28" i="1"/>
  <c r="K175" i="15" s="1"/>
  <c r="J28" i="1"/>
  <c r="I28" i="1"/>
  <c r="H28" i="1"/>
  <c r="G28" i="1"/>
  <c r="F28" i="1"/>
  <c r="E28" i="1"/>
  <c r="D28" i="1"/>
  <c r="C28" i="1"/>
  <c r="K27" i="1"/>
  <c r="J27" i="1"/>
  <c r="K26" i="1"/>
  <c r="J26" i="1"/>
  <c r="K25" i="1"/>
  <c r="J25" i="1"/>
  <c r="K24" i="1"/>
  <c r="J24" i="1"/>
  <c r="J23" i="1"/>
  <c r="K23" i="1" s="1"/>
  <c r="K22" i="1"/>
  <c r="J22" i="1"/>
  <c r="K21" i="1"/>
  <c r="J21" i="1"/>
  <c r="K20" i="1"/>
  <c r="J20" i="1"/>
  <c r="K19" i="1"/>
  <c r="J19" i="1"/>
  <c r="M18" i="1"/>
  <c r="L18" i="1"/>
  <c r="I18" i="1"/>
  <c r="J18" i="1" s="1"/>
  <c r="H18" i="1"/>
  <c r="G18" i="1"/>
  <c r="F18" i="1"/>
  <c r="E18" i="1"/>
  <c r="D18" i="1"/>
  <c r="C18" i="1"/>
  <c r="K17" i="1"/>
  <c r="J17" i="1"/>
  <c r="K16" i="1"/>
  <c r="J16" i="1"/>
  <c r="K15" i="1"/>
  <c r="J15" i="1"/>
  <c r="M14" i="1"/>
  <c r="L14" i="1"/>
  <c r="K14" i="1"/>
  <c r="J14" i="1"/>
  <c r="I14" i="1"/>
  <c r="H14" i="1"/>
  <c r="G14" i="1"/>
  <c r="F14" i="1"/>
  <c r="E14" i="1"/>
  <c r="D14" i="1"/>
  <c r="C14" i="1"/>
  <c r="K13" i="1"/>
  <c r="J13" i="1"/>
  <c r="K12" i="1"/>
  <c r="J12" i="1"/>
  <c r="K11" i="1"/>
  <c r="J11" i="1"/>
  <c r="J10" i="1"/>
  <c r="K10" i="1" s="1"/>
  <c r="M9" i="1"/>
  <c r="L9" i="1"/>
  <c r="I9" i="1"/>
  <c r="I172" i="15" s="1"/>
  <c r="H9" i="1"/>
  <c r="G9" i="1"/>
  <c r="F9" i="1"/>
  <c r="E9" i="1"/>
  <c r="D9" i="1"/>
  <c r="C9" i="1"/>
  <c r="M8" i="1"/>
  <c r="L8" i="1"/>
  <c r="H8" i="1"/>
  <c r="G8" i="1"/>
  <c r="F8" i="1"/>
  <c r="E8" i="1"/>
  <c r="C8" i="1"/>
  <c r="M3" i="1"/>
  <c r="L3" i="1"/>
  <c r="K3" i="1"/>
  <c r="J3" i="1"/>
  <c r="I3" i="1"/>
  <c r="H3" i="1"/>
  <c r="G3" i="1"/>
  <c r="F3" i="1"/>
  <c r="E3" i="1"/>
  <c r="D3" i="1"/>
  <c r="C3" i="1"/>
  <c r="M2" i="1"/>
  <c r="L2" i="1"/>
  <c r="C2" i="1"/>
  <c r="B2" i="1"/>
  <c r="A2" i="1"/>
  <c r="A1" i="1"/>
  <c r="C183" i="37"/>
  <c r="A171" i="37"/>
  <c r="M169" i="37"/>
  <c r="L169" i="37"/>
  <c r="G169" i="37"/>
  <c r="F169" i="37"/>
  <c r="E169" i="37"/>
  <c r="C169" i="37"/>
  <c r="K167" i="37"/>
  <c r="J167" i="37"/>
  <c r="M166" i="37"/>
  <c r="L166" i="37"/>
  <c r="K166" i="37"/>
  <c r="J166" i="37"/>
  <c r="I166" i="37"/>
  <c r="H166" i="37"/>
  <c r="G166" i="37"/>
  <c r="F166" i="37"/>
  <c r="E166" i="37"/>
  <c r="D166" i="37"/>
  <c r="C166" i="37"/>
  <c r="K164" i="37"/>
  <c r="J164" i="37"/>
  <c r="M163" i="37"/>
  <c r="L163" i="37"/>
  <c r="K163" i="37"/>
  <c r="J163" i="37"/>
  <c r="I163" i="37"/>
  <c r="H163" i="37"/>
  <c r="G163" i="37"/>
  <c r="F163" i="37"/>
  <c r="E163" i="37"/>
  <c r="D163" i="37"/>
  <c r="C163" i="37"/>
  <c r="K161" i="37"/>
  <c r="J161" i="37"/>
  <c r="M160" i="37"/>
  <c r="L160" i="37"/>
  <c r="K160" i="37"/>
  <c r="J160" i="37"/>
  <c r="I160" i="37"/>
  <c r="H160" i="37"/>
  <c r="G160" i="37"/>
  <c r="F160" i="37"/>
  <c r="E160" i="37"/>
  <c r="D160" i="37"/>
  <c r="C160" i="37"/>
  <c r="K158" i="37"/>
  <c r="J158" i="37"/>
  <c r="M157" i="37"/>
  <c r="L157" i="37"/>
  <c r="K157" i="37"/>
  <c r="J157" i="37"/>
  <c r="I157" i="37"/>
  <c r="H157" i="37"/>
  <c r="G157" i="37"/>
  <c r="F157" i="37"/>
  <c r="E157" i="37"/>
  <c r="D157" i="37"/>
  <c r="C157" i="37"/>
  <c r="K155" i="37"/>
  <c r="J155" i="37"/>
  <c r="M154" i="37"/>
  <c r="L154" i="37"/>
  <c r="K154" i="37"/>
  <c r="J154" i="37"/>
  <c r="I154" i="37"/>
  <c r="H154" i="37"/>
  <c r="G154" i="37"/>
  <c r="F154" i="37"/>
  <c r="E154" i="37"/>
  <c r="D154" i="37"/>
  <c r="C154" i="37"/>
  <c r="K152" i="37"/>
  <c r="J152" i="37"/>
  <c r="M151" i="37"/>
  <c r="L151" i="37"/>
  <c r="K151" i="37"/>
  <c r="J151" i="37"/>
  <c r="I151" i="37"/>
  <c r="H151" i="37"/>
  <c r="G151" i="37"/>
  <c r="F151" i="37"/>
  <c r="E151" i="37"/>
  <c r="D151" i="37"/>
  <c r="C151" i="37"/>
  <c r="K149" i="37"/>
  <c r="J149" i="37"/>
  <c r="K148" i="37"/>
  <c r="J148" i="37"/>
  <c r="K147" i="37"/>
  <c r="J147" i="37"/>
  <c r="K146" i="37"/>
  <c r="J146" i="37"/>
  <c r="K145" i="37"/>
  <c r="J145" i="37"/>
  <c r="K144" i="37"/>
  <c r="J144" i="37"/>
  <c r="M143" i="37"/>
  <c r="L143" i="37"/>
  <c r="K143" i="37"/>
  <c r="J143" i="37"/>
  <c r="I143" i="37"/>
  <c r="H143" i="37"/>
  <c r="G143" i="37"/>
  <c r="F143" i="37"/>
  <c r="E143" i="37"/>
  <c r="D143" i="37"/>
  <c r="C143" i="37"/>
  <c r="K142" i="37"/>
  <c r="J142" i="37"/>
  <c r="M141" i="37"/>
  <c r="L141" i="37"/>
  <c r="K141" i="37"/>
  <c r="J141" i="37"/>
  <c r="I141" i="37"/>
  <c r="H141" i="37"/>
  <c r="G141" i="37"/>
  <c r="F141" i="37"/>
  <c r="E141" i="37"/>
  <c r="D141" i="37"/>
  <c r="C141" i="37"/>
  <c r="K139" i="37"/>
  <c r="J139" i="37"/>
  <c r="M138" i="37"/>
  <c r="L138" i="37"/>
  <c r="K138" i="37"/>
  <c r="J138" i="37"/>
  <c r="I138" i="37"/>
  <c r="H138" i="37"/>
  <c r="G138" i="37"/>
  <c r="F138" i="37"/>
  <c r="E138" i="37"/>
  <c r="D138" i="37"/>
  <c r="C138" i="37"/>
  <c r="K136" i="37"/>
  <c r="J136" i="37"/>
  <c r="K135" i="37"/>
  <c r="J135" i="37"/>
  <c r="K134" i="37"/>
  <c r="J134" i="37"/>
  <c r="M133" i="37"/>
  <c r="L133" i="37"/>
  <c r="K133" i="37"/>
  <c r="J133" i="37"/>
  <c r="I133" i="37"/>
  <c r="H133" i="37"/>
  <c r="G133" i="37"/>
  <c r="F133" i="37"/>
  <c r="E133" i="37"/>
  <c r="D133" i="37"/>
  <c r="C133" i="37"/>
  <c r="K132" i="37"/>
  <c r="J132" i="37"/>
  <c r="K131" i="37"/>
  <c r="J131" i="37"/>
  <c r="K130" i="37"/>
  <c r="J130" i="37"/>
  <c r="K129" i="37"/>
  <c r="J129" i="37"/>
  <c r="K128" i="37"/>
  <c r="J128" i="37"/>
  <c r="K127" i="37"/>
  <c r="J127" i="37"/>
  <c r="K126" i="37"/>
  <c r="J126" i="37"/>
  <c r="K125" i="37"/>
  <c r="J125" i="37"/>
  <c r="K124" i="37"/>
  <c r="J124" i="37"/>
  <c r="K123" i="37"/>
  <c r="J123" i="37"/>
  <c r="J122" i="37"/>
  <c r="K122" i="37" s="1"/>
  <c r="M121" i="37"/>
  <c r="L121" i="37"/>
  <c r="I121" i="37"/>
  <c r="J121" i="37" s="1"/>
  <c r="J57" i="15" s="1"/>
  <c r="H121" i="37"/>
  <c r="G121" i="37"/>
  <c r="F121" i="37"/>
  <c r="E121" i="37"/>
  <c r="D121" i="37"/>
  <c r="C121" i="37"/>
  <c r="M120" i="37"/>
  <c r="L120" i="37"/>
  <c r="H120" i="37"/>
  <c r="G120" i="37"/>
  <c r="F120" i="37"/>
  <c r="E120" i="37"/>
  <c r="C120" i="37"/>
  <c r="K118" i="37"/>
  <c r="J118" i="37"/>
  <c r="K117" i="37"/>
  <c r="J117" i="37"/>
  <c r="M116" i="37"/>
  <c r="L116" i="37"/>
  <c r="K116" i="37"/>
  <c r="J116" i="37"/>
  <c r="I116" i="37"/>
  <c r="H116" i="37"/>
  <c r="G116" i="37"/>
  <c r="F116" i="37"/>
  <c r="E116" i="37"/>
  <c r="D116" i="37"/>
  <c r="C116" i="37"/>
  <c r="K115" i="37"/>
  <c r="J115" i="37"/>
  <c r="K114" i="37"/>
  <c r="J114" i="37"/>
  <c r="M113" i="37"/>
  <c r="L113" i="37"/>
  <c r="K113" i="37"/>
  <c r="J113" i="37"/>
  <c r="I113" i="37"/>
  <c r="H113" i="37"/>
  <c r="G113" i="37"/>
  <c r="F113" i="37"/>
  <c r="E113" i="37"/>
  <c r="D113" i="37"/>
  <c r="C113" i="37"/>
  <c r="M112" i="37"/>
  <c r="L112" i="37"/>
  <c r="K112" i="37"/>
  <c r="J112" i="37"/>
  <c r="I112" i="37"/>
  <c r="H112" i="37"/>
  <c r="G112" i="37"/>
  <c r="F112" i="37"/>
  <c r="E112" i="37"/>
  <c r="D112" i="37"/>
  <c r="C112" i="37"/>
  <c r="K110" i="37"/>
  <c r="J110" i="37"/>
  <c r="K109" i="37"/>
  <c r="J109" i="37"/>
  <c r="K108" i="37"/>
  <c r="J108" i="37"/>
  <c r="K107" i="37"/>
  <c r="J107" i="37"/>
  <c r="K106" i="37"/>
  <c r="J106" i="37"/>
  <c r="M105" i="37"/>
  <c r="L105" i="37"/>
  <c r="K105" i="37"/>
  <c r="J105" i="37"/>
  <c r="I105" i="37"/>
  <c r="H105" i="37"/>
  <c r="G105" i="37"/>
  <c r="F105" i="37"/>
  <c r="E105" i="37"/>
  <c r="D105" i="37"/>
  <c r="C105" i="37"/>
  <c r="K103" i="37"/>
  <c r="J103" i="37"/>
  <c r="K102" i="37"/>
  <c r="J102" i="37"/>
  <c r="K101" i="37"/>
  <c r="J101" i="37"/>
  <c r="M100" i="37"/>
  <c r="L100" i="37"/>
  <c r="K100" i="37"/>
  <c r="J100" i="37"/>
  <c r="I100" i="37"/>
  <c r="H100" i="37"/>
  <c r="G100" i="37"/>
  <c r="F100" i="37"/>
  <c r="E100" i="37"/>
  <c r="D100" i="37"/>
  <c r="C100" i="37"/>
  <c r="K99" i="37"/>
  <c r="J99" i="37"/>
  <c r="J98" i="37"/>
  <c r="K98" i="37" s="1"/>
  <c r="K97" i="37"/>
  <c r="J97" i="37"/>
  <c r="J96" i="37"/>
  <c r="K96" i="37" s="1"/>
  <c r="K95" i="37"/>
  <c r="J95" i="37"/>
  <c r="J94" i="37"/>
  <c r="K94" i="37" s="1"/>
  <c r="K93" i="37"/>
  <c r="J93" i="37"/>
  <c r="J92" i="37"/>
  <c r="K92" i="37" s="1"/>
  <c r="K91" i="37"/>
  <c r="J91" i="37"/>
  <c r="J90" i="37"/>
  <c r="K90" i="37" s="1"/>
  <c r="K89" i="37"/>
  <c r="J89" i="37"/>
  <c r="K88" i="37"/>
  <c r="J88" i="37"/>
  <c r="K87" i="37"/>
  <c r="J87" i="37"/>
  <c r="K86" i="37"/>
  <c r="J86" i="37"/>
  <c r="K85" i="37"/>
  <c r="J85" i="37"/>
  <c r="K84" i="37"/>
  <c r="J84" i="37"/>
  <c r="K83" i="37"/>
  <c r="J83" i="37"/>
  <c r="K82" i="37"/>
  <c r="J82" i="37"/>
  <c r="K81" i="37"/>
  <c r="J81" i="37"/>
  <c r="K80" i="37"/>
  <c r="J80" i="37"/>
  <c r="J79" i="37"/>
  <c r="K79" i="37" s="1"/>
  <c r="J78" i="37"/>
  <c r="K78" i="37" s="1"/>
  <c r="M77" i="37"/>
  <c r="L77" i="37"/>
  <c r="I77" i="37"/>
  <c r="I76" i="37" s="1"/>
  <c r="H77" i="37"/>
  <c r="G77" i="37"/>
  <c r="F77" i="37"/>
  <c r="E77" i="37"/>
  <c r="D77" i="37"/>
  <c r="C77" i="37"/>
  <c r="M76" i="37"/>
  <c r="L76" i="37"/>
  <c r="G76" i="37"/>
  <c r="F76" i="37"/>
  <c r="E76" i="37"/>
  <c r="D76" i="37"/>
  <c r="C76" i="37"/>
  <c r="K74" i="37"/>
  <c r="J74" i="37"/>
  <c r="K73" i="37"/>
  <c r="J73" i="37"/>
  <c r="K72" i="37"/>
  <c r="J72" i="37"/>
  <c r="K71" i="37"/>
  <c r="J71" i="37"/>
  <c r="M70" i="37"/>
  <c r="L70" i="37"/>
  <c r="K70" i="37"/>
  <c r="J70" i="37"/>
  <c r="I70" i="37"/>
  <c r="H70" i="37"/>
  <c r="G70" i="37"/>
  <c r="F70" i="37"/>
  <c r="E70" i="37"/>
  <c r="D70" i="37"/>
  <c r="C70" i="37"/>
  <c r="K69" i="37"/>
  <c r="J69" i="37"/>
  <c r="K68" i="37"/>
  <c r="J68" i="37"/>
  <c r="K67" i="37"/>
  <c r="J67" i="37"/>
  <c r="K66" i="37"/>
  <c r="J66" i="37"/>
  <c r="K65" i="37"/>
  <c r="J65" i="37"/>
  <c r="M64" i="37"/>
  <c r="L64" i="37"/>
  <c r="K64" i="37"/>
  <c r="J64" i="37"/>
  <c r="I64" i="37"/>
  <c r="H64" i="37"/>
  <c r="G64" i="37"/>
  <c r="F64" i="37"/>
  <c r="E64" i="37"/>
  <c r="D64" i="37"/>
  <c r="C64" i="37"/>
  <c r="K63" i="37"/>
  <c r="J63" i="37"/>
  <c r="K62" i="37"/>
  <c r="J62" i="37"/>
  <c r="K61" i="37"/>
  <c r="J61" i="37"/>
  <c r="K60" i="37"/>
  <c r="J60" i="37"/>
  <c r="K59" i="37"/>
  <c r="J59" i="37"/>
  <c r="K58" i="37"/>
  <c r="J58" i="37"/>
  <c r="K57" i="37"/>
  <c r="J57" i="37"/>
  <c r="K56" i="37"/>
  <c r="J56" i="37"/>
  <c r="K55" i="37"/>
  <c r="J55" i="37"/>
  <c r="M54" i="37"/>
  <c r="L54" i="37"/>
  <c r="K54" i="37"/>
  <c r="J54" i="37"/>
  <c r="I54" i="37"/>
  <c r="H54" i="37"/>
  <c r="G54" i="37"/>
  <c r="F54" i="37"/>
  <c r="E54" i="37"/>
  <c r="D54" i="37"/>
  <c r="C54" i="37"/>
  <c r="K53" i="37"/>
  <c r="J53" i="37"/>
  <c r="K52" i="37"/>
  <c r="J52" i="37"/>
  <c r="K51" i="37"/>
  <c r="J51" i="37"/>
  <c r="K50" i="37"/>
  <c r="J50" i="37"/>
  <c r="K49" i="37"/>
  <c r="J49" i="37"/>
  <c r="K48" i="37"/>
  <c r="J48" i="37"/>
  <c r="K47" i="37"/>
  <c r="J47" i="37"/>
  <c r="M46" i="37"/>
  <c r="L46" i="37"/>
  <c r="K46" i="37"/>
  <c r="J46" i="37"/>
  <c r="I46" i="37"/>
  <c r="H46" i="37"/>
  <c r="G46" i="37"/>
  <c r="F46" i="37"/>
  <c r="E46" i="37"/>
  <c r="D46" i="37"/>
  <c r="C46" i="37"/>
  <c r="K45" i="37"/>
  <c r="J45" i="37"/>
  <c r="K44" i="37"/>
  <c r="J44" i="37"/>
  <c r="K43" i="37"/>
  <c r="J43" i="37"/>
  <c r="J42" i="37"/>
  <c r="K42" i="37" s="1"/>
  <c r="K41" i="37"/>
  <c r="J41" i="37"/>
  <c r="K40" i="37"/>
  <c r="J40" i="37"/>
  <c r="M39" i="37"/>
  <c r="L39" i="37"/>
  <c r="J39" i="37"/>
  <c r="K39" i="37" s="1"/>
  <c r="K44" i="15" s="1"/>
  <c r="I39" i="37"/>
  <c r="H39" i="37"/>
  <c r="G39" i="37"/>
  <c r="F39" i="37"/>
  <c r="E39" i="37"/>
  <c r="D39" i="37"/>
  <c r="C39" i="37"/>
  <c r="K38" i="37"/>
  <c r="J38" i="37"/>
  <c r="K37" i="37"/>
  <c r="J37" i="37"/>
  <c r="K36" i="37"/>
  <c r="J36" i="37"/>
  <c r="K35" i="37"/>
  <c r="J35" i="37"/>
  <c r="K34" i="37"/>
  <c r="J34" i="37"/>
  <c r="J33" i="37"/>
  <c r="K33" i="37" s="1"/>
  <c r="K32" i="37"/>
  <c r="J32" i="37"/>
  <c r="K31" i="37"/>
  <c r="J31" i="37"/>
  <c r="K30" i="37"/>
  <c r="J30" i="37"/>
  <c r="K29" i="37"/>
  <c r="J29" i="37"/>
  <c r="M28" i="37"/>
  <c r="L28" i="37"/>
  <c r="K28" i="37"/>
  <c r="J28" i="37"/>
  <c r="I28" i="37"/>
  <c r="H28" i="37"/>
  <c r="G28" i="37"/>
  <c r="F28" i="37"/>
  <c r="E28" i="37"/>
  <c r="D28" i="37"/>
  <c r="C28" i="37"/>
  <c r="K27" i="37"/>
  <c r="J27" i="37"/>
  <c r="K26" i="37"/>
  <c r="J26" i="37"/>
  <c r="K25" i="37"/>
  <c r="J25" i="37"/>
  <c r="K24" i="37"/>
  <c r="J24" i="37"/>
  <c r="K23" i="37"/>
  <c r="J23" i="37"/>
  <c r="K22" i="37"/>
  <c r="J22" i="37"/>
  <c r="K21" i="37"/>
  <c r="J21" i="37"/>
  <c r="K20" i="37"/>
  <c r="J20" i="37"/>
  <c r="K19" i="37"/>
  <c r="J19" i="37"/>
  <c r="M18" i="37"/>
  <c r="L18" i="37"/>
  <c r="K18" i="37"/>
  <c r="J18" i="37"/>
  <c r="I18" i="37"/>
  <c r="H18" i="37"/>
  <c r="G18" i="37"/>
  <c r="F18" i="37"/>
  <c r="E18" i="37"/>
  <c r="D18" i="37"/>
  <c r="C18" i="37"/>
  <c r="K17" i="37"/>
  <c r="J17" i="37"/>
  <c r="K16" i="37"/>
  <c r="J16" i="37"/>
  <c r="K15" i="37"/>
  <c r="J15" i="37"/>
  <c r="M14" i="37"/>
  <c r="L14" i="37"/>
  <c r="K14" i="37"/>
  <c r="J14" i="37"/>
  <c r="I14" i="37"/>
  <c r="H14" i="37"/>
  <c r="G14" i="37"/>
  <c r="F14" i="37"/>
  <c r="E14" i="37"/>
  <c r="D14" i="37"/>
  <c r="C14" i="37"/>
  <c r="K13" i="37"/>
  <c r="J13" i="37"/>
  <c r="K12" i="37"/>
  <c r="J12" i="37"/>
  <c r="K11" i="37"/>
  <c r="J11" i="37"/>
  <c r="K10" i="37"/>
  <c r="J10" i="37"/>
  <c r="M9" i="37"/>
  <c r="L9" i="37"/>
  <c r="K9" i="37"/>
  <c r="K40" i="15" s="1"/>
  <c r="J9" i="37"/>
  <c r="I9" i="37"/>
  <c r="H9" i="37"/>
  <c r="G9" i="37"/>
  <c r="F9" i="37"/>
  <c r="E9" i="37"/>
  <c r="D9" i="37"/>
  <c r="D8" i="37" s="1"/>
  <c r="C9" i="37"/>
  <c r="M8" i="37"/>
  <c r="L8" i="37"/>
  <c r="H8" i="37"/>
  <c r="G8" i="37"/>
  <c r="F8" i="37"/>
  <c r="E8" i="37"/>
  <c r="C8" i="37"/>
  <c r="M3" i="37"/>
  <c r="L3" i="37"/>
  <c r="K3" i="37"/>
  <c r="J3" i="37"/>
  <c r="I3" i="37"/>
  <c r="H3" i="37"/>
  <c r="G3" i="37"/>
  <c r="F3" i="37"/>
  <c r="E3" i="37"/>
  <c r="D3" i="37"/>
  <c r="C3" i="37"/>
  <c r="M2" i="37"/>
  <c r="L2" i="37"/>
  <c r="C2" i="37"/>
  <c r="B2" i="37"/>
  <c r="A2" i="37"/>
  <c r="A1" i="37"/>
  <c r="C183" i="34"/>
  <c r="A171" i="34"/>
  <c r="F169" i="34"/>
  <c r="E169" i="34"/>
  <c r="C169" i="34"/>
  <c r="K167" i="34"/>
  <c r="J167" i="34"/>
  <c r="M166" i="34"/>
  <c r="L166" i="34"/>
  <c r="K166" i="34"/>
  <c r="J166" i="34"/>
  <c r="I166" i="34"/>
  <c r="H166" i="34"/>
  <c r="G166" i="34"/>
  <c r="F166" i="34"/>
  <c r="E166" i="34"/>
  <c r="D166" i="34"/>
  <c r="C166" i="34"/>
  <c r="K164" i="34"/>
  <c r="J164" i="34"/>
  <c r="M163" i="34"/>
  <c r="L163" i="34"/>
  <c r="J163" i="34"/>
  <c r="J36" i="15" s="1"/>
  <c r="J132" i="15" s="1"/>
  <c r="I163" i="34"/>
  <c r="H163" i="34"/>
  <c r="G163" i="34"/>
  <c r="F163" i="34"/>
  <c r="E163" i="34"/>
  <c r="D163" i="34"/>
  <c r="C163" i="34"/>
  <c r="K161" i="34"/>
  <c r="J161" i="34"/>
  <c r="M160" i="34"/>
  <c r="L160" i="34"/>
  <c r="I160" i="34"/>
  <c r="I35" i="15" s="1"/>
  <c r="I131" i="15" s="1"/>
  <c r="H160" i="34"/>
  <c r="G160" i="34"/>
  <c r="F160" i="34"/>
  <c r="E160" i="34"/>
  <c r="D160" i="34"/>
  <c r="C160" i="34"/>
  <c r="J158" i="34"/>
  <c r="K158" i="34" s="1"/>
  <c r="M157" i="34"/>
  <c r="L157" i="34"/>
  <c r="I157" i="34"/>
  <c r="J157" i="34" s="1"/>
  <c r="J34" i="15" s="1"/>
  <c r="J130" i="15" s="1"/>
  <c r="H157" i="34"/>
  <c r="G157" i="34"/>
  <c r="F157" i="34"/>
  <c r="E157" i="34"/>
  <c r="D157" i="34"/>
  <c r="C157" i="34"/>
  <c r="J155" i="34"/>
  <c r="K155" i="34" s="1"/>
  <c r="M154" i="34"/>
  <c r="L154" i="34"/>
  <c r="I154" i="34"/>
  <c r="H154" i="34"/>
  <c r="J154" i="34" s="1"/>
  <c r="J33" i="15" s="1"/>
  <c r="J129" i="15" s="1"/>
  <c r="G154" i="34"/>
  <c r="F154" i="34"/>
  <c r="E154" i="34"/>
  <c r="D154" i="34"/>
  <c r="C154" i="34"/>
  <c r="K152" i="34"/>
  <c r="J152" i="34"/>
  <c r="M151" i="34"/>
  <c r="L151" i="34"/>
  <c r="J151" i="34"/>
  <c r="J32" i="15" s="1"/>
  <c r="J128" i="15" s="1"/>
  <c r="I151" i="34"/>
  <c r="H151" i="34"/>
  <c r="G151" i="34"/>
  <c r="F151" i="34"/>
  <c r="E151" i="34"/>
  <c r="D151" i="34"/>
  <c r="C151" i="34"/>
  <c r="J149" i="34"/>
  <c r="K149" i="34" s="1"/>
  <c r="J148" i="34"/>
  <c r="K148" i="34" s="1"/>
  <c r="K147" i="34"/>
  <c r="J147" i="34"/>
  <c r="K146" i="34"/>
  <c r="J146" i="34"/>
  <c r="K145" i="34"/>
  <c r="J145" i="34"/>
  <c r="K144" i="34"/>
  <c r="J144" i="34"/>
  <c r="M143" i="34"/>
  <c r="L143" i="34"/>
  <c r="J143" i="34"/>
  <c r="I143" i="34"/>
  <c r="H143" i="34"/>
  <c r="G143" i="34"/>
  <c r="F143" i="34"/>
  <c r="E143" i="34"/>
  <c r="D143" i="34"/>
  <c r="D141" i="34" s="1"/>
  <c r="C143" i="34"/>
  <c r="K142" i="34"/>
  <c r="J142" i="34"/>
  <c r="M141" i="34"/>
  <c r="L141" i="34"/>
  <c r="J141" i="34"/>
  <c r="I141" i="34"/>
  <c r="H141" i="34"/>
  <c r="G141" i="34"/>
  <c r="F141" i="34"/>
  <c r="E141" i="34"/>
  <c r="C141" i="34"/>
  <c r="K139" i="34"/>
  <c r="J139" i="34"/>
  <c r="M138" i="34"/>
  <c r="L138" i="34"/>
  <c r="K138" i="34"/>
  <c r="J138" i="34"/>
  <c r="I138" i="34"/>
  <c r="H138" i="34"/>
  <c r="G138" i="34"/>
  <c r="F138" i="34"/>
  <c r="E138" i="34"/>
  <c r="D138" i="34"/>
  <c r="C138" i="34"/>
  <c r="K136" i="34"/>
  <c r="J136" i="34"/>
  <c r="K135" i="34"/>
  <c r="J135" i="34"/>
  <c r="K134" i="34"/>
  <c r="J134" i="34"/>
  <c r="M133" i="34"/>
  <c r="L133" i="34"/>
  <c r="K133" i="34"/>
  <c r="J133" i="34"/>
  <c r="I133" i="34"/>
  <c r="H133" i="34"/>
  <c r="G133" i="34"/>
  <c r="F133" i="34"/>
  <c r="E133" i="34"/>
  <c r="D133" i="34"/>
  <c r="C133" i="34"/>
  <c r="J132" i="34"/>
  <c r="K132" i="34" s="1"/>
  <c r="J131" i="34"/>
  <c r="K131" i="34" s="1"/>
  <c r="J130" i="34"/>
  <c r="K130" i="34" s="1"/>
  <c r="J129" i="34"/>
  <c r="K129" i="34" s="1"/>
  <c r="J128" i="34"/>
  <c r="K128" i="34" s="1"/>
  <c r="J127" i="34"/>
  <c r="K127" i="34" s="1"/>
  <c r="J126" i="34"/>
  <c r="K126" i="34" s="1"/>
  <c r="J125" i="34"/>
  <c r="K125" i="34" s="1"/>
  <c r="J124" i="34"/>
  <c r="K124" i="34" s="1"/>
  <c r="J123" i="34"/>
  <c r="K123" i="34" s="1"/>
  <c r="J122" i="34"/>
  <c r="K122" i="34" s="1"/>
  <c r="M121" i="34"/>
  <c r="L121" i="34"/>
  <c r="I121" i="34"/>
  <c r="J121" i="34" s="1"/>
  <c r="J25" i="15" s="1"/>
  <c r="J27" i="15" s="1"/>
  <c r="H121" i="34"/>
  <c r="G121" i="34"/>
  <c r="F121" i="34"/>
  <c r="E121" i="34"/>
  <c r="D121" i="34"/>
  <c r="C121" i="34"/>
  <c r="M120" i="34"/>
  <c r="L120" i="34"/>
  <c r="I120" i="34"/>
  <c r="J120" i="34" s="1"/>
  <c r="H120" i="34"/>
  <c r="G120" i="34"/>
  <c r="F120" i="34"/>
  <c r="E120" i="34"/>
  <c r="C120" i="34"/>
  <c r="K118" i="34"/>
  <c r="J118" i="34"/>
  <c r="K117" i="34"/>
  <c r="J117" i="34"/>
  <c r="M116" i="34"/>
  <c r="L116" i="34"/>
  <c r="K116" i="34"/>
  <c r="J116" i="34"/>
  <c r="I116" i="34"/>
  <c r="H116" i="34"/>
  <c r="G116" i="34"/>
  <c r="F116" i="34"/>
  <c r="E116" i="34"/>
  <c r="D116" i="34"/>
  <c r="C116" i="34"/>
  <c r="J115" i="34"/>
  <c r="K115" i="34" s="1"/>
  <c r="K114" i="34"/>
  <c r="J114" i="34"/>
  <c r="M113" i="34"/>
  <c r="L113" i="34"/>
  <c r="I113" i="34"/>
  <c r="J113" i="34" s="1"/>
  <c r="J22" i="15" s="1"/>
  <c r="H113" i="34"/>
  <c r="G113" i="34"/>
  <c r="F113" i="34"/>
  <c r="E113" i="34"/>
  <c r="D113" i="34"/>
  <c r="C113" i="34"/>
  <c r="M112" i="34"/>
  <c r="L112" i="34"/>
  <c r="H112" i="34"/>
  <c r="G112" i="34"/>
  <c r="F112" i="34"/>
  <c r="E112" i="34"/>
  <c r="D112" i="34"/>
  <c r="C112" i="34"/>
  <c r="K110" i="34"/>
  <c r="J110" i="34"/>
  <c r="K109" i="34"/>
  <c r="J109" i="34"/>
  <c r="K108" i="34"/>
  <c r="J108" i="34"/>
  <c r="K107" i="34"/>
  <c r="J107" i="34"/>
  <c r="K106" i="34"/>
  <c r="J106" i="34"/>
  <c r="M105" i="34"/>
  <c r="L105" i="34"/>
  <c r="K105" i="34"/>
  <c r="J105" i="34"/>
  <c r="I105" i="34"/>
  <c r="H105" i="34"/>
  <c r="G105" i="34"/>
  <c r="F105" i="34"/>
  <c r="E105" i="34"/>
  <c r="D105" i="34"/>
  <c r="C105" i="34"/>
  <c r="J103" i="34"/>
  <c r="K103" i="34" s="1"/>
  <c r="K102" i="34"/>
  <c r="J102" i="34"/>
  <c r="K101" i="34"/>
  <c r="J101" i="34"/>
  <c r="M100" i="34"/>
  <c r="L100" i="34"/>
  <c r="I100" i="34"/>
  <c r="J100" i="34" s="1"/>
  <c r="J19" i="15" s="1"/>
  <c r="H100" i="34"/>
  <c r="G100" i="34"/>
  <c r="F100" i="34"/>
  <c r="E100" i="34"/>
  <c r="D100" i="34"/>
  <c r="C100" i="34"/>
  <c r="J99" i="34"/>
  <c r="K99" i="34" s="1"/>
  <c r="J98" i="34"/>
  <c r="K98" i="34" s="1"/>
  <c r="J97" i="34"/>
  <c r="K97" i="34" s="1"/>
  <c r="J96" i="34"/>
  <c r="K96" i="34" s="1"/>
  <c r="J95" i="34"/>
  <c r="K95" i="34" s="1"/>
  <c r="J94" i="34"/>
  <c r="K94" i="34" s="1"/>
  <c r="J93" i="34"/>
  <c r="K93" i="34" s="1"/>
  <c r="J92" i="34"/>
  <c r="K92" i="34" s="1"/>
  <c r="J91" i="34"/>
  <c r="K91" i="34" s="1"/>
  <c r="J90" i="34"/>
  <c r="K90" i="34" s="1"/>
  <c r="J89" i="34"/>
  <c r="K89" i="34" s="1"/>
  <c r="J88" i="34"/>
  <c r="K88" i="34" s="1"/>
  <c r="J87" i="34"/>
  <c r="K87" i="34" s="1"/>
  <c r="J86" i="34"/>
  <c r="K86" i="34" s="1"/>
  <c r="K85" i="34"/>
  <c r="J85" i="34"/>
  <c r="J84" i="34"/>
  <c r="K84" i="34" s="1"/>
  <c r="K83" i="34"/>
  <c r="J83" i="34"/>
  <c r="J82" i="34"/>
  <c r="K82" i="34" s="1"/>
  <c r="K81" i="34"/>
  <c r="J81" i="34"/>
  <c r="J80" i="34"/>
  <c r="K80" i="34" s="1"/>
  <c r="K79" i="34"/>
  <c r="J79" i="34"/>
  <c r="J78" i="34"/>
  <c r="K78" i="34" s="1"/>
  <c r="M77" i="34"/>
  <c r="L77" i="34"/>
  <c r="I77" i="34"/>
  <c r="H77" i="34"/>
  <c r="G77" i="34"/>
  <c r="F77" i="34"/>
  <c r="E77" i="34"/>
  <c r="D77" i="34"/>
  <c r="C77" i="34"/>
  <c r="M76" i="34"/>
  <c r="L76" i="34"/>
  <c r="G76" i="34"/>
  <c r="F76" i="34"/>
  <c r="E76" i="34"/>
  <c r="C76" i="34"/>
  <c r="K74" i="34"/>
  <c r="J74" i="34"/>
  <c r="K73" i="34"/>
  <c r="J73" i="34"/>
  <c r="K72" i="34"/>
  <c r="J72" i="34"/>
  <c r="K71" i="34"/>
  <c r="J71" i="34"/>
  <c r="M70" i="34"/>
  <c r="L70" i="34"/>
  <c r="J70" i="34"/>
  <c r="I70" i="34"/>
  <c r="H70" i="34"/>
  <c r="G70" i="34"/>
  <c r="F70" i="34"/>
  <c r="E70" i="34"/>
  <c r="D70" i="34"/>
  <c r="K70" i="34" s="1"/>
  <c r="K16" i="15" s="1"/>
  <c r="K112" i="15" s="1"/>
  <c r="C70" i="34"/>
  <c r="K69" i="34"/>
  <c r="J69" i="34"/>
  <c r="K68" i="34"/>
  <c r="J68" i="34"/>
  <c r="K67" i="34"/>
  <c r="J67" i="34"/>
  <c r="K66" i="34"/>
  <c r="J66" i="34"/>
  <c r="K65" i="34"/>
  <c r="J65" i="34"/>
  <c r="M64" i="34"/>
  <c r="L64" i="34"/>
  <c r="K64" i="34"/>
  <c r="J64" i="34"/>
  <c r="I64" i="34"/>
  <c r="H64" i="34"/>
  <c r="G64" i="34"/>
  <c r="F64" i="34"/>
  <c r="E64" i="34"/>
  <c r="D64" i="34"/>
  <c r="C64" i="34"/>
  <c r="K63" i="34"/>
  <c r="J63" i="34"/>
  <c r="K62" i="34"/>
  <c r="J62" i="34"/>
  <c r="K61" i="34"/>
  <c r="J61" i="34"/>
  <c r="K60" i="34"/>
  <c r="J60" i="34"/>
  <c r="K59" i="34"/>
  <c r="J59" i="34"/>
  <c r="K58" i="34"/>
  <c r="J58" i="34"/>
  <c r="K57" i="34"/>
  <c r="J57" i="34"/>
  <c r="K56" i="34"/>
  <c r="J56" i="34"/>
  <c r="K55" i="34"/>
  <c r="J55" i="34"/>
  <c r="M54" i="34"/>
  <c r="L54" i="34"/>
  <c r="K54" i="34"/>
  <c r="J54" i="34"/>
  <c r="I54" i="34"/>
  <c r="H54" i="34"/>
  <c r="G54" i="34"/>
  <c r="F54" i="34"/>
  <c r="E54" i="34"/>
  <c r="D54" i="34"/>
  <c r="C54" i="34"/>
  <c r="J53" i="34"/>
  <c r="K53" i="34" s="1"/>
  <c r="J52" i="34"/>
  <c r="K52" i="34" s="1"/>
  <c r="K51" i="34"/>
  <c r="J51" i="34"/>
  <c r="K50" i="34"/>
  <c r="J50" i="34"/>
  <c r="K49" i="34"/>
  <c r="J49" i="34"/>
  <c r="K48" i="34"/>
  <c r="J48" i="34"/>
  <c r="J47" i="34"/>
  <c r="K47" i="34" s="1"/>
  <c r="M46" i="34"/>
  <c r="L46" i="34"/>
  <c r="I46" i="34"/>
  <c r="H46" i="34"/>
  <c r="G46" i="34"/>
  <c r="F46" i="34"/>
  <c r="E46" i="34"/>
  <c r="D46" i="34"/>
  <c r="C46" i="34"/>
  <c r="J45" i="34"/>
  <c r="K45" i="34" s="1"/>
  <c r="K44" i="34"/>
  <c r="J44" i="34"/>
  <c r="J43" i="34"/>
  <c r="K43" i="34" s="1"/>
  <c r="K42" i="34"/>
  <c r="J42" i="34"/>
  <c r="J41" i="34"/>
  <c r="K41" i="34" s="1"/>
  <c r="K40" i="34"/>
  <c r="J40" i="34"/>
  <c r="M39" i="34"/>
  <c r="L39" i="34"/>
  <c r="I39" i="34"/>
  <c r="I12" i="15" s="1"/>
  <c r="H39" i="34"/>
  <c r="G39" i="34"/>
  <c r="F39" i="34"/>
  <c r="E39" i="34"/>
  <c r="D39" i="34"/>
  <c r="C39" i="34"/>
  <c r="K38" i="34"/>
  <c r="J38" i="34"/>
  <c r="K37" i="34"/>
  <c r="J37" i="34"/>
  <c r="K36" i="34"/>
  <c r="J36" i="34"/>
  <c r="J35" i="34"/>
  <c r="K35" i="34" s="1"/>
  <c r="K34" i="34"/>
  <c r="J34" i="34"/>
  <c r="J33" i="34"/>
  <c r="K33" i="34" s="1"/>
  <c r="K32" i="34"/>
  <c r="J32" i="34"/>
  <c r="K31" i="34"/>
  <c r="J31" i="34"/>
  <c r="K30" i="34"/>
  <c r="J30" i="34"/>
  <c r="K29" i="34"/>
  <c r="J29" i="34"/>
  <c r="M28" i="34"/>
  <c r="L28" i="34"/>
  <c r="I28" i="34"/>
  <c r="H28" i="34"/>
  <c r="H11" i="15" s="1"/>
  <c r="G28" i="34"/>
  <c r="F28" i="34"/>
  <c r="E28" i="34"/>
  <c r="D28" i="34"/>
  <c r="C28" i="34"/>
  <c r="K27" i="34"/>
  <c r="J27" i="34"/>
  <c r="K26" i="34"/>
  <c r="J26" i="34"/>
  <c r="K25" i="34"/>
  <c r="J25" i="34"/>
  <c r="K24" i="34"/>
  <c r="J24" i="34"/>
  <c r="K23" i="34"/>
  <c r="J23" i="34"/>
  <c r="J22" i="34"/>
  <c r="K22" i="34" s="1"/>
  <c r="J21" i="34"/>
  <c r="K21" i="34" s="1"/>
  <c r="K20" i="34"/>
  <c r="J20" i="34"/>
  <c r="K19" i="34"/>
  <c r="J19" i="34"/>
  <c r="M18" i="34"/>
  <c r="L18" i="34"/>
  <c r="I18" i="34"/>
  <c r="H18" i="34"/>
  <c r="H10" i="15" s="1"/>
  <c r="G18" i="34"/>
  <c r="G8" i="34" s="1"/>
  <c r="G169" i="34" s="1"/>
  <c r="F18" i="34"/>
  <c r="E18" i="34"/>
  <c r="D18" i="34"/>
  <c r="C18" i="34"/>
  <c r="K17" i="34"/>
  <c r="J17" i="34"/>
  <c r="K16" i="34"/>
  <c r="J16" i="34"/>
  <c r="K15" i="34"/>
  <c r="J15" i="34"/>
  <c r="M14" i="34"/>
  <c r="L14" i="34"/>
  <c r="K14" i="34"/>
  <c r="J14" i="34"/>
  <c r="I14" i="34"/>
  <c r="H14" i="34"/>
  <c r="G14" i="34"/>
  <c r="F14" i="34"/>
  <c r="E14" i="34"/>
  <c r="D14" i="34"/>
  <c r="C14" i="34"/>
  <c r="K13" i="34"/>
  <c r="J13" i="34"/>
  <c r="K12" i="34"/>
  <c r="J12" i="34"/>
  <c r="J11" i="34"/>
  <c r="K11" i="34" s="1"/>
  <c r="J10" i="34"/>
  <c r="K10" i="34" s="1"/>
  <c r="M9" i="34"/>
  <c r="L9" i="34"/>
  <c r="I9" i="34"/>
  <c r="H9" i="34"/>
  <c r="G9" i="34"/>
  <c r="F9" i="34"/>
  <c r="E9" i="34"/>
  <c r="D9" i="34"/>
  <c r="C9" i="34"/>
  <c r="F8" i="34"/>
  <c r="E8" i="34"/>
  <c r="C8" i="34"/>
  <c r="M3" i="34"/>
  <c r="L3" i="34"/>
  <c r="K3" i="34"/>
  <c r="J3" i="34"/>
  <c r="I3" i="34"/>
  <c r="H3" i="34"/>
  <c r="G3" i="34"/>
  <c r="F3" i="34"/>
  <c r="E3" i="34"/>
  <c r="D3" i="34"/>
  <c r="C3" i="34"/>
  <c r="M2" i="34"/>
  <c r="L2" i="34"/>
  <c r="C2" i="34"/>
  <c r="B2" i="34"/>
  <c r="A2" i="34"/>
  <c r="A1" i="34"/>
  <c r="Q31" i="33"/>
  <c r="P31" i="33"/>
  <c r="A27" i="33"/>
  <c r="Q26" i="33"/>
  <c r="P26" i="33"/>
  <c r="J26" i="33"/>
  <c r="I26" i="33"/>
  <c r="Q25" i="33"/>
  <c r="P25" i="33"/>
  <c r="O25" i="33"/>
  <c r="N25" i="33"/>
  <c r="A25" i="33"/>
  <c r="Q24" i="33"/>
  <c r="P24" i="33"/>
  <c r="A24" i="33"/>
  <c r="Q23" i="33"/>
  <c r="P23" i="33"/>
  <c r="A23" i="33"/>
  <c r="Q22" i="33"/>
  <c r="P22" i="33"/>
  <c r="A22" i="33"/>
  <c r="Q21" i="33"/>
  <c r="P21" i="33"/>
  <c r="A21" i="33"/>
  <c r="Q20" i="33"/>
  <c r="P20" i="33"/>
  <c r="M20" i="33"/>
  <c r="L20" i="33"/>
  <c r="K20" i="33"/>
  <c r="J20" i="33"/>
  <c r="I20" i="33"/>
  <c r="H20" i="33"/>
  <c r="G20" i="33"/>
  <c r="F20" i="33"/>
  <c r="E20" i="33"/>
  <c r="D20" i="33"/>
  <c r="C20" i="33"/>
  <c r="A20" i="33"/>
  <c r="Q19" i="33"/>
  <c r="P19" i="33"/>
  <c r="O19" i="33"/>
  <c r="N19" i="33"/>
  <c r="A19" i="33"/>
  <c r="Q18" i="33"/>
  <c r="P18" i="33"/>
  <c r="A18" i="33"/>
  <c r="Q17" i="33"/>
  <c r="P17" i="33"/>
  <c r="A17" i="33"/>
  <c r="Q16" i="33"/>
  <c r="P16" i="33"/>
  <c r="M16" i="33"/>
  <c r="L16" i="33"/>
  <c r="K16" i="33"/>
  <c r="K26" i="33" s="1"/>
  <c r="J16" i="33"/>
  <c r="I16" i="33"/>
  <c r="H16" i="33"/>
  <c r="G16" i="33"/>
  <c r="F16" i="33"/>
  <c r="E16" i="33"/>
  <c r="D16" i="33"/>
  <c r="C16" i="33"/>
  <c r="A16" i="33"/>
  <c r="Q15" i="33"/>
  <c r="P15" i="33"/>
  <c r="O15" i="33"/>
  <c r="N15" i="33"/>
  <c r="A15" i="33"/>
  <c r="Q14" i="33"/>
  <c r="P14" i="33"/>
  <c r="O14" i="33"/>
  <c r="N14" i="33"/>
  <c r="A14" i="33"/>
  <c r="Q13" i="33"/>
  <c r="P13" i="33"/>
  <c r="O13" i="33"/>
  <c r="N13" i="33"/>
  <c r="A13" i="33"/>
  <c r="Q12" i="33"/>
  <c r="P12" i="33"/>
  <c r="A12" i="33"/>
  <c r="Q11" i="33"/>
  <c r="P11" i="33"/>
  <c r="A11" i="33"/>
  <c r="Q10" i="33"/>
  <c r="P10" i="33"/>
  <c r="M10" i="33"/>
  <c r="L10" i="33"/>
  <c r="K10" i="33"/>
  <c r="J10" i="33"/>
  <c r="I10" i="33"/>
  <c r="H10" i="33"/>
  <c r="G10" i="33"/>
  <c r="F10" i="33"/>
  <c r="E10" i="33"/>
  <c r="D10" i="33"/>
  <c r="C10" i="33"/>
  <c r="A10" i="33"/>
  <c r="Q9" i="33"/>
  <c r="P9" i="33"/>
  <c r="A9" i="33"/>
  <c r="Q8" i="33"/>
  <c r="P8" i="33"/>
  <c r="A8" i="33"/>
  <c r="Q7" i="33"/>
  <c r="P7" i="33"/>
  <c r="A7" i="33"/>
  <c r="Q6" i="33"/>
  <c r="P6" i="33"/>
  <c r="M6" i="33"/>
  <c r="L6" i="33"/>
  <c r="K6" i="33"/>
  <c r="J6" i="33"/>
  <c r="I6" i="33"/>
  <c r="H6" i="33"/>
  <c r="G6" i="33"/>
  <c r="F6" i="33"/>
  <c r="E6" i="33"/>
  <c r="D6" i="33"/>
  <c r="C6" i="33"/>
  <c r="A6" i="33"/>
  <c r="Q4" i="33"/>
  <c r="P4" i="33"/>
  <c r="O4" i="33"/>
  <c r="N4" i="33"/>
  <c r="M4" i="33"/>
  <c r="L4" i="33"/>
  <c r="K4" i="33"/>
  <c r="J4" i="33"/>
  <c r="I4" i="33"/>
  <c r="H4" i="33"/>
  <c r="G4" i="33"/>
  <c r="F4" i="33"/>
  <c r="E4" i="33"/>
  <c r="D4" i="33"/>
  <c r="C4" i="33"/>
  <c r="Q3" i="33"/>
  <c r="P3" i="33"/>
  <c r="O3" i="33"/>
  <c r="O2" i="33"/>
  <c r="C2" i="33"/>
  <c r="B2" i="33"/>
  <c r="A2" i="33"/>
  <c r="A1" i="33"/>
  <c r="A41" i="32"/>
  <c r="O40" i="32"/>
  <c r="K40" i="32"/>
  <c r="J40" i="32"/>
  <c r="I40" i="32"/>
  <c r="O39" i="32"/>
  <c r="M39" i="32"/>
  <c r="M40" i="32" s="1"/>
  <c r="L39" i="32"/>
  <c r="L40" i="32" s="1"/>
  <c r="K39" i="32"/>
  <c r="J39" i="32"/>
  <c r="I39" i="32"/>
  <c r="H39" i="32"/>
  <c r="H40" i="32" s="1"/>
  <c r="G39" i="32"/>
  <c r="G40" i="32" s="1"/>
  <c r="F39" i="32"/>
  <c r="F40" i="32" s="1"/>
  <c r="E39" i="32"/>
  <c r="D39" i="32"/>
  <c r="D40" i="32" s="1"/>
  <c r="C39" i="32"/>
  <c r="C40" i="32" s="1"/>
  <c r="O22" i="32"/>
  <c r="O21" i="32"/>
  <c r="M21" i="32"/>
  <c r="L21" i="32"/>
  <c r="K21" i="32"/>
  <c r="J21" i="32"/>
  <c r="I21" i="32"/>
  <c r="H21" i="32"/>
  <c r="G21" i="32"/>
  <c r="F21" i="32"/>
  <c r="E21" i="32"/>
  <c r="D21" i="32"/>
  <c r="C21" i="32"/>
  <c r="R4" i="32"/>
  <c r="Q4" i="32"/>
  <c r="P4" i="32"/>
  <c r="N4" i="32"/>
  <c r="M4" i="32"/>
  <c r="L4" i="32"/>
  <c r="K4" i="32"/>
  <c r="J4" i="32"/>
  <c r="I4" i="32"/>
  <c r="H4" i="32"/>
  <c r="G4" i="32"/>
  <c r="F4" i="32"/>
  <c r="E4" i="32"/>
  <c r="D4" i="32"/>
  <c r="C4" i="32"/>
  <c r="R3" i="32"/>
  <c r="Q3" i="32"/>
  <c r="P3" i="32"/>
  <c r="C2" i="32"/>
  <c r="B2" i="32"/>
  <c r="A2" i="32"/>
  <c r="A1" i="32"/>
  <c r="R64" i="31"/>
  <c r="Q64" i="31"/>
  <c r="L64" i="31"/>
  <c r="K64" i="31"/>
  <c r="J64" i="31"/>
  <c r="R63" i="31"/>
  <c r="Q63" i="31"/>
  <c r="M63" i="31"/>
  <c r="L63" i="31"/>
  <c r="K63" i="31"/>
  <c r="J63" i="31"/>
  <c r="I63" i="31"/>
  <c r="G63" i="31"/>
  <c r="P55" i="31"/>
  <c r="R54" i="31"/>
  <c r="Q54" i="31"/>
  <c r="L54" i="31"/>
  <c r="K54" i="31"/>
  <c r="J54" i="31"/>
  <c r="R52" i="31"/>
  <c r="Q52" i="31"/>
  <c r="M52" i="31"/>
  <c r="M54" i="31" s="1"/>
  <c r="M64" i="31" s="1"/>
  <c r="L52" i="31"/>
  <c r="K52" i="31"/>
  <c r="J52" i="31"/>
  <c r="I52" i="31"/>
  <c r="N50" i="31"/>
  <c r="O50" i="31" s="1"/>
  <c r="R46" i="31"/>
  <c r="Q46" i="31"/>
  <c r="M46" i="31"/>
  <c r="L46" i="31"/>
  <c r="K46" i="31"/>
  <c r="J46" i="31"/>
  <c r="I46" i="31"/>
  <c r="H46" i="31"/>
  <c r="H63" i="31" s="1"/>
  <c r="G46" i="31"/>
  <c r="G52" i="31" s="1"/>
  <c r="F46" i="31"/>
  <c r="F52" i="31" s="1"/>
  <c r="E46" i="31"/>
  <c r="E52" i="31" s="1"/>
  <c r="D46" i="31"/>
  <c r="D52" i="31" s="1"/>
  <c r="C46" i="31"/>
  <c r="C52" i="31" s="1"/>
  <c r="N44" i="31"/>
  <c r="N43" i="31"/>
  <c r="O43" i="31" s="1"/>
  <c r="N40" i="31"/>
  <c r="O40" i="31" s="1"/>
  <c r="N39" i="31"/>
  <c r="O39" i="31" s="1"/>
  <c r="N38" i="31"/>
  <c r="O38" i="31" s="1"/>
  <c r="N37" i="31"/>
  <c r="O37" i="31" s="1"/>
  <c r="N36" i="31"/>
  <c r="O36" i="31" s="1"/>
  <c r="R33" i="31"/>
  <c r="Q33" i="31"/>
  <c r="M33" i="31"/>
  <c r="L33" i="31"/>
  <c r="K33" i="31"/>
  <c r="J33" i="31"/>
  <c r="I33" i="31"/>
  <c r="I54" i="31" s="1"/>
  <c r="I64" i="31" s="1"/>
  <c r="N32" i="31"/>
  <c r="N31" i="31"/>
  <c r="N29" i="31"/>
  <c r="N28" i="31"/>
  <c r="N27" i="31"/>
  <c r="O27" i="31" s="1"/>
  <c r="O26" i="31"/>
  <c r="N26" i="31"/>
  <c r="O25" i="31"/>
  <c r="N25" i="31"/>
  <c r="A25" i="31"/>
  <c r="K24" i="31"/>
  <c r="A24" i="31"/>
  <c r="R21" i="31"/>
  <c r="Q21" i="31"/>
  <c r="M21" i="31"/>
  <c r="L21" i="31"/>
  <c r="K21" i="31"/>
  <c r="J21" i="31"/>
  <c r="I21" i="31"/>
  <c r="H21" i="31"/>
  <c r="H33" i="31" s="1"/>
  <c r="G21" i="31"/>
  <c r="G33" i="31" s="1"/>
  <c r="F21" i="31"/>
  <c r="F33" i="31" s="1"/>
  <c r="E21" i="31"/>
  <c r="E33" i="31" s="1"/>
  <c r="D21" i="31"/>
  <c r="D33" i="31" s="1"/>
  <c r="C21" i="31"/>
  <c r="C33" i="31" s="1"/>
  <c r="N20" i="31"/>
  <c r="O20" i="31" s="1"/>
  <c r="N17" i="31"/>
  <c r="O17" i="31" s="1"/>
  <c r="N15" i="31"/>
  <c r="O15" i="31" s="1"/>
  <c r="N14" i="31"/>
  <c r="O14" i="31" s="1"/>
  <c r="N13" i="31"/>
  <c r="O13" i="31" s="1"/>
  <c r="N12" i="31"/>
  <c r="O12" i="31" s="1"/>
  <c r="N10" i="31"/>
  <c r="O10" i="31" s="1"/>
  <c r="N9" i="31"/>
  <c r="O9" i="31" s="1"/>
  <c r="N8" i="31"/>
  <c r="O8" i="31" s="1"/>
  <c r="N7" i="31"/>
  <c r="O7" i="31" s="1"/>
  <c r="N6" i="31"/>
  <c r="O6" i="31" s="1"/>
  <c r="R4" i="31"/>
  <c r="Q4" i="31"/>
  <c r="P4" i="31"/>
  <c r="N4" i="31"/>
  <c r="M4" i="31"/>
  <c r="L4" i="31"/>
  <c r="K4" i="31"/>
  <c r="J4" i="31"/>
  <c r="I4" i="31"/>
  <c r="H4" i="31"/>
  <c r="G4" i="31"/>
  <c r="F4" i="31"/>
  <c r="E4" i="31"/>
  <c r="D4" i="31"/>
  <c r="C4" i="31"/>
  <c r="R3" i="31"/>
  <c r="Q3" i="31"/>
  <c r="P3" i="31"/>
  <c r="P2" i="31"/>
  <c r="C2" i="31"/>
  <c r="B2" i="31"/>
  <c r="A1" i="31"/>
  <c r="R45" i="30"/>
  <c r="Q45" i="30"/>
  <c r="A43" i="30"/>
  <c r="R42" i="30"/>
  <c r="Q42" i="30"/>
  <c r="M42" i="30"/>
  <c r="L42" i="30"/>
  <c r="K42" i="30"/>
  <c r="J42" i="30"/>
  <c r="I42" i="30"/>
  <c r="R41" i="30"/>
  <c r="Q41" i="30"/>
  <c r="P41" i="30"/>
  <c r="N41" i="30"/>
  <c r="A41" i="30"/>
  <c r="R40" i="30"/>
  <c r="Q40" i="30"/>
  <c r="A40" i="30"/>
  <c r="R39" i="30"/>
  <c r="Q39" i="30"/>
  <c r="A39" i="30"/>
  <c r="R38" i="30"/>
  <c r="Q38" i="30"/>
  <c r="M38" i="30"/>
  <c r="L38" i="30"/>
  <c r="K38" i="30"/>
  <c r="J38" i="30"/>
  <c r="I38" i="30"/>
  <c r="R36" i="30"/>
  <c r="Q36" i="30"/>
  <c r="M36" i="30"/>
  <c r="L36" i="30"/>
  <c r="K36" i="30"/>
  <c r="J36" i="30"/>
  <c r="I36" i="30"/>
  <c r="H36" i="30"/>
  <c r="G36" i="30"/>
  <c r="F36" i="30"/>
  <c r="E36" i="30"/>
  <c r="D36" i="30"/>
  <c r="C36" i="30"/>
  <c r="R35" i="30"/>
  <c r="Q35" i="30"/>
  <c r="P35" i="30"/>
  <c r="O35" i="30"/>
  <c r="N35" i="30"/>
  <c r="A35" i="30"/>
  <c r="R34" i="30"/>
  <c r="Q34" i="30"/>
  <c r="A34" i="30"/>
  <c r="R33" i="30"/>
  <c r="Q33" i="30"/>
  <c r="A33" i="30"/>
  <c r="R32" i="30"/>
  <c r="Q32" i="30"/>
  <c r="A32" i="30"/>
  <c r="R31" i="30"/>
  <c r="Q31" i="30"/>
  <c r="A31" i="30"/>
  <c r="R30" i="30"/>
  <c r="Q30" i="30"/>
  <c r="A30" i="30"/>
  <c r="R29" i="30"/>
  <c r="Q29" i="30"/>
  <c r="A29" i="30"/>
  <c r="R28" i="30"/>
  <c r="Q28" i="30"/>
  <c r="A28" i="30"/>
  <c r="R27" i="30"/>
  <c r="Q27" i="30"/>
  <c r="A27" i="30"/>
  <c r="R26" i="30"/>
  <c r="Q26" i="30"/>
  <c r="A26" i="30"/>
  <c r="R25" i="30"/>
  <c r="Q25" i="30"/>
  <c r="A25" i="30"/>
  <c r="R22" i="30"/>
  <c r="Q22" i="30"/>
  <c r="M22" i="30"/>
  <c r="L22" i="30"/>
  <c r="K22" i="30"/>
  <c r="J22" i="30"/>
  <c r="I22" i="30"/>
  <c r="H22" i="30"/>
  <c r="G22" i="30"/>
  <c r="F22" i="30"/>
  <c r="E22" i="30"/>
  <c r="D22" i="30"/>
  <c r="C22" i="30"/>
  <c r="R21" i="30"/>
  <c r="Q21" i="30"/>
  <c r="P21" i="30"/>
  <c r="O21" i="30"/>
  <c r="N21" i="30"/>
  <c r="A21" i="30"/>
  <c r="R20" i="30"/>
  <c r="Q20" i="30"/>
  <c r="A20" i="30"/>
  <c r="R19" i="30"/>
  <c r="Q19" i="30"/>
  <c r="L19" i="30"/>
  <c r="K19" i="30"/>
  <c r="A19" i="30"/>
  <c r="R18" i="30"/>
  <c r="Q18" i="30"/>
  <c r="A18" i="30"/>
  <c r="R17" i="30"/>
  <c r="Q17" i="30"/>
  <c r="A17" i="30"/>
  <c r="R16" i="30"/>
  <c r="Q16" i="30"/>
  <c r="A16" i="30"/>
  <c r="R15" i="30"/>
  <c r="Q15" i="30"/>
  <c r="A15" i="30"/>
  <c r="R14" i="30"/>
  <c r="Q14" i="30"/>
  <c r="A14" i="30"/>
  <c r="R13" i="30"/>
  <c r="Q13" i="30"/>
  <c r="A13" i="30"/>
  <c r="R12" i="30"/>
  <c r="Q12" i="30"/>
  <c r="A12" i="30"/>
  <c r="A11" i="30"/>
  <c r="R10" i="30"/>
  <c r="Q10" i="30"/>
  <c r="A10" i="30"/>
  <c r="R9" i="30"/>
  <c r="Q9" i="30"/>
  <c r="A9" i="30"/>
  <c r="R8" i="30"/>
  <c r="Q8" i="30"/>
  <c r="A8" i="30"/>
  <c r="R7" i="30"/>
  <c r="Q7" i="30"/>
  <c r="A7" i="30"/>
  <c r="R6" i="30"/>
  <c r="Q6" i="30"/>
  <c r="A6" i="30"/>
  <c r="R4" i="30"/>
  <c r="Q4" i="30"/>
  <c r="P4" i="30"/>
  <c r="N4" i="30"/>
  <c r="M4" i="30"/>
  <c r="L4" i="30"/>
  <c r="K4" i="30"/>
  <c r="J4" i="30"/>
  <c r="I4" i="30"/>
  <c r="H4" i="30"/>
  <c r="G4" i="30"/>
  <c r="F4" i="30"/>
  <c r="E4" i="30"/>
  <c r="D4" i="30"/>
  <c r="C4" i="30"/>
  <c r="R3" i="30"/>
  <c r="Q3" i="30"/>
  <c r="P3" i="30"/>
  <c r="C2" i="30"/>
  <c r="B2" i="30"/>
  <c r="A2" i="30"/>
  <c r="A1" i="30"/>
  <c r="A52" i="29"/>
  <c r="M51" i="29"/>
  <c r="L51" i="29"/>
  <c r="K51" i="29"/>
  <c r="J51" i="29"/>
  <c r="I51" i="29"/>
  <c r="M49" i="29"/>
  <c r="L49" i="29"/>
  <c r="K49" i="29"/>
  <c r="J49" i="29"/>
  <c r="I49" i="29"/>
  <c r="R48" i="29"/>
  <c r="A48" i="29"/>
  <c r="A47" i="29"/>
  <c r="A46" i="29"/>
  <c r="L45" i="29"/>
  <c r="K45" i="29"/>
  <c r="A45" i="29"/>
  <c r="M44" i="29"/>
  <c r="L44" i="29"/>
  <c r="K44" i="29"/>
  <c r="J44" i="29"/>
  <c r="A44" i="29"/>
  <c r="M43" i="29"/>
  <c r="L43" i="29"/>
  <c r="K43" i="29"/>
  <c r="J43" i="29"/>
  <c r="I43" i="29"/>
  <c r="H43" i="29"/>
  <c r="G43" i="29"/>
  <c r="F43" i="29"/>
  <c r="E43" i="29"/>
  <c r="D43" i="29"/>
  <c r="C43" i="29"/>
  <c r="A43" i="29"/>
  <c r="A42" i="29"/>
  <c r="A41" i="29"/>
  <c r="A40" i="29"/>
  <c r="M39" i="29"/>
  <c r="L39" i="29"/>
  <c r="K39" i="29"/>
  <c r="J39" i="29"/>
  <c r="I39" i="29"/>
  <c r="H39" i="29"/>
  <c r="G39" i="29"/>
  <c r="F39" i="29"/>
  <c r="E39" i="29"/>
  <c r="D39" i="29"/>
  <c r="C39" i="29"/>
  <c r="A39" i="29"/>
  <c r="R38" i="29"/>
  <c r="A38" i="29"/>
  <c r="A37" i="29"/>
  <c r="A36" i="29"/>
  <c r="A35" i="29"/>
  <c r="A34" i="29"/>
  <c r="M33" i="29"/>
  <c r="L33" i="29"/>
  <c r="K33" i="29"/>
  <c r="J33" i="29"/>
  <c r="I33" i="29"/>
  <c r="H33" i="29"/>
  <c r="G33" i="29"/>
  <c r="F33" i="29"/>
  <c r="E33" i="29"/>
  <c r="D33" i="29"/>
  <c r="C33" i="29"/>
  <c r="A33" i="29"/>
  <c r="A32" i="29"/>
  <c r="A31" i="29"/>
  <c r="A30" i="29"/>
  <c r="M29" i="29"/>
  <c r="L29" i="29"/>
  <c r="K29" i="29"/>
  <c r="J29" i="29"/>
  <c r="I29" i="29"/>
  <c r="H29" i="29"/>
  <c r="G29" i="29"/>
  <c r="F29" i="29"/>
  <c r="E29" i="29"/>
  <c r="D29" i="29"/>
  <c r="C29" i="29"/>
  <c r="A29" i="29"/>
  <c r="M26" i="29"/>
  <c r="L26" i="29"/>
  <c r="K26" i="29"/>
  <c r="J26" i="29"/>
  <c r="I26" i="29"/>
  <c r="A25" i="29"/>
  <c r="A24" i="29"/>
  <c r="A23" i="29"/>
  <c r="A22" i="29"/>
  <c r="A21" i="29"/>
  <c r="M20" i="29"/>
  <c r="L20" i="29"/>
  <c r="K20" i="29"/>
  <c r="J20" i="29"/>
  <c r="I20" i="29"/>
  <c r="H20" i="29"/>
  <c r="G20" i="29"/>
  <c r="F20" i="29"/>
  <c r="E20" i="29"/>
  <c r="D20" i="29"/>
  <c r="C20" i="29"/>
  <c r="A20" i="29"/>
  <c r="A19" i="29"/>
  <c r="A18" i="29"/>
  <c r="A17" i="29"/>
  <c r="M16" i="29"/>
  <c r="L16" i="29"/>
  <c r="K16" i="29"/>
  <c r="J16" i="29"/>
  <c r="I16" i="29"/>
  <c r="H16" i="29"/>
  <c r="G16" i="29"/>
  <c r="F16" i="29"/>
  <c r="E16" i="29"/>
  <c r="D16" i="29"/>
  <c r="C16" i="29"/>
  <c r="A16" i="29"/>
  <c r="R15" i="29"/>
  <c r="A15" i="29"/>
  <c r="A14" i="29"/>
  <c r="R13" i="29"/>
  <c r="A13" i="29"/>
  <c r="A12" i="29"/>
  <c r="A11" i="29"/>
  <c r="M10" i="29"/>
  <c r="L10" i="29"/>
  <c r="K10" i="29"/>
  <c r="J10" i="29"/>
  <c r="I10" i="29"/>
  <c r="H10" i="29"/>
  <c r="G10" i="29"/>
  <c r="F10" i="29"/>
  <c r="E10" i="29"/>
  <c r="D10" i="29"/>
  <c r="C10" i="29"/>
  <c r="A10" i="29"/>
  <c r="A9" i="29"/>
  <c r="A8" i="29"/>
  <c r="A7" i="29"/>
  <c r="M6" i="29"/>
  <c r="L6" i="29"/>
  <c r="K6" i="29"/>
  <c r="J6" i="29"/>
  <c r="I6" i="29"/>
  <c r="H6" i="29"/>
  <c r="G6" i="29"/>
  <c r="F6" i="29"/>
  <c r="E6" i="29"/>
  <c r="D6" i="29"/>
  <c r="C6" i="29"/>
  <c r="A6" i="29"/>
  <c r="R4" i="29"/>
  <c r="Q4" i="29"/>
  <c r="P4" i="29"/>
  <c r="N4" i="29"/>
  <c r="M4" i="29"/>
  <c r="L4" i="29"/>
  <c r="K4" i="29"/>
  <c r="J4" i="29"/>
  <c r="I4" i="29"/>
  <c r="H4" i="29"/>
  <c r="G4" i="29"/>
  <c r="F4" i="29"/>
  <c r="E4" i="29"/>
  <c r="D4" i="29"/>
  <c r="C4" i="29"/>
  <c r="R3" i="29"/>
  <c r="Q3" i="29"/>
  <c r="P3" i="29"/>
  <c r="C2" i="29"/>
  <c r="B2" i="29"/>
  <c r="A2" i="29"/>
  <c r="A1" i="29"/>
  <c r="A42" i="28"/>
  <c r="M41" i="28"/>
  <c r="L41" i="28"/>
  <c r="K41" i="28"/>
  <c r="J41" i="28"/>
  <c r="I41" i="28"/>
  <c r="M39" i="28"/>
  <c r="L39" i="28"/>
  <c r="K39" i="28"/>
  <c r="J39" i="28"/>
  <c r="I39" i="28"/>
  <c r="H39" i="28"/>
  <c r="G39" i="28"/>
  <c r="F39" i="28"/>
  <c r="E39" i="28"/>
  <c r="D39" i="28"/>
  <c r="C39" i="28"/>
  <c r="R38" i="28"/>
  <c r="R31" i="28"/>
  <c r="M27" i="28"/>
  <c r="L27" i="28"/>
  <c r="K27" i="28"/>
  <c r="J27" i="28"/>
  <c r="L26" i="28"/>
  <c r="K26" i="28"/>
  <c r="A23" i="28"/>
  <c r="M21" i="28"/>
  <c r="L21" i="28"/>
  <c r="K21" i="28"/>
  <c r="J21" i="28"/>
  <c r="I21" i="28"/>
  <c r="H21" i="28"/>
  <c r="H41" i="28" s="1"/>
  <c r="G21" i="28"/>
  <c r="G41" i="28" s="1"/>
  <c r="F21" i="28"/>
  <c r="E21" i="28"/>
  <c r="D21" i="28"/>
  <c r="C21" i="28"/>
  <c r="C41" i="28" s="1"/>
  <c r="A21" i="28"/>
  <c r="A5" i="28"/>
  <c r="P4" i="28"/>
  <c r="N4" i="28"/>
  <c r="M4" i="28"/>
  <c r="L4" i="28"/>
  <c r="K4" i="28"/>
  <c r="J4" i="28"/>
  <c r="I4" i="28"/>
  <c r="H4" i="28"/>
  <c r="G4" i="28"/>
  <c r="F4" i="28"/>
  <c r="E4" i="28"/>
  <c r="D4" i="28"/>
  <c r="C4" i="28"/>
  <c r="R3" i="28"/>
  <c r="Q3" i="28"/>
  <c r="P3" i="28"/>
  <c r="C2" i="28"/>
  <c r="B2" i="28"/>
  <c r="A2" i="28"/>
  <c r="A1" i="28"/>
  <c r="A104" i="27"/>
  <c r="H103" i="27"/>
  <c r="G103" i="27"/>
  <c r="F103" i="27"/>
  <c r="E103" i="27"/>
  <c r="A102" i="27"/>
  <c r="H101" i="27"/>
  <c r="G101" i="27"/>
  <c r="F101" i="27"/>
  <c r="E101" i="27"/>
  <c r="J99" i="27"/>
  <c r="I99" i="27"/>
  <c r="H99" i="27"/>
  <c r="G99" i="27"/>
  <c r="F99" i="27"/>
  <c r="E99" i="27"/>
  <c r="C99" i="27"/>
  <c r="A98" i="27"/>
  <c r="L97" i="27"/>
  <c r="K97" i="27"/>
  <c r="J97" i="27"/>
  <c r="I97" i="27"/>
  <c r="H97" i="27"/>
  <c r="G97" i="27"/>
  <c r="F97" i="27"/>
  <c r="E97" i="27"/>
  <c r="D97" i="27"/>
  <c r="C97" i="27"/>
  <c r="L96" i="27"/>
  <c r="K96" i="27"/>
  <c r="J96" i="27"/>
  <c r="L95" i="27"/>
  <c r="K95" i="27"/>
  <c r="J95" i="27"/>
  <c r="L94" i="27"/>
  <c r="K94" i="27"/>
  <c r="J94" i="27"/>
  <c r="K93" i="27"/>
  <c r="J93" i="27"/>
  <c r="K92" i="27"/>
  <c r="J92" i="27"/>
  <c r="L91" i="27"/>
  <c r="K91" i="27"/>
  <c r="J91" i="27"/>
  <c r="L90" i="27"/>
  <c r="K90" i="27"/>
  <c r="J90" i="27"/>
  <c r="K89" i="27"/>
  <c r="J89" i="27"/>
  <c r="L88" i="27"/>
  <c r="K88" i="27"/>
  <c r="J88" i="27"/>
  <c r="L87" i="27"/>
  <c r="K87" i="27"/>
  <c r="J87" i="27"/>
  <c r="L86" i="27"/>
  <c r="K86" i="27"/>
  <c r="J86" i="27"/>
  <c r="L85" i="27"/>
  <c r="K85" i="27"/>
  <c r="J85" i="27"/>
  <c r="A82" i="27"/>
  <c r="L81" i="27"/>
  <c r="K81" i="27"/>
  <c r="J81" i="27"/>
  <c r="I81" i="27"/>
  <c r="H81" i="27"/>
  <c r="G81" i="27"/>
  <c r="F81" i="27"/>
  <c r="E81" i="27"/>
  <c r="D81" i="27"/>
  <c r="C81" i="27"/>
  <c r="L80" i="27"/>
  <c r="K80" i="27"/>
  <c r="J80" i="27"/>
  <c r="L79" i="27"/>
  <c r="K79" i="27"/>
  <c r="J79" i="27"/>
  <c r="L78" i="27"/>
  <c r="K78" i="27"/>
  <c r="J78" i="27"/>
  <c r="K77" i="27"/>
  <c r="J77" i="27"/>
  <c r="L76" i="27"/>
  <c r="K76" i="27"/>
  <c r="J76" i="27"/>
  <c r="K75" i="27"/>
  <c r="J75" i="27"/>
  <c r="K74" i="27"/>
  <c r="J74" i="27"/>
  <c r="K73" i="27"/>
  <c r="J73" i="27"/>
  <c r="K72" i="27"/>
  <c r="J72" i="27"/>
  <c r="L71" i="27"/>
  <c r="K71" i="27"/>
  <c r="J71" i="27"/>
  <c r="L70" i="27"/>
  <c r="K70" i="27"/>
  <c r="J70" i="27"/>
  <c r="L69" i="27"/>
  <c r="K69" i="27"/>
  <c r="J69" i="27"/>
  <c r="A66" i="27"/>
  <c r="J65" i="27"/>
  <c r="I65" i="27"/>
  <c r="H65" i="27"/>
  <c r="G65" i="27"/>
  <c r="F65" i="27"/>
  <c r="E65" i="27"/>
  <c r="D65" i="27"/>
  <c r="D99" i="27" s="1"/>
  <c r="C65" i="27"/>
  <c r="L64" i="27"/>
  <c r="K64" i="27"/>
  <c r="J64" i="27"/>
  <c r="K63" i="27"/>
  <c r="J63" i="27"/>
  <c r="L62" i="27"/>
  <c r="K62" i="27"/>
  <c r="J62" i="27"/>
  <c r="L61" i="27"/>
  <c r="K61" i="27"/>
  <c r="J61" i="27"/>
  <c r="K60" i="27"/>
  <c r="J60" i="27"/>
  <c r="L59" i="27"/>
  <c r="K59" i="27"/>
  <c r="J59" i="27"/>
  <c r="K58" i="27"/>
  <c r="J58" i="27"/>
  <c r="K57" i="27"/>
  <c r="J57" i="27"/>
  <c r="K56" i="27"/>
  <c r="J56" i="27"/>
  <c r="K55" i="27"/>
  <c r="J55" i="27"/>
  <c r="L54" i="27"/>
  <c r="K54" i="27"/>
  <c r="J54" i="27"/>
  <c r="K53" i="27"/>
  <c r="L53" i="27" s="1"/>
  <c r="J53" i="27"/>
  <c r="L52" i="27"/>
  <c r="K52" i="27"/>
  <c r="K65" i="27" s="1"/>
  <c r="J52" i="27"/>
  <c r="H48" i="27"/>
  <c r="G48" i="27"/>
  <c r="F48" i="27"/>
  <c r="E48" i="27"/>
  <c r="A47" i="27"/>
  <c r="I46" i="27"/>
  <c r="I103" i="27" s="1"/>
  <c r="H46" i="27"/>
  <c r="G46" i="27"/>
  <c r="F46" i="27"/>
  <c r="E46" i="27"/>
  <c r="D46" i="27"/>
  <c r="C46" i="27"/>
  <c r="C48" i="27" s="1"/>
  <c r="C101" i="27" s="1"/>
  <c r="K45" i="27"/>
  <c r="L45" i="27" s="1"/>
  <c r="J45" i="27"/>
  <c r="K44" i="27"/>
  <c r="L44" i="27" s="1"/>
  <c r="J44" i="27"/>
  <c r="K43" i="27"/>
  <c r="L43" i="27" s="1"/>
  <c r="J43" i="27"/>
  <c r="J42" i="27"/>
  <c r="K42" i="27" s="1"/>
  <c r="K41" i="27"/>
  <c r="J41" i="27"/>
  <c r="K40" i="27"/>
  <c r="L40" i="27" s="1"/>
  <c r="J40" i="27"/>
  <c r="K39" i="27"/>
  <c r="L39" i="27" s="1"/>
  <c r="J39" i="27"/>
  <c r="K38" i="27"/>
  <c r="J38" i="27"/>
  <c r="J37" i="27"/>
  <c r="K37" i="27" s="1"/>
  <c r="L37" i="27" s="1"/>
  <c r="L36" i="27"/>
  <c r="K36" i="27"/>
  <c r="J36" i="27"/>
  <c r="K35" i="27"/>
  <c r="L35" i="27" s="1"/>
  <c r="J35" i="27"/>
  <c r="K34" i="27"/>
  <c r="L34" i="27" s="1"/>
  <c r="J34" i="27"/>
  <c r="A31" i="27"/>
  <c r="J30" i="27"/>
  <c r="I30" i="27"/>
  <c r="G30" i="27"/>
  <c r="E30" i="27"/>
  <c r="D30" i="27"/>
  <c r="C30" i="27"/>
  <c r="K29" i="27"/>
  <c r="K30" i="27" s="1"/>
  <c r="J29" i="27"/>
  <c r="K28" i="27"/>
  <c r="L28" i="27" s="1"/>
  <c r="J28" i="27"/>
  <c r="K27" i="27"/>
  <c r="J27" i="27"/>
  <c r="K26" i="27"/>
  <c r="J26" i="27"/>
  <c r="K25" i="27"/>
  <c r="J25" i="27"/>
  <c r="K24" i="27"/>
  <c r="L24" i="27" s="1"/>
  <c r="J24" i="27"/>
  <c r="K23" i="27"/>
  <c r="L23" i="27" s="1"/>
  <c r="J23" i="27"/>
  <c r="K22" i="27"/>
  <c r="J22" i="27"/>
  <c r="K21" i="27"/>
  <c r="L21" i="27" s="1"/>
  <c r="J21" i="27"/>
  <c r="K20" i="27"/>
  <c r="L20" i="27" s="1"/>
  <c r="J20" i="27"/>
  <c r="L19" i="27"/>
  <c r="K19" i="27"/>
  <c r="J19" i="27"/>
  <c r="L18" i="27"/>
  <c r="K18" i="27"/>
  <c r="J18" i="27"/>
  <c r="J14" i="27"/>
  <c r="I14" i="27"/>
  <c r="G14" i="27"/>
  <c r="D14" i="27"/>
  <c r="D15" i="27" s="1"/>
  <c r="C14" i="27"/>
  <c r="K13" i="27"/>
  <c r="J13" i="27"/>
  <c r="K12" i="27"/>
  <c r="J12" i="27"/>
  <c r="K11" i="27"/>
  <c r="J11" i="27"/>
  <c r="L10" i="27"/>
  <c r="K10" i="27"/>
  <c r="J10" i="27"/>
  <c r="K9" i="27"/>
  <c r="L9" i="27" s="1"/>
  <c r="J9" i="27"/>
  <c r="K8" i="27"/>
  <c r="L8" i="27" s="1"/>
  <c r="J8" i="27"/>
  <c r="K7" i="27"/>
  <c r="L7" i="27" s="1"/>
  <c r="J7" i="27"/>
  <c r="K3" i="27"/>
  <c r="J3" i="27"/>
  <c r="I3" i="27"/>
  <c r="H3" i="27"/>
  <c r="G3" i="27"/>
  <c r="F3" i="27"/>
  <c r="E3" i="27"/>
  <c r="D3" i="27"/>
  <c r="C3" i="27"/>
  <c r="C2" i="27"/>
  <c r="B2" i="27"/>
  <c r="A1" i="27"/>
  <c r="A58" i="26"/>
  <c r="M57" i="26"/>
  <c r="L57" i="26"/>
  <c r="H57" i="26"/>
  <c r="G57" i="26"/>
  <c r="F57" i="26"/>
  <c r="E57" i="26"/>
  <c r="C57" i="26"/>
  <c r="M56" i="26"/>
  <c r="L56" i="26"/>
  <c r="K56" i="26"/>
  <c r="J56" i="26"/>
  <c r="I56" i="26"/>
  <c r="H56" i="26"/>
  <c r="G56" i="26"/>
  <c r="F56" i="26"/>
  <c r="E56" i="26"/>
  <c r="D56" i="26"/>
  <c r="C56" i="26"/>
  <c r="M54" i="26"/>
  <c r="L54" i="26"/>
  <c r="K54" i="26"/>
  <c r="J54" i="26"/>
  <c r="I54" i="26"/>
  <c r="H54" i="26"/>
  <c r="G54" i="26"/>
  <c r="F54" i="26"/>
  <c r="E54" i="26"/>
  <c r="D54" i="26"/>
  <c r="C54" i="26"/>
  <c r="K53" i="26"/>
  <c r="J53" i="26"/>
  <c r="K52" i="26"/>
  <c r="J52" i="26"/>
  <c r="K51" i="26"/>
  <c r="J51" i="26"/>
  <c r="M48" i="26"/>
  <c r="L48" i="26"/>
  <c r="K48" i="26"/>
  <c r="J48" i="26"/>
  <c r="I48" i="26"/>
  <c r="H48" i="26"/>
  <c r="G48" i="26"/>
  <c r="F48" i="26"/>
  <c r="E48" i="26"/>
  <c r="D48" i="26"/>
  <c r="C48" i="26"/>
  <c r="K47" i="26"/>
  <c r="J47" i="26"/>
  <c r="K46" i="26"/>
  <c r="J46" i="26"/>
  <c r="K45" i="26"/>
  <c r="J45" i="26"/>
  <c r="M42" i="26"/>
  <c r="L42" i="26"/>
  <c r="K42" i="26"/>
  <c r="J42" i="26"/>
  <c r="I42" i="26"/>
  <c r="H42" i="26"/>
  <c r="G42" i="26"/>
  <c r="F42" i="26"/>
  <c r="E42" i="26"/>
  <c r="D42" i="26"/>
  <c r="C42" i="26"/>
  <c r="K41" i="26"/>
  <c r="J41" i="26"/>
  <c r="K40" i="26"/>
  <c r="J40" i="26"/>
  <c r="K39" i="26"/>
  <c r="J39" i="26"/>
  <c r="M36" i="26"/>
  <c r="L36" i="26"/>
  <c r="K36" i="26"/>
  <c r="J36" i="26"/>
  <c r="I36" i="26"/>
  <c r="H36" i="26"/>
  <c r="G36" i="26"/>
  <c r="F36" i="26"/>
  <c r="E36" i="26"/>
  <c r="D36" i="26"/>
  <c r="C36" i="26"/>
  <c r="K35" i="26"/>
  <c r="J35" i="26"/>
  <c r="K34" i="26"/>
  <c r="J34" i="26"/>
  <c r="K33" i="26"/>
  <c r="J33" i="26"/>
  <c r="M30" i="26"/>
  <c r="L30" i="26"/>
  <c r="H30" i="26"/>
  <c r="G30" i="26"/>
  <c r="F30" i="26"/>
  <c r="E30" i="26"/>
  <c r="C30" i="26"/>
  <c r="M28" i="26"/>
  <c r="L28" i="26"/>
  <c r="J28" i="26"/>
  <c r="I28" i="26"/>
  <c r="H28" i="26"/>
  <c r="G28" i="26"/>
  <c r="F28" i="26"/>
  <c r="E28" i="26"/>
  <c r="D28" i="26"/>
  <c r="C28" i="26"/>
  <c r="K27" i="26"/>
  <c r="K28" i="26" s="1"/>
  <c r="J27" i="26"/>
  <c r="K26" i="26"/>
  <c r="J26" i="26"/>
  <c r="K25" i="26"/>
  <c r="J25" i="26"/>
  <c r="M22" i="26"/>
  <c r="L22" i="26"/>
  <c r="K22" i="26"/>
  <c r="J22" i="26"/>
  <c r="I22" i="26"/>
  <c r="H22" i="26"/>
  <c r="G22" i="26"/>
  <c r="F22" i="26"/>
  <c r="E22" i="26"/>
  <c r="D22" i="26"/>
  <c r="C22" i="26"/>
  <c r="K21" i="26"/>
  <c r="J21" i="26"/>
  <c r="K20" i="26"/>
  <c r="J20" i="26"/>
  <c r="K19" i="26"/>
  <c r="J19" i="26"/>
  <c r="M16" i="26"/>
  <c r="L16" i="26"/>
  <c r="I16" i="26"/>
  <c r="I30" i="26" s="1"/>
  <c r="I57" i="26" s="1"/>
  <c r="H16" i="26"/>
  <c r="G16" i="26"/>
  <c r="F16" i="26"/>
  <c r="E16" i="26"/>
  <c r="D16" i="26"/>
  <c r="D30" i="26" s="1"/>
  <c r="D57" i="26" s="1"/>
  <c r="C16" i="26"/>
  <c r="K15" i="26"/>
  <c r="J15" i="26"/>
  <c r="J14" i="26"/>
  <c r="J16" i="26" s="1"/>
  <c r="J30" i="26" s="1"/>
  <c r="J57" i="26" s="1"/>
  <c r="K13" i="26"/>
  <c r="J13" i="26"/>
  <c r="M10" i="26"/>
  <c r="L10" i="26"/>
  <c r="K10" i="26"/>
  <c r="J10" i="26"/>
  <c r="I10" i="26"/>
  <c r="H10" i="26"/>
  <c r="G10" i="26"/>
  <c r="F10" i="26"/>
  <c r="E10" i="26"/>
  <c r="D10" i="26"/>
  <c r="C10" i="26"/>
  <c r="K9" i="26"/>
  <c r="J9" i="26"/>
  <c r="K8" i="26"/>
  <c r="J8" i="26"/>
  <c r="K7" i="26"/>
  <c r="J7" i="26"/>
  <c r="M3" i="26"/>
  <c r="L3" i="26"/>
  <c r="K3" i="26"/>
  <c r="J3" i="26"/>
  <c r="I3" i="26"/>
  <c r="H3" i="26"/>
  <c r="G3" i="26"/>
  <c r="F3" i="26"/>
  <c r="E3" i="26"/>
  <c r="D3" i="26"/>
  <c r="C3" i="26"/>
  <c r="M2" i="26"/>
  <c r="L2" i="26"/>
  <c r="C2" i="26"/>
  <c r="B2" i="26"/>
  <c r="A2" i="26"/>
  <c r="A1" i="26"/>
  <c r="A57" i="25"/>
  <c r="K55" i="25"/>
  <c r="J55" i="25"/>
  <c r="H55" i="25"/>
  <c r="G55" i="25"/>
  <c r="F55" i="25"/>
  <c r="E55" i="25"/>
  <c r="C55" i="25"/>
  <c r="K54" i="25"/>
  <c r="J54" i="25"/>
  <c r="K52" i="25"/>
  <c r="J52" i="25"/>
  <c r="H52" i="25"/>
  <c r="G52" i="25"/>
  <c r="F52" i="25"/>
  <c r="E52" i="25"/>
  <c r="D52" i="25"/>
  <c r="D55" i="25" s="1"/>
  <c r="C52" i="25"/>
  <c r="K51" i="25"/>
  <c r="J51" i="25"/>
  <c r="I50" i="25"/>
  <c r="I52" i="25" s="1"/>
  <c r="I55" i="25" s="1"/>
  <c r="H50" i="25"/>
  <c r="A50" i="25"/>
  <c r="K49" i="25"/>
  <c r="J49" i="25"/>
  <c r="H49" i="25"/>
  <c r="G49" i="25"/>
  <c r="F49" i="25"/>
  <c r="E49" i="25"/>
  <c r="D49" i="25"/>
  <c r="C49" i="25"/>
  <c r="A49" i="25"/>
  <c r="I48" i="25"/>
  <c r="H48" i="25"/>
  <c r="A48" i="25"/>
  <c r="I47" i="25"/>
  <c r="H47" i="25"/>
  <c r="A47" i="25"/>
  <c r="I45" i="25"/>
  <c r="H45" i="25"/>
  <c r="A45" i="25"/>
  <c r="K44" i="25"/>
  <c r="J44" i="25"/>
  <c r="G44" i="25"/>
  <c r="F44" i="25"/>
  <c r="E44" i="25"/>
  <c r="D44" i="25"/>
  <c r="C44" i="25"/>
  <c r="A44" i="25"/>
  <c r="I43" i="25"/>
  <c r="H43" i="25"/>
  <c r="A43" i="25"/>
  <c r="H42" i="25"/>
  <c r="I42" i="25" s="1"/>
  <c r="I44" i="25" s="1"/>
  <c r="A42" i="25"/>
  <c r="I40" i="25"/>
  <c r="H40" i="25"/>
  <c r="A40" i="25"/>
  <c r="K39" i="25"/>
  <c r="J39" i="25"/>
  <c r="I39" i="25"/>
  <c r="H39" i="25"/>
  <c r="G39" i="25"/>
  <c r="F39" i="25"/>
  <c r="E39" i="25"/>
  <c r="D39" i="25"/>
  <c r="C39" i="25"/>
  <c r="A39" i="25"/>
  <c r="I38" i="25"/>
  <c r="H38" i="25"/>
  <c r="A38" i="25"/>
  <c r="I37" i="25"/>
  <c r="H37" i="25"/>
  <c r="I35" i="25"/>
  <c r="H35" i="25"/>
  <c r="K34" i="25"/>
  <c r="J34" i="25"/>
  <c r="E34" i="25"/>
  <c r="E51" i="25" s="1"/>
  <c r="D34" i="25"/>
  <c r="C34" i="25"/>
  <c r="C51" i="25" s="1"/>
  <c r="H33" i="25"/>
  <c r="F34" i="25"/>
  <c r="F51" i="25" s="1"/>
  <c r="H32" i="25"/>
  <c r="I32" i="25" s="1"/>
  <c r="A31" i="25"/>
  <c r="K28" i="25"/>
  <c r="J28" i="25"/>
  <c r="I28" i="25"/>
  <c r="H28" i="25"/>
  <c r="G28" i="25"/>
  <c r="F28" i="25"/>
  <c r="E28" i="25"/>
  <c r="D28" i="25"/>
  <c r="C28" i="25"/>
  <c r="K27" i="25"/>
  <c r="J27" i="25"/>
  <c r="C27" i="25"/>
  <c r="I26" i="25"/>
  <c r="H26" i="25"/>
  <c r="A26" i="25"/>
  <c r="K25" i="25"/>
  <c r="J25" i="25"/>
  <c r="I25" i="25"/>
  <c r="H25" i="25"/>
  <c r="G25" i="25"/>
  <c r="F25" i="25"/>
  <c r="E25" i="25"/>
  <c r="D25" i="25"/>
  <c r="C25" i="25"/>
  <c r="A25" i="25"/>
  <c r="I24" i="25"/>
  <c r="H24" i="25"/>
  <c r="A24" i="25"/>
  <c r="I23" i="25"/>
  <c r="H23" i="25"/>
  <c r="A23" i="25"/>
  <c r="I21" i="25"/>
  <c r="H21" i="25"/>
  <c r="A21" i="25"/>
  <c r="K20" i="25"/>
  <c r="J20" i="25"/>
  <c r="I20" i="25"/>
  <c r="H20" i="25"/>
  <c r="G20" i="25"/>
  <c r="F20" i="25"/>
  <c r="E20" i="25"/>
  <c r="D20" i="25"/>
  <c r="C20" i="25"/>
  <c r="A20" i="25"/>
  <c r="I19" i="25"/>
  <c r="H19" i="25"/>
  <c r="A19" i="25"/>
  <c r="I18" i="25"/>
  <c r="H18" i="25"/>
  <c r="A18" i="25"/>
  <c r="I16" i="25"/>
  <c r="H16" i="25"/>
  <c r="A16" i="25"/>
  <c r="K15" i="25"/>
  <c r="J15" i="25"/>
  <c r="I15" i="25"/>
  <c r="H15" i="25"/>
  <c r="G15" i="25"/>
  <c r="F15" i="25"/>
  <c r="E15" i="25"/>
  <c r="D15" i="25"/>
  <c r="C15" i="25"/>
  <c r="A15" i="25"/>
  <c r="I14" i="25"/>
  <c r="H14" i="25"/>
  <c r="A14" i="25"/>
  <c r="I13" i="25"/>
  <c r="H13" i="25"/>
  <c r="I11" i="25"/>
  <c r="H11" i="25"/>
  <c r="K10" i="25"/>
  <c r="J10" i="25"/>
  <c r="E10" i="25"/>
  <c r="E27" i="25" s="1"/>
  <c r="D10" i="25"/>
  <c r="D27" i="25" s="1"/>
  <c r="C10" i="25"/>
  <c r="G10" i="25"/>
  <c r="G27" i="25" s="1"/>
  <c r="F10" i="25"/>
  <c r="F27" i="25" s="1"/>
  <c r="H8" i="25"/>
  <c r="I8" i="25" s="1"/>
  <c r="K3" i="25"/>
  <c r="J3" i="25"/>
  <c r="I3" i="25"/>
  <c r="H3" i="25"/>
  <c r="G3" i="25"/>
  <c r="F3" i="25"/>
  <c r="E3" i="25"/>
  <c r="D3" i="25"/>
  <c r="C3" i="25"/>
  <c r="K2" i="25"/>
  <c r="J2" i="25"/>
  <c r="C2" i="25"/>
  <c r="B2" i="25"/>
  <c r="A2" i="25"/>
  <c r="A1" i="25"/>
  <c r="A51" i="24"/>
  <c r="K50" i="24"/>
  <c r="J50" i="24"/>
  <c r="E50" i="24"/>
  <c r="K48" i="24"/>
  <c r="J48" i="24"/>
  <c r="E48" i="24"/>
  <c r="I47" i="24"/>
  <c r="H47" i="24"/>
  <c r="A47" i="24"/>
  <c r="I46" i="24"/>
  <c r="H46" i="24"/>
  <c r="A46" i="24"/>
  <c r="K45" i="24"/>
  <c r="J45" i="24"/>
  <c r="I45" i="24"/>
  <c r="H45" i="24"/>
  <c r="G45" i="24"/>
  <c r="F45" i="24"/>
  <c r="E45" i="24"/>
  <c r="D45" i="24"/>
  <c r="C45" i="24"/>
  <c r="I44" i="24"/>
  <c r="H44" i="24"/>
  <c r="A44" i="24"/>
  <c r="I43" i="24"/>
  <c r="H43" i="24"/>
  <c r="A43" i="24"/>
  <c r="K42" i="24"/>
  <c r="J42" i="24"/>
  <c r="I42" i="24"/>
  <c r="H42" i="24"/>
  <c r="G42" i="24"/>
  <c r="F42" i="24"/>
  <c r="E42" i="24"/>
  <c r="D42" i="24"/>
  <c r="C42" i="24"/>
  <c r="I41" i="24"/>
  <c r="H41" i="24"/>
  <c r="A41" i="24"/>
  <c r="I40" i="24"/>
  <c r="H40" i="24"/>
  <c r="A40" i="24"/>
  <c r="K39" i="24"/>
  <c r="J39" i="24"/>
  <c r="I39" i="24"/>
  <c r="H39" i="24"/>
  <c r="G39" i="24"/>
  <c r="F39" i="24"/>
  <c r="E39" i="24"/>
  <c r="D39" i="24"/>
  <c r="C39" i="24"/>
  <c r="H38" i="24"/>
  <c r="I38" i="24" s="1"/>
  <c r="A38" i="24"/>
  <c r="H37" i="24"/>
  <c r="I37" i="24" s="1"/>
  <c r="A37" i="24"/>
  <c r="H36" i="24"/>
  <c r="I36" i="24" s="1"/>
  <c r="A36" i="24"/>
  <c r="H35" i="24"/>
  <c r="I35" i="24" s="1"/>
  <c r="A35" i="24"/>
  <c r="H34" i="24"/>
  <c r="I34" i="24" s="1"/>
  <c r="A34" i="24"/>
  <c r="H33" i="24"/>
  <c r="I33" i="24" s="1"/>
  <c r="A33" i="24"/>
  <c r="K32" i="24"/>
  <c r="J32" i="24"/>
  <c r="G32" i="24"/>
  <c r="F32" i="24"/>
  <c r="E32" i="24"/>
  <c r="D32" i="24"/>
  <c r="D48" i="24" s="1"/>
  <c r="C32" i="24"/>
  <c r="C48" i="24" s="1"/>
  <c r="C50" i="24" s="1"/>
  <c r="K29" i="24"/>
  <c r="J29" i="24"/>
  <c r="E29" i="24"/>
  <c r="C29" i="24"/>
  <c r="I28" i="24"/>
  <c r="H28" i="24"/>
  <c r="A28" i="24"/>
  <c r="I27" i="24"/>
  <c r="H27" i="24"/>
  <c r="A27" i="24"/>
  <c r="K26" i="24"/>
  <c r="J26" i="24"/>
  <c r="I26" i="24"/>
  <c r="H26" i="24"/>
  <c r="G26" i="24"/>
  <c r="F26" i="24"/>
  <c r="E26" i="24"/>
  <c r="D26" i="24"/>
  <c r="C26" i="24"/>
  <c r="I25" i="24"/>
  <c r="H25" i="24"/>
  <c r="A25" i="24"/>
  <c r="I24" i="24"/>
  <c r="H24" i="24"/>
  <c r="A24" i="24"/>
  <c r="K23" i="24"/>
  <c r="J23" i="24"/>
  <c r="I23" i="24"/>
  <c r="H23" i="24"/>
  <c r="G23" i="24"/>
  <c r="F23" i="24"/>
  <c r="E23" i="24"/>
  <c r="D23" i="24"/>
  <c r="C23" i="24"/>
  <c r="I22" i="24"/>
  <c r="H22" i="24"/>
  <c r="A22" i="24"/>
  <c r="I21" i="24"/>
  <c r="H21" i="24"/>
  <c r="A21" i="24"/>
  <c r="I20" i="24"/>
  <c r="H20" i="24"/>
  <c r="A20" i="24"/>
  <c r="I19" i="24"/>
  <c r="H19" i="24"/>
  <c r="A19" i="24"/>
  <c r="H18" i="24"/>
  <c r="I18" i="24" s="1"/>
  <c r="I17" i="24" s="1"/>
  <c r="A18" i="24"/>
  <c r="K17" i="24"/>
  <c r="J17" i="24"/>
  <c r="H17" i="24"/>
  <c r="G17" i="24"/>
  <c r="F17" i="24"/>
  <c r="E17" i="24"/>
  <c r="D17" i="24"/>
  <c r="C17" i="24"/>
  <c r="H16" i="24"/>
  <c r="I16" i="24" s="1"/>
  <c r="A16" i="24"/>
  <c r="H15" i="24"/>
  <c r="I15" i="24" s="1"/>
  <c r="A15" i="24"/>
  <c r="H14" i="24"/>
  <c r="I14" i="24" s="1"/>
  <c r="A14" i="24"/>
  <c r="H13" i="24"/>
  <c r="I13" i="24" s="1"/>
  <c r="A13" i="24"/>
  <c r="H12" i="24"/>
  <c r="I12" i="24" s="1"/>
  <c r="A12" i="24"/>
  <c r="H11" i="24"/>
  <c r="I11" i="24" s="1"/>
  <c r="A11" i="24"/>
  <c r="I10" i="24"/>
  <c r="H10" i="24"/>
  <c r="A10" i="24"/>
  <c r="K9" i="24"/>
  <c r="J9" i="24"/>
  <c r="G9" i="24"/>
  <c r="G29" i="24" s="1"/>
  <c r="H10" i="7" s="1"/>
  <c r="F9" i="24"/>
  <c r="E9" i="24"/>
  <c r="D9" i="24"/>
  <c r="D29" i="24" s="1"/>
  <c r="C9" i="24"/>
  <c r="K3" i="24"/>
  <c r="J3" i="24"/>
  <c r="I3" i="24"/>
  <c r="H3" i="24"/>
  <c r="G3" i="24"/>
  <c r="F3" i="24"/>
  <c r="E3" i="24"/>
  <c r="D3" i="24"/>
  <c r="C3" i="24"/>
  <c r="K2" i="24"/>
  <c r="J2" i="24"/>
  <c r="C2" i="24"/>
  <c r="B2" i="24"/>
  <c r="A2" i="24"/>
  <c r="A1" i="24"/>
  <c r="A50" i="23"/>
  <c r="K49" i="23"/>
  <c r="E49" i="23"/>
  <c r="C49" i="23"/>
  <c r="K48" i="23"/>
  <c r="J48" i="23"/>
  <c r="E48" i="23"/>
  <c r="C48" i="23"/>
  <c r="I47" i="23"/>
  <c r="H47" i="23"/>
  <c r="I46" i="23"/>
  <c r="H46" i="23"/>
  <c r="K45" i="23"/>
  <c r="J45" i="23"/>
  <c r="I45" i="23"/>
  <c r="H45" i="23"/>
  <c r="G45" i="23"/>
  <c r="F45" i="23"/>
  <c r="E45" i="23"/>
  <c r="D45" i="23"/>
  <c r="C45" i="23"/>
  <c r="A45" i="23"/>
  <c r="I44" i="23"/>
  <c r="H44" i="23"/>
  <c r="I43" i="23"/>
  <c r="H43" i="23"/>
  <c r="K42" i="23"/>
  <c r="J42" i="23"/>
  <c r="I42" i="23"/>
  <c r="H42" i="23"/>
  <c r="G42" i="23"/>
  <c r="F42" i="23"/>
  <c r="E42" i="23"/>
  <c r="D42" i="23"/>
  <c r="C42" i="23"/>
  <c r="A42" i="23"/>
  <c r="I41" i="23"/>
  <c r="H41" i="23"/>
  <c r="I40" i="23"/>
  <c r="H40" i="23"/>
  <c r="K39" i="23"/>
  <c r="J39" i="23"/>
  <c r="I39" i="23"/>
  <c r="H39" i="23"/>
  <c r="G39" i="23"/>
  <c r="F39" i="23"/>
  <c r="E39" i="23"/>
  <c r="D39" i="23"/>
  <c r="C39" i="23"/>
  <c r="A39" i="23"/>
  <c r="H38" i="23"/>
  <c r="I38" i="23" s="1"/>
  <c r="H37" i="23"/>
  <c r="I37" i="23" s="1"/>
  <c r="H36" i="23"/>
  <c r="I36" i="23" s="1"/>
  <c r="I35" i="23"/>
  <c r="H35" i="23"/>
  <c r="H34" i="23"/>
  <c r="I34" i="23" s="1"/>
  <c r="H33" i="23"/>
  <c r="I33" i="23" s="1"/>
  <c r="K32" i="23"/>
  <c r="J32" i="23"/>
  <c r="G32" i="23"/>
  <c r="G48" i="23" s="1"/>
  <c r="F32" i="23"/>
  <c r="F48" i="23" s="1"/>
  <c r="E32" i="23"/>
  <c r="D32" i="23"/>
  <c r="D48" i="23" s="1"/>
  <c r="C32" i="23"/>
  <c r="A32" i="23"/>
  <c r="K29" i="23"/>
  <c r="E29" i="23"/>
  <c r="C29" i="23"/>
  <c r="I28" i="23"/>
  <c r="H28" i="23"/>
  <c r="I27" i="23"/>
  <c r="H27" i="23"/>
  <c r="K26" i="23"/>
  <c r="J26" i="23"/>
  <c r="I26" i="23"/>
  <c r="H26" i="23"/>
  <c r="G26" i="23"/>
  <c r="F26" i="23"/>
  <c r="E26" i="23"/>
  <c r="D26" i="23"/>
  <c r="C26" i="23"/>
  <c r="I25" i="23"/>
  <c r="H25" i="23"/>
  <c r="I24" i="23"/>
  <c r="H24" i="23"/>
  <c r="K23" i="23"/>
  <c r="J23" i="23"/>
  <c r="I23" i="23"/>
  <c r="H23" i="23"/>
  <c r="G23" i="23"/>
  <c r="F23" i="23"/>
  <c r="E23" i="23"/>
  <c r="D23" i="23"/>
  <c r="C23" i="23"/>
  <c r="I22" i="23"/>
  <c r="H22" i="23"/>
  <c r="I21" i="23"/>
  <c r="H21" i="23"/>
  <c r="I20" i="23"/>
  <c r="H20" i="23"/>
  <c r="I19" i="23"/>
  <c r="H19" i="23"/>
  <c r="I18" i="23"/>
  <c r="H18" i="23"/>
  <c r="K17" i="23"/>
  <c r="I17" i="23"/>
  <c r="H17" i="23"/>
  <c r="G17" i="23"/>
  <c r="F17" i="23"/>
  <c r="E17" i="23"/>
  <c r="D17" i="23"/>
  <c r="C17" i="23"/>
  <c r="I16" i="23"/>
  <c r="H16" i="23"/>
  <c r="H15" i="23"/>
  <c r="I15" i="23" s="1"/>
  <c r="J17" i="23" s="1"/>
  <c r="J29" i="23" s="1"/>
  <c r="J49" i="23" s="1"/>
  <c r="J39" i="22" s="1"/>
  <c r="J14" i="22" s="1"/>
  <c r="H14" i="23"/>
  <c r="I14" i="23" s="1"/>
  <c r="H13" i="23"/>
  <c r="I13" i="23" s="1"/>
  <c r="H12" i="23"/>
  <c r="I12" i="23" s="1"/>
  <c r="I11" i="23"/>
  <c r="H11" i="23"/>
  <c r="I10" i="23"/>
  <c r="H10" i="23"/>
  <c r="K9" i="23"/>
  <c r="J9" i="23"/>
  <c r="G9" i="23"/>
  <c r="G29" i="23" s="1"/>
  <c r="F9" i="23"/>
  <c r="E9" i="23"/>
  <c r="D9" i="23"/>
  <c r="D29" i="23" s="1"/>
  <c r="C9" i="23"/>
  <c r="K3" i="23"/>
  <c r="J3" i="23"/>
  <c r="I3" i="23"/>
  <c r="H3" i="23"/>
  <c r="G3" i="23"/>
  <c r="F3" i="23"/>
  <c r="E3" i="23"/>
  <c r="D3" i="23"/>
  <c r="C3" i="23"/>
  <c r="K2" i="23"/>
  <c r="J2" i="23"/>
  <c r="C2" i="23"/>
  <c r="B2" i="23"/>
  <c r="A2" i="23"/>
  <c r="A1" i="23"/>
  <c r="K41" i="22"/>
  <c r="J41" i="22"/>
  <c r="G41" i="22"/>
  <c r="K40" i="22"/>
  <c r="J40" i="22"/>
  <c r="H40" i="22"/>
  <c r="G40" i="22"/>
  <c r="K39" i="22"/>
  <c r="G39" i="22"/>
  <c r="K37" i="22"/>
  <c r="I37" i="22"/>
  <c r="K36" i="22"/>
  <c r="J36" i="22"/>
  <c r="G36" i="22"/>
  <c r="A19" i="22"/>
  <c r="G18" i="22"/>
  <c r="C18" i="22"/>
  <c r="K16" i="22"/>
  <c r="J16" i="22"/>
  <c r="K14" i="22"/>
  <c r="G14" i="22"/>
  <c r="K13" i="22"/>
  <c r="J13" i="22"/>
  <c r="J12" i="22"/>
  <c r="I12" i="22"/>
  <c r="G12" i="22"/>
  <c r="K11" i="22"/>
  <c r="J11" i="22"/>
  <c r="G11" i="22"/>
  <c r="K10" i="22"/>
  <c r="J10" i="22"/>
  <c r="G10" i="22"/>
  <c r="F10" i="22"/>
  <c r="E10" i="22"/>
  <c r="D10" i="22"/>
  <c r="K9" i="22"/>
  <c r="G9" i="22"/>
  <c r="K8" i="22"/>
  <c r="J8" i="22"/>
  <c r="F8" i="22"/>
  <c r="E8" i="22"/>
  <c r="G7" i="22"/>
  <c r="G6" i="22"/>
  <c r="G5" i="22"/>
  <c r="K3" i="22"/>
  <c r="J3" i="22"/>
  <c r="I3" i="22"/>
  <c r="H3" i="22"/>
  <c r="G3" i="22"/>
  <c r="F3" i="22"/>
  <c r="E3" i="22"/>
  <c r="D3" i="22"/>
  <c r="G2" i="22"/>
  <c r="F2" i="22"/>
  <c r="E2" i="22"/>
  <c r="D2" i="22"/>
  <c r="B2" i="22"/>
  <c r="A2" i="22"/>
  <c r="A1" i="22"/>
  <c r="A298" i="21"/>
  <c r="O296" i="21"/>
  <c r="N296" i="21"/>
  <c r="L296" i="21"/>
  <c r="K296" i="21"/>
  <c r="J296" i="21"/>
  <c r="I296" i="21"/>
  <c r="H296" i="21"/>
  <c r="G296" i="21"/>
  <c r="F296" i="21"/>
  <c r="E296" i="21"/>
  <c r="M295" i="21"/>
  <c r="L295" i="21"/>
  <c r="M294" i="21"/>
  <c r="L294" i="21"/>
  <c r="M293" i="21"/>
  <c r="L293" i="21"/>
  <c r="M292" i="21"/>
  <c r="L292" i="21"/>
  <c r="M291" i="21"/>
  <c r="L291" i="21"/>
  <c r="M290" i="21"/>
  <c r="L290" i="21"/>
  <c r="M289" i="21"/>
  <c r="L289" i="21"/>
  <c r="M288" i="21"/>
  <c r="M296" i="21" s="1"/>
  <c r="L288" i="21"/>
  <c r="M287" i="21"/>
  <c r="L287" i="21"/>
  <c r="M286" i="21"/>
  <c r="L286" i="21"/>
  <c r="O284" i="21"/>
  <c r="N284" i="21"/>
  <c r="L284" i="21"/>
  <c r="K284" i="21"/>
  <c r="J284" i="21"/>
  <c r="I284" i="21"/>
  <c r="H284" i="21"/>
  <c r="G284" i="21"/>
  <c r="F284" i="21"/>
  <c r="E284" i="21"/>
  <c r="M283" i="21"/>
  <c r="L283" i="21"/>
  <c r="M282" i="21"/>
  <c r="L282" i="21"/>
  <c r="M281" i="21"/>
  <c r="L281" i="21"/>
  <c r="M280" i="21"/>
  <c r="L280" i="21"/>
  <c r="M279" i="21"/>
  <c r="L279" i="21"/>
  <c r="M278" i="21"/>
  <c r="L278" i="21"/>
  <c r="M277" i="21"/>
  <c r="L277" i="21"/>
  <c r="M276" i="21"/>
  <c r="M284" i="21" s="1"/>
  <c r="L276" i="21"/>
  <c r="M275" i="21"/>
  <c r="L275" i="21"/>
  <c r="M274" i="21"/>
  <c r="L274" i="21"/>
  <c r="O272" i="21"/>
  <c r="N272" i="21"/>
  <c r="L272" i="21"/>
  <c r="K272" i="21"/>
  <c r="J272" i="21"/>
  <c r="I272" i="21"/>
  <c r="H272" i="21"/>
  <c r="G272" i="21"/>
  <c r="F272" i="21"/>
  <c r="E272" i="21"/>
  <c r="M271" i="21"/>
  <c r="L271" i="21"/>
  <c r="M270" i="21"/>
  <c r="L270" i="21"/>
  <c r="M269" i="21"/>
  <c r="L269" i="21"/>
  <c r="M268" i="21"/>
  <c r="L268" i="21"/>
  <c r="M267" i="21"/>
  <c r="L267" i="21"/>
  <c r="M266" i="21"/>
  <c r="L266" i="21"/>
  <c r="M265" i="21"/>
  <c r="L265" i="21"/>
  <c r="M264" i="21"/>
  <c r="M272" i="21" s="1"/>
  <c r="L264" i="21"/>
  <c r="M263" i="21"/>
  <c r="L263" i="21"/>
  <c r="M262" i="21"/>
  <c r="L262" i="21"/>
  <c r="O260" i="21"/>
  <c r="N260" i="21"/>
  <c r="M260" i="21"/>
  <c r="L260" i="21"/>
  <c r="K260" i="21"/>
  <c r="J260" i="21"/>
  <c r="I260" i="21"/>
  <c r="H260" i="21"/>
  <c r="G260" i="21"/>
  <c r="F260" i="21"/>
  <c r="E260" i="21"/>
  <c r="M259" i="21"/>
  <c r="L259" i="21"/>
  <c r="M258" i="21"/>
  <c r="L258" i="21"/>
  <c r="M257" i="21"/>
  <c r="L257" i="21"/>
  <c r="M256" i="21"/>
  <c r="L256" i="21"/>
  <c r="M255" i="21"/>
  <c r="L255" i="21"/>
  <c r="M254" i="21"/>
  <c r="L254" i="21"/>
  <c r="M253" i="21"/>
  <c r="L253" i="21"/>
  <c r="M252" i="21"/>
  <c r="L252" i="21"/>
  <c r="M251" i="21"/>
  <c r="L251" i="21"/>
  <c r="M250" i="21"/>
  <c r="L250" i="21"/>
  <c r="O248" i="21"/>
  <c r="N248" i="21"/>
  <c r="M248" i="21"/>
  <c r="L248" i="21"/>
  <c r="K248" i="21"/>
  <c r="J248" i="21"/>
  <c r="I248" i="21"/>
  <c r="H248" i="21"/>
  <c r="G248" i="21"/>
  <c r="F248" i="21"/>
  <c r="E248" i="21"/>
  <c r="O247" i="21"/>
  <c r="N247" i="21"/>
  <c r="E247" i="21"/>
  <c r="M245" i="21"/>
  <c r="L245" i="21"/>
  <c r="K245" i="21"/>
  <c r="J245" i="21"/>
  <c r="I245" i="21"/>
  <c r="H245" i="21"/>
  <c r="G245" i="21"/>
  <c r="F245" i="21"/>
  <c r="E245" i="21"/>
  <c r="M244" i="21"/>
  <c r="L244" i="21"/>
  <c r="K244" i="21"/>
  <c r="J244" i="21"/>
  <c r="I244" i="21"/>
  <c r="H244" i="21"/>
  <c r="G244" i="21"/>
  <c r="F244" i="21"/>
  <c r="E244" i="21"/>
  <c r="M238" i="21"/>
  <c r="L238" i="21"/>
  <c r="K238" i="21"/>
  <c r="J238" i="21"/>
  <c r="I238" i="21"/>
  <c r="H238" i="21"/>
  <c r="G238" i="21"/>
  <c r="F238" i="21"/>
  <c r="E238" i="21"/>
  <c r="M235" i="21"/>
  <c r="L235" i="21"/>
  <c r="K235" i="21"/>
  <c r="J235" i="21"/>
  <c r="I235" i="21"/>
  <c r="H235" i="21"/>
  <c r="G235" i="21"/>
  <c r="F235" i="21"/>
  <c r="E235" i="21"/>
  <c r="M234" i="21"/>
  <c r="L234" i="21"/>
  <c r="K234" i="21"/>
  <c r="J234" i="21"/>
  <c r="I234" i="21"/>
  <c r="H234" i="21"/>
  <c r="G234" i="21"/>
  <c r="F234" i="21"/>
  <c r="E234" i="21"/>
  <c r="M230" i="21"/>
  <c r="L230" i="21"/>
  <c r="K230" i="21"/>
  <c r="J230" i="21"/>
  <c r="I230" i="21"/>
  <c r="H230" i="21"/>
  <c r="G230" i="21"/>
  <c r="F230" i="21"/>
  <c r="E230" i="21"/>
  <c r="M226" i="21"/>
  <c r="L226" i="21"/>
  <c r="K226" i="21"/>
  <c r="J226" i="21"/>
  <c r="I226" i="21"/>
  <c r="H226" i="21"/>
  <c r="G226" i="21"/>
  <c r="F226" i="21"/>
  <c r="E226" i="21"/>
  <c r="M225" i="21"/>
  <c r="L225" i="21"/>
  <c r="K225" i="21"/>
  <c r="J225" i="21"/>
  <c r="I225" i="21"/>
  <c r="H225" i="21"/>
  <c r="G225" i="21"/>
  <c r="F225" i="21"/>
  <c r="E225" i="21"/>
  <c r="M221" i="21"/>
  <c r="L221" i="21"/>
  <c r="K221" i="21"/>
  <c r="J221" i="21"/>
  <c r="I221" i="21"/>
  <c r="H221" i="21"/>
  <c r="G221" i="21"/>
  <c r="F221" i="21"/>
  <c r="E221" i="21"/>
  <c r="M214" i="21"/>
  <c r="L214" i="21"/>
  <c r="K214" i="21"/>
  <c r="J214" i="21"/>
  <c r="I214" i="21"/>
  <c r="H214" i="21"/>
  <c r="G214" i="21"/>
  <c r="F214" i="21"/>
  <c r="E214" i="21"/>
  <c r="M213" i="21"/>
  <c r="L213" i="21"/>
  <c r="K213" i="21"/>
  <c r="J213" i="21"/>
  <c r="I213" i="21"/>
  <c r="H213" i="21"/>
  <c r="G213" i="21"/>
  <c r="F213" i="21"/>
  <c r="E213" i="21"/>
  <c r="M209" i="21"/>
  <c r="L209" i="21"/>
  <c r="K209" i="21"/>
  <c r="J209" i="21"/>
  <c r="I209" i="21"/>
  <c r="H209" i="21"/>
  <c r="G209" i="21"/>
  <c r="F209" i="21"/>
  <c r="E209" i="21"/>
  <c r="M202" i="21"/>
  <c r="L202" i="21"/>
  <c r="K202" i="21"/>
  <c r="J202" i="21"/>
  <c r="I202" i="21"/>
  <c r="H202" i="21"/>
  <c r="G202" i="21"/>
  <c r="F202" i="21"/>
  <c r="E202" i="21"/>
  <c r="K201" i="21"/>
  <c r="H201" i="21"/>
  <c r="G201" i="21"/>
  <c r="F201" i="21"/>
  <c r="E201" i="21"/>
  <c r="M199" i="21"/>
  <c r="L199" i="21"/>
  <c r="K199" i="21"/>
  <c r="J199" i="21"/>
  <c r="I199" i="21"/>
  <c r="H199" i="21"/>
  <c r="G199" i="21"/>
  <c r="F199" i="21"/>
  <c r="E199" i="21"/>
  <c r="M198" i="21"/>
  <c r="L198" i="21"/>
  <c r="K198" i="21"/>
  <c r="J198" i="21"/>
  <c r="I198" i="21"/>
  <c r="H198" i="21"/>
  <c r="G198" i="21"/>
  <c r="F198" i="21"/>
  <c r="E198" i="21"/>
  <c r="M192" i="21"/>
  <c r="L192" i="21"/>
  <c r="K192" i="21"/>
  <c r="J192" i="21"/>
  <c r="I192" i="21"/>
  <c r="H192" i="21"/>
  <c r="G192" i="21"/>
  <c r="F192" i="21"/>
  <c r="E192" i="21"/>
  <c r="M189" i="21"/>
  <c r="L189" i="21"/>
  <c r="K189" i="21"/>
  <c r="J189" i="21"/>
  <c r="I189" i="21"/>
  <c r="H189" i="21"/>
  <c r="G189" i="21"/>
  <c r="F189" i="21"/>
  <c r="E189" i="21"/>
  <c r="M188" i="21"/>
  <c r="L188" i="21"/>
  <c r="K188" i="21"/>
  <c r="J188" i="21"/>
  <c r="I188" i="21"/>
  <c r="H188" i="21"/>
  <c r="G188" i="21"/>
  <c r="F188" i="21"/>
  <c r="E188" i="21"/>
  <c r="M184" i="21"/>
  <c r="L184" i="21"/>
  <c r="K184" i="21"/>
  <c r="J184" i="21"/>
  <c r="I184" i="21"/>
  <c r="H184" i="21"/>
  <c r="G184" i="21"/>
  <c r="F184" i="21"/>
  <c r="E184" i="21"/>
  <c r="M180" i="21"/>
  <c r="L180" i="21"/>
  <c r="K180" i="21"/>
  <c r="J180" i="21"/>
  <c r="I180" i="21"/>
  <c r="H180" i="21"/>
  <c r="G180" i="21"/>
  <c r="F180" i="21"/>
  <c r="E180" i="21"/>
  <c r="M179" i="21"/>
  <c r="L179" i="21"/>
  <c r="K179" i="21"/>
  <c r="J179" i="21"/>
  <c r="I179" i="21"/>
  <c r="H179" i="21"/>
  <c r="G179" i="21"/>
  <c r="F179" i="21"/>
  <c r="E179" i="21"/>
  <c r="M175" i="21"/>
  <c r="L175" i="21"/>
  <c r="K175" i="21"/>
  <c r="J175" i="21"/>
  <c r="I175" i="21"/>
  <c r="H175" i="21"/>
  <c r="G175" i="21"/>
  <c r="F175" i="21"/>
  <c r="E175" i="21"/>
  <c r="M168" i="21"/>
  <c r="L168" i="21"/>
  <c r="K168" i="21"/>
  <c r="J168" i="21"/>
  <c r="I168" i="21"/>
  <c r="H168" i="21"/>
  <c r="G168" i="21"/>
  <c r="F168" i="21"/>
  <c r="E168" i="21"/>
  <c r="M167" i="21"/>
  <c r="L167" i="21"/>
  <c r="K167" i="21"/>
  <c r="J167" i="21"/>
  <c r="I167" i="21"/>
  <c r="H167" i="21"/>
  <c r="G167" i="21"/>
  <c r="F167" i="21"/>
  <c r="E167" i="21"/>
  <c r="M163" i="21"/>
  <c r="L163" i="21"/>
  <c r="K163" i="21"/>
  <c r="J163" i="21"/>
  <c r="I163" i="21"/>
  <c r="H163" i="21"/>
  <c r="G163" i="21"/>
  <c r="F163" i="21"/>
  <c r="E163" i="21"/>
  <c r="M156" i="21"/>
  <c r="L156" i="21"/>
  <c r="K156" i="21"/>
  <c r="J156" i="21"/>
  <c r="I156" i="21"/>
  <c r="H156" i="21"/>
  <c r="G156" i="21"/>
  <c r="F156" i="21"/>
  <c r="E156" i="21"/>
  <c r="K155" i="21"/>
  <c r="H155" i="21"/>
  <c r="G155" i="21"/>
  <c r="F155" i="21"/>
  <c r="E155" i="21"/>
  <c r="M153" i="21"/>
  <c r="L153" i="21"/>
  <c r="K153" i="21"/>
  <c r="J153" i="21"/>
  <c r="I153" i="21"/>
  <c r="H153" i="21"/>
  <c r="G153" i="21"/>
  <c r="F153" i="21"/>
  <c r="E153" i="21"/>
  <c r="M152" i="21"/>
  <c r="L152" i="21"/>
  <c r="K152" i="21"/>
  <c r="J152" i="21"/>
  <c r="I152" i="21"/>
  <c r="H152" i="21"/>
  <c r="G152" i="21"/>
  <c r="F152" i="21"/>
  <c r="E152" i="21"/>
  <c r="M146" i="21"/>
  <c r="L146" i="21"/>
  <c r="K146" i="21"/>
  <c r="J146" i="21"/>
  <c r="I146" i="21"/>
  <c r="H146" i="21"/>
  <c r="G146" i="21"/>
  <c r="F146" i="21"/>
  <c r="E146" i="21"/>
  <c r="M143" i="21"/>
  <c r="L143" i="21"/>
  <c r="K143" i="21"/>
  <c r="J143" i="21"/>
  <c r="I143" i="21"/>
  <c r="H143" i="21"/>
  <c r="G143" i="21"/>
  <c r="F143" i="21"/>
  <c r="E143" i="21"/>
  <c r="M142" i="21"/>
  <c r="L142" i="21"/>
  <c r="K142" i="21"/>
  <c r="J142" i="21"/>
  <c r="I142" i="21"/>
  <c r="H142" i="21"/>
  <c r="G142" i="21"/>
  <c r="F142" i="21"/>
  <c r="E142" i="21"/>
  <c r="M138" i="21"/>
  <c r="L138" i="21"/>
  <c r="K138" i="21"/>
  <c r="J138" i="21"/>
  <c r="I138" i="21"/>
  <c r="H138" i="21"/>
  <c r="G138" i="21"/>
  <c r="F138" i="21"/>
  <c r="E138" i="21"/>
  <c r="M134" i="21"/>
  <c r="L134" i="21"/>
  <c r="K134" i="21"/>
  <c r="J134" i="21"/>
  <c r="I134" i="21"/>
  <c r="H134" i="21"/>
  <c r="G134" i="21"/>
  <c r="F134" i="21"/>
  <c r="E134" i="21"/>
  <c r="M133" i="21"/>
  <c r="L133" i="21"/>
  <c r="K133" i="21"/>
  <c r="J133" i="21"/>
  <c r="I133" i="21"/>
  <c r="H133" i="21"/>
  <c r="G133" i="21"/>
  <c r="F133" i="21"/>
  <c r="E133" i="21"/>
  <c r="M129" i="21"/>
  <c r="L129" i="21"/>
  <c r="K129" i="21"/>
  <c r="J129" i="21"/>
  <c r="I129" i="21"/>
  <c r="H129" i="21"/>
  <c r="G129" i="21"/>
  <c r="F129" i="21"/>
  <c r="E129" i="21"/>
  <c r="M122" i="21"/>
  <c r="L122" i="21"/>
  <c r="K122" i="21"/>
  <c r="J122" i="21"/>
  <c r="I122" i="21"/>
  <c r="H122" i="21"/>
  <c r="G122" i="21"/>
  <c r="F122" i="21"/>
  <c r="E122" i="21"/>
  <c r="M121" i="21"/>
  <c r="L121" i="21"/>
  <c r="K121" i="21"/>
  <c r="J121" i="21"/>
  <c r="I121" i="21"/>
  <c r="H121" i="21"/>
  <c r="G121" i="21"/>
  <c r="F121" i="21"/>
  <c r="E121" i="21"/>
  <c r="M117" i="21"/>
  <c r="L117" i="21"/>
  <c r="K117" i="21"/>
  <c r="J117" i="21"/>
  <c r="I117" i="21"/>
  <c r="H117" i="21"/>
  <c r="G117" i="21"/>
  <c r="F117" i="21"/>
  <c r="E117" i="21"/>
  <c r="M110" i="21"/>
  <c r="L110" i="21"/>
  <c r="K110" i="21"/>
  <c r="J110" i="21"/>
  <c r="I110" i="21"/>
  <c r="H110" i="21"/>
  <c r="G110" i="21"/>
  <c r="F110" i="21"/>
  <c r="E110" i="21"/>
  <c r="K109" i="21"/>
  <c r="H109" i="21"/>
  <c r="G109" i="21"/>
  <c r="F109" i="21"/>
  <c r="E109" i="21"/>
  <c r="M107" i="21"/>
  <c r="L107" i="21"/>
  <c r="K107" i="21"/>
  <c r="J107" i="21"/>
  <c r="I107" i="21"/>
  <c r="H107" i="21"/>
  <c r="G107" i="21"/>
  <c r="F107" i="21"/>
  <c r="E107" i="21"/>
  <c r="M106" i="21"/>
  <c r="L106" i="21"/>
  <c r="K106" i="21"/>
  <c r="J106" i="21"/>
  <c r="I106" i="21"/>
  <c r="H106" i="21"/>
  <c r="G106" i="21"/>
  <c r="F106" i="21"/>
  <c r="E106" i="21"/>
  <c r="M100" i="21"/>
  <c r="L100" i="21"/>
  <c r="K100" i="21"/>
  <c r="J100" i="21"/>
  <c r="I100" i="21"/>
  <c r="H100" i="21"/>
  <c r="G100" i="21"/>
  <c r="F100" i="21"/>
  <c r="E100" i="21"/>
  <c r="M97" i="21"/>
  <c r="L97" i="21"/>
  <c r="K97" i="21"/>
  <c r="J97" i="21"/>
  <c r="I97" i="21"/>
  <c r="H97" i="21"/>
  <c r="G97" i="21"/>
  <c r="F97" i="21"/>
  <c r="E97" i="21"/>
  <c r="M96" i="21"/>
  <c r="L96" i="21"/>
  <c r="K96" i="21"/>
  <c r="J96" i="21"/>
  <c r="I96" i="21"/>
  <c r="H96" i="21"/>
  <c r="G96" i="21"/>
  <c r="F96" i="21"/>
  <c r="E96" i="21"/>
  <c r="M92" i="21"/>
  <c r="L92" i="21"/>
  <c r="K92" i="21"/>
  <c r="J92" i="21"/>
  <c r="I92" i="21"/>
  <c r="H92" i="21"/>
  <c r="G92" i="21"/>
  <c r="F92" i="21"/>
  <c r="E92" i="21"/>
  <c r="M88" i="21"/>
  <c r="L88" i="21"/>
  <c r="K88" i="21"/>
  <c r="J88" i="21"/>
  <c r="I88" i="21"/>
  <c r="H88" i="21"/>
  <c r="G88" i="21"/>
  <c r="F88" i="21"/>
  <c r="E88" i="21"/>
  <c r="M87" i="21"/>
  <c r="L87" i="21"/>
  <c r="K87" i="21"/>
  <c r="J87" i="21"/>
  <c r="I87" i="21"/>
  <c r="H87" i="21"/>
  <c r="G87" i="21"/>
  <c r="F87" i="21"/>
  <c r="E87" i="21"/>
  <c r="M83" i="21"/>
  <c r="L83" i="21"/>
  <c r="K83" i="21"/>
  <c r="J83" i="21"/>
  <c r="I83" i="21"/>
  <c r="H83" i="21"/>
  <c r="G83" i="21"/>
  <c r="F83" i="21"/>
  <c r="E83" i="21"/>
  <c r="M76" i="21"/>
  <c r="L76" i="21"/>
  <c r="K76" i="21"/>
  <c r="J76" i="21"/>
  <c r="I76" i="21"/>
  <c r="H76" i="21"/>
  <c r="G76" i="21"/>
  <c r="F76" i="21"/>
  <c r="E76" i="21"/>
  <c r="M75" i="21"/>
  <c r="L75" i="21"/>
  <c r="K75" i="21"/>
  <c r="J75" i="21"/>
  <c r="I75" i="21"/>
  <c r="H75" i="21"/>
  <c r="G75" i="21"/>
  <c r="F75" i="21"/>
  <c r="E75" i="21"/>
  <c r="M71" i="21"/>
  <c r="L71" i="21"/>
  <c r="K71" i="21"/>
  <c r="J71" i="21"/>
  <c r="I71" i="21"/>
  <c r="H71" i="21"/>
  <c r="G71" i="21"/>
  <c r="F71" i="21"/>
  <c r="E71" i="21"/>
  <c r="M64" i="21"/>
  <c r="L64" i="21"/>
  <c r="K64" i="21"/>
  <c r="J64" i="21"/>
  <c r="I64" i="21"/>
  <c r="H64" i="21"/>
  <c r="G64" i="21"/>
  <c r="F64" i="21"/>
  <c r="E64" i="21"/>
  <c r="K63" i="21"/>
  <c r="H63" i="21"/>
  <c r="G63" i="21"/>
  <c r="F63" i="21"/>
  <c r="E63" i="21"/>
  <c r="K45" i="21"/>
  <c r="J45" i="21"/>
  <c r="I45" i="21"/>
  <c r="H45" i="21"/>
  <c r="G45" i="21"/>
  <c r="F45" i="21"/>
  <c r="E45" i="21"/>
  <c r="D45" i="21"/>
  <c r="C45" i="21"/>
  <c r="K41" i="21"/>
  <c r="J41" i="21"/>
  <c r="I41" i="21"/>
  <c r="H41" i="21"/>
  <c r="G41" i="21"/>
  <c r="F41" i="21"/>
  <c r="E41" i="21"/>
  <c r="D41" i="21"/>
  <c r="C41" i="21"/>
  <c r="M3" i="21"/>
  <c r="L3" i="21"/>
  <c r="K3" i="21"/>
  <c r="J3" i="21"/>
  <c r="I3" i="21"/>
  <c r="H3" i="21"/>
  <c r="G3" i="21"/>
  <c r="K2" i="21"/>
  <c r="J2" i="21"/>
  <c r="I2" i="21"/>
  <c r="H2" i="21"/>
  <c r="G2" i="21"/>
  <c r="F2" i="21"/>
  <c r="D2" i="21"/>
  <c r="A1" i="21"/>
  <c r="J47" i="20"/>
  <c r="I47" i="20"/>
  <c r="H47" i="20"/>
  <c r="G47" i="20"/>
  <c r="A40" i="20"/>
  <c r="F39" i="20"/>
  <c r="E39" i="20"/>
  <c r="D39" i="20"/>
  <c r="C39" i="20"/>
  <c r="F38" i="20"/>
  <c r="E38" i="20"/>
  <c r="D38" i="20"/>
  <c r="C38" i="20"/>
  <c r="J37" i="20"/>
  <c r="I37" i="20"/>
  <c r="F37" i="20"/>
  <c r="E37" i="20"/>
  <c r="D37" i="20"/>
  <c r="C37" i="20"/>
  <c r="J35" i="20"/>
  <c r="I35" i="20"/>
  <c r="F35" i="20"/>
  <c r="E35" i="20"/>
  <c r="D35" i="20"/>
  <c r="C35" i="20"/>
  <c r="J34" i="20"/>
  <c r="I34" i="20"/>
  <c r="F34" i="20"/>
  <c r="E34" i="20"/>
  <c r="D34" i="20"/>
  <c r="C34" i="20"/>
  <c r="E33" i="20"/>
  <c r="D33" i="20"/>
  <c r="C33" i="20"/>
  <c r="J32" i="20"/>
  <c r="I32" i="20"/>
  <c r="E32" i="20"/>
  <c r="D32" i="20"/>
  <c r="C32" i="20"/>
  <c r="F23" i="20"/>
  <c r="J20" i="20"/>
  <c r="I20" i="20"/>
  <c r="H20" i="20"/>
  <c r="G20" i="20"/>
  <c r="F20" i="20"/>
  <c r="F19" i="20"/>
  <c r="J15" i="20"/>
  <c r="I15" i="20"/>
  <c r="F15" i="20"/>
  <c r="F14" i="20"/>
  <c r="F13" i="20"/>
  <c r="J11" i="20"/>
  <c r="I11" i="20"/>
  <c r="G11" i="20"/>
  <c r="F11" i="20"/>
  <c r="J9" i="20"/>
  <c r="I9" i="20"/>
  <c r="J8" i="20"/>
  <c r="I8" i="20"/>
  <c r="F8" i="20"/>
  <c r="J7" i="20"/>
  <c r="I7" i="20"/>
  <c r="J3" i="20"/>
  <c r="I3" i="20"/>
  <c r="H3" i="20"/>
  <c r="G3" i="20"/>
  <c r="F3" i="20"/>
  <c r="E3" i="20"/>
  <c r="D3" i="20"/>
  <c r="C3" i="20"/>
  <c r="J2" i="20"/>
  <c r="I2" i="20"/>
  <c r="F2" i="20"/>
  <c r="E2" i="20"/>
  <c r="D2" i="20"/>
  <c r="C2" i="20"/>
  <c r="A2" i="20"/>
  <c r="A1" i="20"/>
  <c r="A69" i="19"/>
  <c r="M68" i="19"/>
  <c r="L68" i="19"/>
  <c r="K68" i="19"/>
  <c r="J68" i="19"/>
  <c r="M66" i="19"/>
  <c r="L66" i="19"/>
  <c r="K66" i="19"/>
  <c r="J66" i="19"/>
  <c r="M64" i="19"/>
  <c r="L64" i="19"/>
  <c r="K64" i="19"/>
  <c r="J64" i="19"/>
  <c r="M62" i="19"/>
  <c r="L62" i="19"/>
  <c r="K62" i="19"/>
  <c r="J62" i="19"/>
  <c r="M60" i="19"/>
  <c r="L60" i="19"/>
  <c r="K60" i="19"/>
  <c r="J60" i="19"/>
  <c r="M58" i="19"/>
  <c r="L58" i="19"/>
  <c r="K58" i="19"/>
  <c r="J58" i="19"/>
  <c r="M55" i="19"/>
  <c r="L55" i="19"/>
  <c r="K55" i="19"/>
  <c r="J55" i="19"/>
  <c r="M53" i="19"/>
  <c r="L53" i="19"/>
  <c r="K53" i="19"/>
  <c r="J53" i="19"/>
  <c r="M51" i="19"/>
  <c r="L51" i="19"/>
  <c r="K51" i="19"/>
  <c r="J51" i="19"/>
  <c r="M48" i="19"/>
  <c r="L48" i="19"/>
  <c r="K48" i="19"/>
  <c r="J48" i="19"/>
  <c r="M46" i="19"/>
  <c r="L46" i="19"/>
  <c r="K46" i="19"/>
  <c r="J46" i="19"/>
  <c r="M42" i="19"/>
  <c r="L42" i="19"/>
  <c r="K42" i="19"/>
  <c r="J42" i="19"/>
  <c r="M40" i="19"/>
  <c r="L40" i="19"/>
  <c r="K40" i="19"/>
  <c r="J40" i="19"/>
  <c r="M38" i="19"/>
  <c r="L38" i="19"/>
  <c r="K38" i="19"/>
  <c r="J38" i="19"/>
  <c r="M35" i="19"/>
  <c r="L35" i="19"/>
  <c r="K35" i="19"/>
  <c r="J35" i="19"/>
  <c r="M33" i="19"/>
  <c r="L33" i="19"/>
  <c r="K33" i="19"/>
  <c r="J33" i="19"/>
  <c r="M31" i="19"/>
  <c r="L31" i="19"/>
  <c r="K31" i="19"/>
  <c r="J31" i="19"/>
  <c r="M29" i="19"/>
  <c r="L29" i="19"/>
  <c r="K29" i="19"/>
  <c r="J29" i="19"/>
  <c r="M25" i="19"/>
  <c r="L25" i="19"/>
  <c r="K25" i="19"/>
  <c r="J25" i="19"/>
  <c r="M23" i="19"/>
  <c r="L23" i="19"/>
  <c r="K23" i="19"/>
  <c r="J23" i="19"/>
  <c r="M21" i="19"/>
  <c r="L21" i="19"/>
  <c r="K21" i="19"/>
  <c r="J21" i="19"/>
  <c r="M19" i="19"/>
  <c r="L19" i="19"/>
  <c r="K19" i="19"/>
  <c r="J19" i="19"/>
  <c r="M15" i="19"/>
  <c r="L15" i="19"/>
  <c r="K15" i="19"/>
  <c r="J15" i="19"/>
  <c r="M11" i="19"/>
  <c r="L11" i="19"/>
  <c r="K11" i="19"/>
  <c r="J11" i="19"/>
  <c r="M8" i="19"/>
  <c r="L8" i="19"/>
  <c r="K8" i="19"/>
  <c r="J8" i="19"/>
  <c r="M3" i="19"/>
  <c r="L3" i="19"/>
  <c r="K3" i="19"/>
  <c r="J3" i="19"/>
  <c r="I3" i="19"/>
  <c r="H3" i="19"/>
  <c r="G3" i="19"/>
  <c r="F3" i="19"/>
  <c r="E3" i="19"/>
  <c r="D3" i="19"/>
  <c r="C3" i="19"/>
  <c r="M2" i="19"/>
  <c r="L2" i="19"/>
  <c r="C2" i="19"/>
  <c r="A2" i="19"/>
  <c r="A1" i="19"/>
  <c r="A71" i="18"/>
  <c r="M64" i="18"/>
  <c r="L64" i="18"/>
  <c r="J64" i="18"/>
  <c r="I64" i="18"/>
  <c r="H64" i="18"/>
  <c r="G64" i="18"/>
  <c r="F64" i="18"/>
  <c r="E64" i="18"/>
  <c r="D64" i="18"/>
  <c r="C64" i="18"/>
  <c r="K63" i="18"/>
  <c r="K64" i="18" s="1"/>
  <c r="J63" i="18"/>
  <c r="K62" i="18"/>
  <c r="J62" i="18"/>
  <c r="K61" i="18"/>
  <c r="J61" i="18"/>
  <c r="K60" i="18"/>
  <c r="J60" i="18"/>
  <c r="K59" i="18"/>
  <c r="J59" i="18"/>
  <c r="K56" i="18"/>
  <c r="J56" i="18"/>
  <c r="K55" i="18"/>
  <c r="J55" i="18"/>
  <c r="K54" i="18"/>
  <c r="J54" i="18"/>
  <c r="M53" i="18"/>
  <c r="L53" i="18"/>
  <c r="M52" i="18"/>
  <c r="M57" i="18" s="1"/>
  <c r="L52" i="18"/>
  <c r="L57" i="18" s="1"/>
  <c r="I52" i="18"/>
  <c r="H52" i="18"/>
  <c r="G52" i="18"/>
  <c r="F52" i="18"/>
  <c r="E52" i="18"/>
  <c r="D52" i="18"/>
  <c r="C52" i="18"/>
  <c r="K51" i="18"/>
  <c r="J51" i="18"/>
  <c r="J52" i="18"/>
  <c r="A50" i="18"/>
  <c r="M46" i="18"/>
  <c r="L46" i="18"/>
  <c r="I46" i="18"/>
  <c r="H46" i="18"/>
  <c r="G46" i="18"/>
  <c r="F46" i="18"/>
  <c r="E46" i="18"/>
  <c r="D46" i="18"/>
  <c r="C46" i="18"/>
  <c r="A46" i="18"/>
  <c r="K45" i="18"/>
  <c r="J45" i="18"/>
  <c r="K44" i="18"/>
  <c r="J44" i="18"/>
  <c r="K42" i="18"/>
  <c r="J42" i="18"/>
  <c r="J46" i="18" s="1"/>
  <c r="M40" i="18"/>
  <c r="L40" i="18"/>
  <c r="I40" i="18"/>
  <c r="H40" i="18"/>
  <c r="G40" i="18"/>
  <c r="F40" i="18"/>
  <c r="E40" i="18"/>
  <c r="D40" i="18"/>
  <c r="C40" i="18"/>
  <c r="A40" i="18"/>
  <c r="J39" i="18"/>
  <c r="K39" i="18" s="1"/>
  <c r="J38" i="18"/>
  <c r="M36" i="18"/>
  <c r="L36" i="18"/>
  <c r="I36" i="18"/>
  <c r="H36" i="18"/>
  <c r="G36" i="18"/>
  <c r="F36" i="18"/>
  <c r="E36" i="18"/>
  <c r="D36" i="18"/>
  <c r="C36" i="18"/>
  <c r="A36" i="18"/>
  <c r="K35" i="18"/>
  <c r="J35" i="18"/>
  <c r="J34" i="18"/>
  <c r="K34" i="18" s="1"/>
  <c r="K33" i="18"/>
  <c r="J33" i="18"/>
  <c r="J32" i="18"/>
  <c r="C32" i="18"/>
  <c r="M30" i="18"/>
  <c r="L30" i="18"/>
  <c r="K30" i="18"/>
  <c r="J30" i="18"/>
  <c r="I30" i="18"/>
  <c r="H30" i="18"/>
  <c r="G30" i="18"/>
  <c r="F30" i="18"/>
  <c r="E30" i="18"/>
  <c r="D30" i="18"/>
  <c r="C30" i="18"/>
  <c r="A30" i="18"/>
  <c r="K29" i="18"/>
  <c r="J29" i="18"/>
  <c r="K28" i="18"/>
  <c r="J28" i="18"/>
  <c r="M24" i="18"/>
  <c r="L24" i="18"/>
  <c r="G24" i="18"/>
  <c r="F24" i="18"/>
  <c r="E24" i="18"/>
  <c r="D24" i="18"/>
  <c r="C24" i="18"/>
  <c r="A24" i="18"/>
  <c r="J23" i="18"/>
  <c r="K23" i="18" s="1"/>
  <c r="J22" i="18"/>
  <c r="K22" i="18" s="1"/>
  <c r="I19" i="18"/>
  <c r="I13" i="18" s="1"/>
  <c r="J13" i="18" s="1"/>
  <c r="J19" i="18" s="1"/>
  <c r="H19" i="18"/>
  <c r="G19" i="18"/>
  <c r="F19" i="18"/>
  <c r="E19" i="18"/>
  <c r="D19" i="18"/>
  <c r="D13" i="18" s="1"/>
  <c r="C19" i="18"/>
  <c r="J18" i="18"/>
  <c r="K18" i="18" s="1"/>
  <c r="K17" i="18"/>
  <c r="J17" i="18"/>
  <c r="J16" i="18"/>
  <c r="K16" i="18" s="1"/>
  <c r="H14" i="18"/>
  <c r="G14" i="18"/>
  <c r="F14" i="18"/>
  <c r="E14" i="18"/>
  <c r="C14" i="18"/>
  <c r="A14" i="18"/>
  <c r="H13" i="18"/>
  <c r="G13" i="18"/>
  <c r="F13" i="18"/>
  <c r="E13" i="18"/>
  <c r="C13" i="18"/>
  <c r="J12" i="18"/>
  <c r="K12" i="18" s="1"/>
  <c r="A12" i="18"/>
  <c r="M10" i="18"/>
  <c r="L10" i="18"/>
  <c r="I10" i="18"/>
  <c r="H10" i="18"/>
  <c r="G10" i="18"/>
  <c r="G9" i="12" s="1"/>
  <c r="F10" i="18"/>
  <c r="E10" i="18"/>
  <c r="D10" i="18"/>
  <c r="D9" i="12" s="1"/>
  <c r="C10" i="18"/>
  <c r="J8" i="18"/>
  <c r="J10" i="18" s="1"/>
  <c r="M3" i="18"/>
  <c r="L3" i="18"/>
  <c r="K3" i="18"/>
  <c r="J3" i="18"/>
  <c r="I3" i="18"/>
  <c r="H3" i="18"/>
  <c r="G3" i="18"/>
  <c r="F3" i="18"/>
  <c r="E3" i="18"/>
  <c r="D3" i="18"/>
  <c r="C3" i="18"/>
  <c r="M2" i="18"/>
  <c r="L2" i="18"/>
  <c r="C2" i="18"/>
  <c r="B2" i="18"/>
  <c r="A2" i="18"/>
  <c r="A1" i="18"/>
  <c r="A166" i="17"/>
  <c r="M165" i="17"/>
  <c r="L165" i="17"/>
  <c r="I165" i="17"/>
  <c r="H165" i="17"/>
  <c r="G165" i="17"/>
  <c r="F165" i="17"/>
  <c r="E165" i="17"/>
  <c r="D165" i="17"/>
  <c r="C165" i="17"/>
  <c r="K164" i="17"/>
  <c r="J164" i="17"/>
  <c r="J163" i="17"/>
  <c r="K163" i="17" s="1"/>
  <c r="J162" i="17"/>
  <c r="K162" i="17" s="1"/>
  <c r="K161" i="17"/>
  <c r="J161" i="17"/>
  <c r="M158" i="17"/>
  <c r="L158" i="17"/>
  <c r="I158" i="17"/>
  <c r="I35" i="10" s="1"/>
  <c r="H158" i="17"/>
  <c r="H35" i="10" s="1"/>
  <c r="G158" i="17"/>
  <c r="F158" i="17"/>
  <c r="E158" i="17"/>
  <c r="D158" i="17"/>
  <c r="D35" i="10" s="1"/>
  <c r="C158" i="17"/>
  <c r="J137" i="17"/>
  <c r="J134" i="17"/>
  <c r="K134" i="17" s="1"/>
  <c r="K132" i="17"/>
  <c r="J132" i="17"/>
  <c r="K131" i="17"/>
  <c r="J131" i="17"/>
  <c r="M128" i="17"/>
  <c r="L128" i="17"/>
  <c r="I128" i="17"/>
  <c r="I33" i="10" s="1"/>
  <c r="H128" i="17"/>
  <c r="H33" i="10" s="1"/>
  <c r="G128" i="17"/>
  <c r="F128" i="17"/>
  <c r="E128" i="17"/>
  <c r="D128" i="17"/>
  <c r="D33" i="10" s="1"/>
  <c r="C128" i="17"/>
  <c r="J99" i="17"/>
  <c r="J98" i="17"/>
  <c r="K98" i="17" s="1"/>
  <c r="J97" i="17"/>
  <c r="K97" i="17" s="1"/>
  <c r="M94" i="17"/>
  <c r="L94" i="17"/>
  <c r="I94" i="17"/>
  <c r="H94" i="17"/>
  <c r="G94" i="17"/>
  <c r="F94" i="17"/>
  <c r="E94" i="17"/>
  <c r="D94" i="17"/>
  <c r="C94" i="17"/>
  <c r="K93" i="17"/>
  <c r="J93" i="17"/>
  <c r="J92" i="17"/>
  <c r="J94" i="17" s="1"/>
  <c r="M89" i="17"/>
  <c r="L89" i="17"/>
  <c r="J89" i="17"/>
  <c r="I89" i="17"/>
  <c r="H89" i="17"/>
  <c r="G89" i="17"/>
  <c r="F89" i="17"/>
  <c r="E89" i="17"/>
  <c r="D89" i="17"/>
  <c r="D31" i="10" s="1"/>
  <c r="C89" i="17"/>
  <c r="K88" i="17"/>
  <c r="J88" i="17"/>
  <c r="J87" i="17"/>
  <c r="K87" i="17" s="1"/>
  <c r="K89" i="17" s="1"/>
  <c r="M84" i="17"/>
  <c r="L84" i="17"/>
  <c r="J84" i="17"/>
  <c r="I84" i="17"/>
  <c r="H84" i="17"/>
  <c r="G84" i="17"/>
  <c r="F84" i="17"/>
  <c r="E84" i="17"/>
  <c r="D84" i="17"/>
  <c r="D29" i="10" s="1"/>
  <c r="C84" i="17"/>
  <c r="A84" i="17"/>
  <c r="K82" i="17"/>
  <c r="J82" i="17"/>
  <c r="K81" i="17"/>
  <c r="J81" i="17"/>
  <c r="K80" i="17"/>
  <c r="K84" i="17" s="1"/>
  <c r="J80" i="17"/>
  <c r="M68" i="17"/>
  <c r="L68" i="17"/>
  <c r="H68" i="17"/>
  <c r="G68" i="17"/>
  <c r="F68" i="17"/>
  <c r="E68" i="17"/>
  <c r="D68" i="17"/>
  <c r="D26" i="10" s="1"/>
  <c r="A68" i="17"/>
  <c r="J67" i="17"/>
  <c r="K67" i="17" s="1"/>
  <c r="M66" i="17"/>
  <c r="L66" i="17"/>
  <c r="I66" i="17"/>
  <c r="I68" i="17" s="1"/>
  <c r="I26" i="10" s="1"/>
  <c r="H66" i="17"/>
  <c r="G66" i="17"/>
  <c r="F66" i="17"/>
  <c r="E66" i="17"/>
  <c r="D66" i="17"/>
  <c r="K65" i="17"/>
  <c r="J65" i="17"/>
  <c r="K64" i="17"/>
  <c r="J64" i="17"/>
  <c r="K63" i="17"/>
  <c r="J63" i="17"/>
  <c r="K62" i="17"/>
  <c r="J62" i="17"/>
  <c r="K61" i="17"/>
  <c r="J61" i="17"/>
  <c r="K60" i="17"/>
  <c r="J60" i="17"/>
  <c r="K59" i="17"/>
  <c r="J59" i="17"/>
  <c r="K58" i="17"/>
  <c r="J58" i="17"/>
  <c r="J57" i="17"/>
  <c r="K57" i="17" s="1"/>
  <c r="J56" i="17"/>
  <c r="K56" i="17" s="1"/>
  <c r="J55" i="17"/>
  <c r="K55" i="17" s="1"/>
  <c r="J54" i="17"/>
  <c r="M50" i="17"/>
  <c r="L50" i="17"/>
  <c r="J50" i="17"/>
  <c r="I50" i="17"/>
  <c r="H50" i="17"/>
  <c r="G50" i="17"/>
  <c r="F50" i="17"/>
  <c r="E50" i="17"/>
  <c r="D50" i="17"/>
  <c r="C50" i="17"/>
  <c r="K39" i="17"/>
  <c r="K50" i="17" s="1"/>
  <c r="J39" i="17"/>
  <c r="K38" i="17"/>
  <c r="J38" i="17"/>
  <c r="M35" i="17"/>
  <c r="L35" i="17"/>
  <c r="J35" i="17"/>
  <c r="I35" i="17"/>
  <c r="H35" i="17"/>
  <c r="G35" i="17"/>
  <c r="F35" i="17"/>
  <c r="E35" i="17"/>
  <c r="D35" i="17"/>
  <c r="D11" i="10" s="1"/>
  <c r="K11" i="10" s="1"/>
  <c r="P10" i="30" s="1"/>
  <c r="N10" i="30" s="1"/>
  <c r="O10" i="30" s="1"/>
  <c r="C35" i="17"/>
  <c r="M34" i="17"/>
  <c r="L34" i="17"/>
  <c r="J34" i="17"/>
  <c r="I34" i="17"/>
  <c r="H34" i="17"/>
  <c r="G34" i="17"/>
  <c r="F34" i="17"/>
  <c r="E34" i="17"/>
  <c r="D34" i="17"/>
  <c r="K34" i="17" s="1"/>
  <c r="C34" i="17"/>
  <c r="K33" i="17"/>
  <c r="J33" i="17"/>
  <c r="K32" i="17"/>
  <c r="J32" i="17"/>
  <c r="K31" i="17"/>
  <c r="J31" i="17"/>
  <c r="M28" i="17"/>
  <c r="L28" i="17"/>
  <c r="J28" i="17"/>
  <c r="I28" i="17"/>
  <c r="H28" i="17"/>
  <c r="G28" i="17"/>
  <c r="F28" i="17"/>
  <c r="E28" i="17"/>
  <c r="C28" i="17"/>
  <c r="M27" i="17"/>
  <c r="L27" i="17"/>
  <c r="K27" i="17"/>
  <c r="K28" i="17" s="1"/>
  <c r="J27" i="17"/>
  <c r="I27" i="17"/>
  <c r="H27" i="17"/>
  <c r="G27" i="17"/>
  <c r="F27" i="17"/>
  <c r="E27" i="17"/>
  <c r="D27" i="17"/>
  <c r="D28" i="17" s="1"/>
  <c r="D10" i="10" s="1"/>
  <c r="K10" i="10" s="1"/>
  <c r="P9" i="30" s="1"/>
  <c r="N9" i="30" s="1"/>
  <c r="O9" i="30" s="1"/>
  <c r="C27" i="17"/>
  <c r="K26" i="17"/>
  <c r="J26" i="17"/>
  <c r="K25" i="17"/>
  <c r="J25" i="17"/>
  <c r="M22" i="17"/>
  <c r="L22" i="17"/>
  <c r="I22" i="17"/>
  <c r="H22" i="17"/>
  <c r="G22" i="17"/>
  <c r="F22" i="17"/>
  <c r="E22" i="17"/>
  <c r="C22" i="17"/>
  <c r="M21" i="17"/>
  <c r="L21" i="17"/>
  <c r="J21" i="17"/>
  <c r="I21" i="17"/>
  <c r="H21" i="17"/>
  <c r="G21" i="17"/>
  <c r="F21" i="17"/>
  <c r="E21" i="17"/>
  <c r="D21" i="17"/>
  <c r="K21" i="17" s="1"/>
  <c r="C21" i="17"/>
  <c r="K20" i="17"/>
  <c r="J20" i="17"/>
  <c r="J19" i="17"/>
  <c r="K19" i="17" s="1"/>
  <c r="M16" i="17"/>
  <c r="L16" i="17"/>
  <c r="J16" i="17"/>
  <c r="I16" i="17"/>
  <c r="H16" i="17"/>
  <c r="G16" i="17"/>
  <c r="F16" i="17"/>
  <c r="E16" i="17"/>
  <c r="C16" i="17"/>
  <c r="M15" i="17"/>
  <c r="L15" i="17"/>
  <c r="J15" i="17"/>
  <c r="I15" i="17"/>
  <c r="H15" i="17"/>
  <c r="G15" i="17"/>
  <c r="F15" i="17"/>
  <c r="E15" i="17"/>
  <c r="D15" i="17"/>
  <c r="K15" i="17" s="1"/>
  <c r="K16" i="17" s="1"/>
  <c r="C15" i="17"/>
  <c r="K14" i="17"/>
  <c r="J14" i="17"/>
  <c r="K13" i="17"/>
  <c r="J13" i="17"/>
  <c r="M10" i="17"/>
  <c r="L10" i="17"/>
  <c r="J10" i="17"/>
  <c r="I10" i="17"/>
  <c r="H10" i="17"/>
  <c r="G10" i="17"/>
  <c r="F10" i="17"/>
  <c r="E10" i="17"/>
  <c r="D10" i="17"/>
  <c r="C10" i="17"/>
  <c r="K9" i="17"/>
  <c r="J9" i="17"/>
  <c r="K8" i="17"/>
  <c r="K10" i="17" s="1"/>
  <c r="J8" i="17"/>
  <c r="M3" i="17"/>
  <c r="L3" i="17"/>
  <c r="K3" i="17"/>
  <c r="J3" i="17"/>
  <c r="I3" i="17"/>
  <c r="H3" i="17"/>
  <c r="G3" i="17"/>
  <c r="F3" i="17"/>
  <c r="E3" i="17"/>
  <c r="D3" i="17"/>
  <c r="C3" i="17"/>
  <c r="M2" i="17"/>
  <c r="L2" i="17"/>
  <c r="C2" i="17"/>
  <c r="B2" i="17"/>
  <c r="A2" i="17"/>
  <c r="A1" i="17"/>
  <c r="A82" i="16"/>
  <c r="M81" i="16"/>
  <c r="L81" i="16"/>
  <c r="J81" i="16"/>
  <c r="I81" i="16"/>
  <c r="H81" i="16"/>
  <c r="G81" i="16"/>
  <c r="F81" i="16"/>
  <c r="E81" i="16"/>
  <c r="C81" i="16"/>
  <c r="K80" i="16"/>
  <c r="J80" i="16"/>
  <c r="K79" i="16"/>
  <c r="J79" i="16"/>
  <c r="K78" i="16"/>
  <c r="J78" i="16"/>
  <c r="M77" i="16"/>
  <c r="L77" i="16"/>
  <c r="K77" i="16"/>
  <c r="J77" i="16"/>
  <c r="I77" i="16"/>
  <c r="H77" i="16"/>
  <c r="G77" i="16"/>
  <c r="F77" i="16"/>
  <c r="E77" i="16"/>
  <c r="D77" i="16"/>
  <c r="C77" i="16"/>
  <c r="M76" i="16"/>
  <c r="L76" i="16"/>
  <c r="J76" i="16"/>
  <c r="I76" i="16"/>
  <c r="H76" i="16"/>
  <c r="G76" i="16"/>
  <c r="F76" i="16"/>
  <c r="E76" i="16"/>
  <c r="D76" i="16"/>
  <c r="K76" i="16" s="1"/>
  <c r="C76" i="16"/>
  <c r="M75" i="16"/>
  <c r="L75" i="16"/>
  <c r="K75" i="16"/>
  <c r="J75" i="16"/>
  <c r="I75" i="16"/>
  <c r="H75" i="16"/>
  <c r="G75" i="16"/>
  <c r="F75" i="16"/>
  <c r="E75" i="16"/>
  <c r="D75" i="16"/>
  <c r="C75" i="16"/>
  <c r="M74" i="16"/>
  <c r="L74" i="16"/>
  <c r="K74" i="16"/>
  <c r="J74" i="16"/>
  <c r="I74" i="16"/>
  <c r="H74" i="16"/>
  <c r="G74" i="16"/>
  <c r="F74" i="16"/>
  <c r="E74" i="16"/>
  <c r="D74" i="16"/>
  <c r="C74" i="16"/>
  <c r="M73" i="16"/>
  <c r="L73" i="16"/>
  <c r="J73" i="16"/>
  <c r="I73" i="16"/>
  <c r="H73" i="16"/>
  <c r="G73" i="16"/>
  <c r="F73" i="16"/>
  <c r="E73" i="16"/>
  <c r="D73" i="16"/>
  <c r="K73" i="16" s="1"/>
  <c r="C73" i="16"/>
  <c r="K72" i="16"/>
  <c r="J72" i="16"/>
  <c r="K70" i="16"/>
  <c r="J70" i="16"/>
  <c r="K69" i="16"/>
  <c r="J69" i="16"/>
  <c r="K68" i="16"/>
  <c r="J68" i="16"/>
  <c r="K67" i="16"/>
  <c r="J67" i="16"/>
  <c r="K66" i="16"/>
  <c r="J66" i="16"/>
  <c r="K65" i="16"/>
  <c r="J65" i="16"/>
  <c r="M62" i="16"/>
  <c r="L62" i="16"/>
  <c r="J62" i="16"/>
  <c r="I62" i="16"/>
  <c r="H62" i="16"/>
  <c r="G62" i="16"/>
  <c r="F62" i="16"/>
  <c r="E62" i="16"/>
  <c r="C62" i="16"/>
  <c r="M61" i="16"/>
  <c r="L61" i="16"/>
  <c r="J61" i="16"/>
  <c r="I61" i="16"/>
  <c r="H61" i="16"/>
  <c r="G61" i="16"/>
  <c r="F61" i="16"/>
  <c r="E61" i="16"/>
  <c r="D61" i="16"/>
  <c r="K61" i="16" s="1"/>
  <c r="C61" i="16"/>
  <c r="M60" i="16"/>
  <c r="L60" i="16"/>
  <c r="K60" i="16"/>
  <c r="J60" i="16"/>
  <c r="I60" i="16"/>
  <c r="H60" i="16"/>
  <c r="G60" i="16"/>
  <c r="F60" i="16"/>
  <c r="E60" i="16"/>
  <c r="D60" i="16"/>
  <c r="C60" i="16"/>
  <c r="M59" i="16"/>
  <c r="L59" i="16"/>
  <c r="K59" i="16"/>
  <c r="J59" i="16"/>
  <c r="I59" i="16"/>
  <c r="H59" i="16"/>
  <c r="G59" i="16"/>
  <c r="F59" i="16"/>
  <c r="E59" i="16"/>
  <c r="D59" i="16"/>
  <c r="C59" i="16"/>
  <c r="M58" i="16"/>
  <c r="L58" i="16"/>
  <c r="K58" i="16"/>
  <c r="J58" i="16"/>
  <c r="I58" i="16"/>
  <c r="H58" i="16"/>
  <c r="G58" i="16"/>
  <c r="F58" i="16"/>
  <c r="E58" i="16"/>
  <c r="D58" i="16"/>
  <c r="C58" i="16"/>
  <c r="M57" i="16"/>
  <c r="L57" i="16"/>
  <c r="K57" i="16"/>
  <c r="J57" i="16"/>
  <c r="I57" i="16"/>
  <c r="H57" i="16"/>
  <c r="G57" i="16"/>
  <c r="F57" i="16"/>
  <c r="E57" i="16"/>
  <c r="D57" i="16"/>
  <c r="C57" i="16"/>
  <c r="M54" i="16"/>
  <c r="L54" i="16"/>
  <c r="K54" i="16"/>
  <c r="J54" i="16"/>
  <c r="I54" i="16"/>
  <c r="H54" i="16"/>
  <c r="G54" i="16"/>
  <c r="F54" i="16"/>
  <c r="E54" i="16"/>
  <c r="D54" i="16"/>
  <c r="C54" i="16"/>
  <c r="M53" i="16"/>
  <c r="L53" i="16"/>
  <c r="K53" i="16"/>
  <c r="J53" i="16"/>
  <c r="I53" i="16"/>
  <c r="H53" i="16"/>
  <c r="G53" i="16"/>
  <c r="F53" i="16"/>
  <c r="E53" i="16"/>
  <c r="D53" i="16"/>
  <c r="C53" i="16"/>
  <c r="M52" i="16"/>
  <c r="L52" i="16"/>
  <c r="J52" i="16"/>
  <c r="I52" i="16"/>
  <c r="H52" i="16"/>
  <c r="G52" i="16"/>
  <c r="F52" i="16"/>
  <c r="E52" i="16"/>
  <c r="D52" i="16"/>
  <c r="K52" i="16" s="1"/>
  <c r="C52" i="16"/>
  <c r="M51" i="16"/>
  <c r="L51" i="16"/>
  <c r="J51" i="16"/>
  <c r="I51" i="16"/>
  <c r="H51" i="16"/>
  <c r="G51" i="16"/>
  <c r="F51" i="16"/>
  <c r="E51" i="16"/>
  <c r="D51" i="16"/>
  <c r="K51" i="16" s="1"/>
  <c r="C51" i="16"/>
  <c r="J48" i="16"/>
  <c r="I48" i="16"/>
  <c r="H48" i="16"/>
  <c r="G48" i="16"/>
  <c r="F48" i="16"/>
  <c r="E48" i="16"/>
  <c r="B48" i="16"/>
  <c r="A48" i="16"/>
  <c r="M47" i="16"/>
  <c r="L47" i="16"/>
  <c r="K47" i="16"/>
  <c r="J47" i="16"/>
  <c r="I47" i="16"/>
  <c r="H47" i="16"/>
  <c r="G47" i="16"/>
  <c r="F47" i="16"/>
  <c r="E47" i="16"/>
  <c r="D47" i="16"/>
  <c r="C47" i="16"/>
  <c r="A47" i="16"/>
  <c r="K46" i="16"/>
  <c r="J46" i="16"/>
  <c r="K45" i="16"/>
  <c r="J45" i="16"/>
  <c r="K44" i="16"/>
  <c r="J44" i="16"/>
  <c r="K43" i="16"/>
  <c r="J43" i="16"/>
  <c r="K42" i="16"/>
  <c r="J42" i="16"/>
  <c r="M41" i="16"/>
  <c r="M48" i="16" s="1"/>
  <c r="L41" i="16"/>
  <c r="L48" i="16" s="1"/>
  <c r="J41" i="16"/>
  <c r="I41" i="16"/>
  <c r="H41" i="16"/>
  <c r="G41" i="16"/>
  <c r="F41" i="16"/>
  <c r="E41" i="16"/>
  <c r="D41" i="16"/>
  <c r="D48" i="16" s="1"/>
  <c r="C41" i="16"/>
  <c r="C48" i="16" s="1"/>
  <c r="A41" i="16"/>
  <c r="K40" i="16"/>
  <c r="K48" i="16" s="1"/>
  <c r="J40" i="16"/>
  <c r="J38" i="16"/>
  <c r="I38" i="16"/>
  <c r="H38" i="16"/>
  <c r="G38" i="16"/>
  <c r="F38" i="16"/>
  <c r="E38" i="16"/>
  <c r="B38" i="16"/>
  <c r="A38" i="16"/>
  <c r="M37" i="16"/>
  <c r="L37" i="16"/>
  <c r="J37" i="16"/>
  <c r="I37" i="16"/>
  <c r="H37" i="16"/>
  <c r="G37" i="16"/>
  <c r="F37" i="16"/>
  <c r="E37" i="16"/>
  <c r="D37" i="16"/>
  <c r="C37" i="16"/>
  <c r="A37" i="16"/>
  <c r="K36" i="16"/>
  <c r="J36" i="16"/>
  <c r="K35" i="16"/>
  <c r="J35" i="16"/>
  <c r="K34" i="16"/>
  <c r="K37" i="16" s="1"/>
  <c r="J34" i="16"/>
  <c r="M33" i="16"/>
  <c r="L33" i="16"/>
  <c r="J33" i="16"/>
  <c r="I33" i="16"/>
  <c r="H33" i="16"/>
  <c r="G33" i="16"/>
  <c r="F33" i="16"/>
  <c r="E33" i="16"/>
  <c r="D33" i="16"/>
  <c r="C33" i="16"/>
  <c r="A33" i="16"/>
  <c r="K32" i="16"/>
  <c r="J32" i="16"/>
  <c r="K31" i="16"/>
  <c r="J31" i="16"/>
  <c r="J29" i="16"/>
  <c r="I29" i="16"/>
  <c r="H29" i="16"/>
  <c r="G29" i="16"/>
  <c r="F29" i="16"/>
  <c r="E29" i="16"/>
  <c r="B29" i="16"/>
  <c r="A29" i="16"/>
  <c r="M28" i="16"/>
  <c r="L28" i="16"/>
  <c r="J28" i="16"/>
  <c r="I28" i="16"/>
  <c r="H28" i="16"/>
  <c r="G28" i="16"/>
  <c r="F28" i="16"/>
  <c r="E28" i="16"/>
  <c r="D28" i="16"/>
  <c r="C28" i="16"/>
  <c r="A28" i="16"/>
  <c r="K27" i="16"/>
  <c r="J27" i="16"/>
  <c r="K26" i="16"/>
  <c r="J26" i="16"/>
  <c r="K25" i="16"/>
  <c r="K28" i="16" s="1"/>
  <c r="J25" i="16"/>
  <c r="M24" i="16"/>
  <c r="L24" i="16"/>
  <c r="J24" i="16"/>
  <c r="I24" i="16"/>
  <c r="H24" i="16"/>
  <c r="G24" i="16"/>
  <c r="F24" i="16"/>
  <c r="E24" i="16"/>
  <c r="D24" i="16"/>
  <c r="C24" i="16"/>
  <c r="A24" i="16"/>
  <c r="K23" i="16"/>
  <c r="J23" i="16"/>
  <c r="K22" i="16"/>
  <c r="J22" i="16"/>
  <c r="K21" i="16"/>
  <c r="J21" i="16"/>
  <c r="K20" i="16"/>
  <c r="J20" i="16"/>
  <c r="K19" i="16"/>
  <c r="J19" i="16"/>
  <c r="I17" i="16"/>
  <c r="H17" i="16"/>
  <c r="G17" i="16"/>
  <c r="F17" i="16"/>
  <c r="M16" i="16"/>
  <c r="L16" i="16"/>
  <c r="K16" i="16"/>
  <c r="J16" i="16"/>
  <c r="I16" i="16"/>
  <c r="H16" i="16"/>
  <c r="G16" i="16"/>
  <c r="F16" i="16"/>
  <c r="E16" i="16"/>
  <c r="D16" i="16"/>
  <c r="C16" i="16"/>
  <c r="K15" i="16"/>
  <c r="J15" i="16"/>
  <c r="K14" i="16"/>
  <c r="J14" i="16"/>
  <c r="K13" i="16"/>
  <c r="J13" i="16"/>
  <c r="M12" i="16"/>
  <c r="M17" i="16" s="1"/>
  <c r="L12" i="16"/>
  <c r="L17" i="16" s="1"/>
  <c r="I12" i="16"/>
  <c r="H12" i="16"/>
  <c r="G12" i="16"/>
  <c r="F12" i="16"/>
  <c r="E12" i="16"/>
  <c r="E17" i="16" s="1"/>
  <c r="D12" i="16"/>
  <c r="C12" i="16"/>
  <c r="C17" i="16" s="1"/>
  <c r="K11" i="16"/>
  <c r="J11" i="16"/>
  <c r="K10" i="16"/>
  <c r="J10" i="16"/>
  <c r="K9" i="16"/>
  <c r="J9" i="16"/>
  <c r="K8" i="16"/>
  <c r="J8" i="16"/>
  <c r="M3" i="16"/>
  <c r="L3" i="16"/>
  <c r="K3" i="16"/>
  <c r="J3" i="16"/>
  <c r="I3" i="16"/>
  <c r="H3" i="16"/>
  <c r="G3" i="16"/>
  <c r="F3" i="16"/>
  <c r="E3" i="16"/>
  <c r="D3" i="16"/>
  <c r="C3" i="16"/>
  <c r="M2" i="16"/>
  <c r="L2" i="16"/>
  <c r="C2" i="16"/>
  <c r="B2" i="16"/>
  <c r="A2" i="16"/>
  <c r="A1" i="16"/>
  <c r="G227" i="15"/>
  <c r="A209" i="15"/>
  <c r="M205" i="15"/>
  <c r="L205" i="15"/>
  <c r="C205" i="15"/>
  <c r="C204" i="15"/>
  <c r="M202" i="15"/>
  <c r="L202" i="15"/>
  <c r="H202" i="15"/>
  <c r="G202" i="15"/>
  <c r="F202" i="15"/>
  <c r="E202" i="15"/>
  <c r="C202" i="15"/>
  <c r="M201" i="15"/>
  <c r="L201" i="15"/>
  <c r="K201" i="15"/>
  <c r="J201" i="15"/>
  <c r="I201" i="15"/>
  <c r="H201" i="15"/>
  <c r="G201" i="15"/>
  <c r="F201" i="15"/>
  <c r="E201" i="15"/>
  <c r="D201" i="15"/>
  <c r="C201" i="15"/>
  <c r="A201" i="15"/>
  <c r="M200" i="15"/>
  <c r="L200" i="15"/>
  <c r="K200" i="15"/>
  <c r="J200" i="15"/>
  <c r="I200" i="15"/>
  <c r="H200" i="15"/>
  <c r="G200" i="15"/>
  <c r="F200" i="15"/>
  <c r="E200" i="15"/>
  <c r="D200" i="15"/>
  <c r="C200" i="15"/>
  <c r="A200" i="15"/>
  <c r="M199" i="15"/>
  <c r="L199" i="15"/>
  <c r="J199" i="15"/>
  <c r="I199" i="15"/>
  <c r="H199" i="15"/>
  <c r="G199" i="15"/>
  <c r="F199" i="15"/>
  <c r="E199" i="15"/>
  <c r="D199" i="15"/>
  <c r="C199" i="15"/>
  <c r="A199" i="15"/>
  <c r="M198" i="15"/>
  <c r="L198" i="15"/>
  <c r="J198" i="15"/>
  <c r="I198" i="15"/>
  <c r="H198" i="15"/>
  <c r="G198" i="15"/>
  <c r="F198" i="15"/>
  <c r="E198" i="15"/>
  <c r="D198" i="15"/>
  <c r="C198" i="15"/>
  <c r="A198" i="15"/>
  <c r="M197" i="15"/>
  <c r="L197" i="15"/>
  <c r="J197" i="15"/>
  <c r="I197" i="15"/>
  <c r="H197" i="15"/>
  <c r="G197" i="15"/>
  <c r="F197" i="15"/>
  <c r="E197" i="15"/>
  <c r="D197" i="15"/>
  <c r="C197" i="15"/>
  <c r="A197" i="15"/>
  <c r="M196" i="15"/>
  <c r="L196" i="15"/>
  <c r="J196" i="15"/>
  <c r="I196" i="15"/>
  <c r="H196" i="15"/>
  <c r="G196" i="15"/>
  <c r="F196" i="15"/>
  <c r="E196" i="15"/>
  <c r="D196" i="15"/>
  <c r="C196" i="15"/>
  <c r="A196" i="15"/>
  <c r="M195" i="15"/>
  <c r="L195" i="15"/>
  <c r="H195" i="15"/>
  <c r="G195" i="15"/>
  <c r="F195" i="15"/>
  <c r="E195" i="15"/>
  <c r="C195" i="15"/>
  <c r="A195" i="15"/>
  <c r="M194" i="15"/>
  <c r="L194" i="15"/>
  <c r="I194" i="15"/>
  <c r="I195" i="15" s="1"/>
  <c r="H194" i="15"/>
  <c r="G194" i="15"/>
  <c r="F194" i="15"/>
  <c r="E194" i="15"/>
  <c r="D194" i="15"/>
  <c r="D195" i="15" s="1"/>
  <c r="C194" i="15"/>
  <c r="A194" i="15"/>
  <c r="M193" i="15"/>
  <c r="L193" i="15"/>
  <c r="K193" i="15"/>
  <c r="J193" i="15"/>
  <c r="I193" i="15"/>
  <c r="H193" i="15"/>
  <c r="G193" i="15"/>
  <c r="F193" i="15"/>
  <c r="E193" i="15"/>
  <c r="D193" i="15"/>
  <c r="C193" i="15"/>
  <c r="A193" i="15"/>
  <c r="M192" i="15"/>
  <c r="L192" i="15"/>
  <c r="K192" i="15"/>
  <c r="J192" i="15"/>
  <c r="I192" i="15"/>
  <c r="H192" i="15"/>
  <c r="G192" i="15"/>
  <c r="F192" i="15"/>
  <c r="E192" i="15"/>
  <c r="D192" i="15"/>
  <c r="C192" i="15"/>
  <c r="A192" i="15"/>
  <c r="M191" i="15"/>
  <c r="L191" i="15"/>
  <c r="H191" i="15"/>
  <c r="G191" i="15"/>
  <c r="F191" i="15"/>
  <c r="E191" i="15"/>
  <c r="C191" i="15"/>
  <c r="A191" i="15"/>
  <c r="M190" i="15"/>
  <c r="L190" i="15"/>
  <c r="K190" i="15"/>
  <c r="J190" i="15"/>
  <c r="I190" i="15"/>
  <c r="H190" i="15"/>
  <c r="G190" i="15"/>
  <c r="F190" i="15"/>
  <c r="E190" i="15"/>
  <c r="D190" i="15"/>
  <c r="C190" i="15"/>
  <c r="A190" i="15"/>
  <c r="M189" i="15"/>
  <c r="L189" i="15"/>
  <c r="I189" i="15"/>
  <c r="I191" i="15" s="1"/>
  <c r="H189" i="15"/>
  <c r="G189" i="15"/>
  <c r="F189" i="15"/>
  <c r="E189" i="15"/>
  <c r="D189" i="15"/>
  <c r="D191" i="15" s="1"/>
  <c r="C189" i="15"/>
  <c r="A189" i="15"/>
  <c r="M188" i="15"/>
  <c r="L188" i="15"/>
  <c r="K188" i="15"/>
  <c r="J188" i="15"/>
  <c r="I188" i="15"/>
  <c r="H188" i="15"/>
  <c r="G188" i="15"/>
  <c r="F188" i="15"/>
  <c r="E188" i="15"/>
  <c r="D188" i="15"/>
  <c r="C188" i="15"/>
  <c r="A188" i="15"/>
  <c r="M187" i="15"/>
  <c r="L187" i="15"/>
  <c r="K187" i="15"/>
  <c r="J187" i="15"/>
  <c r="I187" i="15"/>
  <c r="H187" i="15"/>
  <c r="G187" i="15"/>
  <c r="F187" i="15"/>
  <c r="E187" i="15"/>
  <c r="D187" i="15"/>
  <c r="C187" i="15"/>
  <c r="A187" i="15"/>
  <c r="M186" i="15"/>
  <c r="L186" i="15"/>
  <c r="K186" i="15"/>
  <c r="J186" i="15"/>
  <c r="I186" i="15"/>
  <c r="H186" i="15"/>
  <c r="G186" i="15"/>
  <c r="F186" i="15"/>
  <c r="E186" i="15"/>
  <c r="D186" i="15"/>
  <c r="C186" i="15"/>
  <c r="A186" i="15"/>
  <c r="M185" i="15"/>
  <c r="L185" i="15"/>
  <c r="K185" i="15"/>
  <c r="J185" i="15"/>
  <c r="I185" i="15"/>
  <c r="H185" i="15"/>
  <c r="G185" i="15"/>
  <c r="F185" i="15"/>
  <c r="E185" i="15"/>
  <c r="D185" i="15"/>
  <c r="C185" i="15"/>
  <c r="A185" i="15"/>
  <c r="M184" i="15"/>
  <c r="L184" i="15"/>
  <c r="H184" i="15"/>
  <c r="G184" i="15"/>
  <c r="F184" i="15"/>
  <c r="E184" i="15"/>
  <c r="C184" i="15"/>
  <c r="A184" i="15"/>
  <c r="M183" i="15"/>
  <c r="L183" i="15"/>
  <c r="I183" i="15"/>
  <c r="H183" i="15"/>
  <c r="G183" i="15"/>
  <c r="F183" i="15"/>
  <c r="E183" i="15"/>
  <c r="D183" i="15"/>
  <c r="C183" i="15"/>
  <c r="A183" i="15"/>
  <c r="M182" i="15"/>
  <c r="L182" i="15"/>
  <c r="I182" i="15"/>
  <c r="H182" i="15"/>
  <c r="G182" i="15"/>
  <c r="F182" i="15"/>
  <c r="E182" i="15"/>
  <c r="C182" i="15"/>
  <c r="A182" i="15"/>
  <c r="M181" i="15"/>
  <c r="L181" i="15"/>
  <c r="H181" i="15"/>
  <c r="G181" i="15"/>
  <c r="F181" i="15"/>
  <c r="E181" i="15"/>
  <c r="C181" i="15"/>
  <c r="A181" i="15"/>
  <c r="M180" i="15"/>
  <c r="L180" i="15"/>
  <c r="K180" i="15"/>
  <c r="J180" i="15"/>
  <c r="I180" i="15"/>
  <c r="H180" i="15"/>
  <c r="G180" i="15"/>
  <c r="F180" i="15"/>
  <c r="E180" i="15"/>
  <c r="D180" i="15"/>
  <c r="C180" i="15"/>
  <c r="A180" i="15"/>
  <c r="M179" i="15"/>
  <c r="L179" i="15"/>
  <c r="K179" i="15"/>
  <c r="J179" i="15"/>
  <c r="I179" i="15"/>
  <c r="H179" i="15"/>
  <c r="G179" i="15"/>
  <c r="F179" i="15"/>
  <c r="E179" i="15"/>
  <c r="D179" i="15"/>
  <c r="C179" i="15"/>
  <c r="A179" i="15"/>
  <c r="M178" i="15"/>
  <c r="L178" i="15"/>
  <c r="K178" i="15"/>
  <c r="J178" i="15"/>
  <c r="I178" i="15"/>
  <c r="H178" i="15"/>
  <c r="G178" i="15"/>
  <c r="F178" i="15"/>
  <c r="E178" i="15"/>
  <c r="D178" i="15"/>
  <c r="C178" i="15"/>
  <c r="A178" i="15"/>
  <c r="M177" i="15"/>
  <c r="L177" i="15"/>
  <c r="J177" i="15"/>
  <c r="I177" i="15"/>
  <c r="H177" i="15"/>
  <c r="G177" i="15"/>
  <c r="F177" i="15"/>
  <c r="E177" i="15"/>
  <c r="C177" i="15"/>
  <c r="A177" i="15"/>
  <c r="M176" i="15"/>
  <c r="L176" i="15"/>
  <c r="I176" i="15"/>
  <c r="H176" i="15"/>
  <c r="G176" i="15"/>
  <c r="F176" i="15"/>
  <c r="E176" i="15"/>
  <c r="C176" i="15"/>
  <c r="A176" i="15"/>
  <c r="M175" i="15"/>
  <c r="L175" i="15"/>
  <c r="J175" i="15"/>
  <c r="I175" i="15"/>
  <c r="H175" i="15"/>
  <c r="G175" i="15"/>
  <c r="F175" i="15"/>
  <c r="E175" i="15"/>
  <c r="D175" i="15"/>
  <c r="C175" i="15"/>
  <c r="A175" i="15"/>
  <c r="M174" i="15"/>
  <c r="L174" i="15"/>
  <c r="I174" i="15"/>
  <c r="H174" i="15"/>
  <c r="G174" i="15"/>
  <c r="F174" i="15"/>
  <c r="E174" i="15"/>
  <c r="D174" i="15"/>
  <c r="C174" i="15"/>
  <c r="A174" i="15"/>
  <c r="M173" i="15"/>
  <c r="L173" i="15"/>
  <c r="K173" i="15"/>
  <c r="J173" i="15"/>
  <c r="I173" i="15"/>
  <c r="H173" i="15"/>
  <c r="G173" i="15"/>
  <c r="F173" i="15"/>
  <c r="E173" i="15"/>
  <c r="D173" i="15"/>
  <c r="C173" i="15"/>
  <c r="A173" i="15"/>
  <c r="M172" i="15"/>
  <c r="L172" i="15"/>
  <c r="H172" i="15"/>
  <c r="G172" i="15"/>
  <c r="F172" i="15"/>
  <c r="E172" i="15"/>
  <c r="D172" i="15"/>
  <c r="C172" i="15"/>
  <c r="A172" i="15"/>
  <c r="M171" i="15"/>
  <c r="L171" i="15"/>
  <c r="H171" i="15"/>
  <c r="G171" i="15"/>
  <c r="F171" i="15"/>
  <c r="E171" i="15"/>
  <c r="C171" i="15"/>
  <c r="M170" i="15"/>
  <c r="L170" i="15"/>
  <c r="H170" i="15"/>
  <c r="G170" i="15"/>
  <c r="F170" i="15"/>
  <c r="E170" i="15"/>
  <c r="C170" i="15"/>
  <c r="M167" i="15"/>
  <c r="K17" i="22" s="1"/>
  <c r="L167" i="15"/>
  <c r="L206" i="15" s="1"/>
  <c r="G167" i="15"/>
  <c r="E167" i="15"/>
  <c r="E227" i="15" s="1"/>
  <c r="D167" i="15"/>
  <c r="C55" i="7" s="1"/>
  <c r="C167" i="15"/>
  <c r="C206" i="15" s="1"/>
  <c r="K166" i="15"/>
  <c r="J166" i="15"/>
  <c r="A166" i="15"/>
  <c r="K165" i="15"/>
  <c r="J165" i="15"/>
  <c r="A165" i="15"/>
  <c r="J164" i="15"/>
  <c r="K164" i="15" s="1"/>
  <c r="A164" i="15"/>
  <c r="A163" i="15"/>
  <c r="K162" i="15"/>
  <c r="J162" i="15"/>
  <c r="A162" i="15"/>
  <c r="K161" i="15"/>
  <c r="J161" i="15"/>
  <c r="A161" i="15"/>
  <c r="K160" i="15"/>
  <c r="J160" i="15"/>
  <c r="A160" i="15"/>
  <c r="K157" i="15"/>
  <c r="J157" i="15"/>
  <c r="A157" i="15"/>
  <c r="J156" i="15"/>
  <c r="K156" i="15" s="1"/>
  <c r="A156" i="15"/>
  <c r="K153" i="15"/>
  <c r="J153" i="15"/>
  <c r="A153" i="15"/>
  <c r="K150" i="15"/>
  <c r="J150" i="15"/>
  <c r="A150" i="15"/>
  <c r="A149" i="15"/>
  <c r="M146" i="15"/>
  <c r="L146" i="15"/>
  <c r="G146" i="15"/>
  <c r="F146" i="15"/>
  <c r="E146" i="15"/>
  <c r="D146" i="15"/>
  <c r="D136" i="15" s="1"/>
  <c r="C146" i="15"/>
  <c r="A146" i="15"/>
  <c r="K145" i="15"/>
  <c r="J145" i="15"/>
  <c r="A145" i="15"/>
  <c r="K144" i="15"/>
  <c r="J144" i="15"/>
  <c r="A144" i="15"/>
  <c r="K143" i="15"/>
  <c r="J143" i="15"/>
  <c r="A143" i="15"/>
  <c r="A142" i="15"/>
  <c r="H141" i="15"/>
  <c r="A141" i="15"/>
  <c r="J140" i="15"/>
  <c r="K140" i="15" s="1"/>
  <c r="A140" i="15"/>
  <c r="H139" i="15"/>
  <c r="A139" i="15"/>
  <c r="K138" i="15"/>
  <c r="J138" i="15"/>
  <c r="A138" i="15"/>
  <c r="H137" i="15"/>
  <c r="A137" i="15"/>
  <c r="M136" i="15"/>
  <c r="L136" i="15"/>
  <c r="G136" i="15"/>
  <c r="E136" i="15"/>
  <c r="C136" i="15"/>
  <c r="F134" i="15"/>
  <c r="E134" i="15"/>
  <c r="C134" i="15"/>
  <c r="M133" i="15"/>
  <c r="L133" i="15"/>
  <c r="K133" i="15"/>
  <c r="J133" i="15"/>
  <c r="I133" i="15"/>
  <c r="H133" i="15"/>
  <c r="G133" i="15"/>
  <c r="F133" i="15"/>
  <c r="E133" i="15"/>
  <c r="D133" i="15"/>
  <c r="C133" i="15"/>
  <c r="M132" i="15"/>
  <c r="L132" i="15"/>
  <c r="H132" i="15"/>
  <c r="G132" i="15"/>
  <c r="F132" i="15"/>
  <c r="E132" i="15"/>
  <c r="D132" i="15"/>
  <c r="C132" i="15"/>
  <c r="M131" i="15"/>
  <c r="L131" i="15"/>
  <c r="G131" i="15"/>
  <c r="F131" i="15"/>
  <c r="E131" i="15"/>
  <c r="C131" i="15"/>
  <c r="M130" i="15"/>
  <c r="L130" i="15"/>
  <c r="H130" i="15"/>
  <c r="G130" i="15"/>
  <c r="F130" i="15"/>
  <c r="E130" i="15"/>
  <c r="C130" i="15"/>
  <c r="M129" i="15"/>
  <c r="L129" i="15"/>
  <c r="G129" i="15"/>
  <c r="F129" i="15"/>
  <c r="E129" i="15"/>
  <c r="D129" i="15"/>
  <c r="C129" i="15"/>
  <c r="M128" i="15"/>
  <c r="L128" i="15"/>
  <c r="H128" i="15"/>
  <c r="G128" i="15"/>
  <c r="F128" i="15"/>
  <c r="E128" i="15"/>
  <c r="C128" i="15"/>
  <c r="M127" i="15"/>
  <c r="L127" i="15"/>
  <c r="H127" i="15"/>
  <c r="G127" i="15"/>
  <c r="F127" i="15"/>
  <c r="E127" i="15"/>
  <c r="C127" i="15"/>
  <c r="M126" i="15"/>
  <c r="L126" i="15"/>
  <c r="H126" i="15"/>
  <c r="G126" i="15"/>
  <c r="F126" i="15"/>
  <c r="E126" i="15"/>
  <c r="C126" i="15"/>
  <c r="M125" i="15"/>
  <c r="L125" i="15"/>
  <c r="K125" i="15"/>
  <c r="J125" i="15"/>
  <c r="I125" i="15"/>
  <c r="H125" i="15"/>
  <c r="G125" i="15"/>
  <c r="F125" i="15"/>
  <c r="E125" i="15"/>
  <c r="D125" i="15"/>
  <c r="C125" i="15"/>
  <c r="M124" i="15"/>
  <c r="L124" i="15"/>
  <c r="K124" i="15"/>
  <c r="J124" i="15"/>
  <c r="I124" i="15"/>
  <c r="H124" i="15"/>
  <c r="G124" i="15"/>
  <c r="F124" i="15"/>
  <c r="E124" i="15"/>
  <c r="D124" i="15"/>
  <c r="C124" i="15"/>
  <c r="M123" i="15"/>
  <c r="L123" i="15"/>
  <c r="G123" i="15"/>
  <c r="F123" i="15"/>
  <c r="E123" i="15"/>
  <c r="C123" i="15"/>
  <c r="M122" i="15"/>
  <c r="L122" i="15"/>
  <c r="K122" i="15"/>
  <c r="J122" i="15"/>
  <c r="I122" i="15"/>
  <c r="H122" i="15"/>
  <c r="G122" i="15"/>
  <c r="F122" i="15"/>
  <c r="E122" i="15"/>
  <c r="D122" i="15"/>
  <c r="C122" i="15"/>
  <c r="M121" i="15"/>
  <c r="L121" i="15"/>
  <c r="G121" i="15"/>
  <c r="F121" i="15"/>
  <c r="E121" i="15"/>
  <c r="C121" i="15"/>
  <c r="M120" i="15"/>
  <c r="L120" i="15"/>
  <c r="H120" i="15"/>
  <c r="G120" i="15"/>
  <c r="F120" i="15"/>
  <c r="E120" i="15"/>
  <c r="C120" i="15"/>
  <c r="M119" i="15"/>
  <c r="L119" i="15"/>
  <c r="K119" i="15"/>
  <c r="J119" i="15"/>
  <c r="I119" i="15"/>
  <c r="H119" i="15"/>
  <c r="G119" i="15"/>
  <c r="F119" i="15"/>
  <c r="E119" i="15"/>
  <c r="D119" i="15"/>
  <c r="C119" i="15"/>
  <c r="M118" i="15"/>
  <c r="L118" i="15"/>
  <c r="H118" i="15"/>
  <c r="G118" i="15"/>
  <c r="F118" i="15"/>
  <c r="E118" i="15"/>
  <c r="C118" i="15"/>
  <c r="M117" i="15"/>
  <c r="L117" i="15"/>
  <c r="K117" i="15"/>
  <c r="J117" i="15"/>
  <c r="I117" i="15"/>
  <c r="H117" i="15"/>
  <c r="G117" i="15"/>
  <c r="F117" i="15"/>
  <c r="E117" i="15"/>
  <c r="D117" i="15"/>
  <c r="C117" i="15"/>
  <c r="M116" i="15"/>
  <c r="L116" i="15"/>
  <c r="G116" i="15"/>
  <c r="F116" i="15"/>
  <c r="E116" i="15"/>
  <c r="C116" i="15"/>
  <c r="M115" i="15"/>
  <c r="L115" i="15"/>
  <c r="H115" i="15"/>
  <c r="G115" i="15"/>
  <c r="F115" i="15"/>
  <c r="E115" i="15"/>
  <c r="C115" i="15"/>
  <c r="M114" i="15"/>
  <c r="L114" i="15"/>
  <c r="G114" i="15"/>
  <c r="F114" i="15"/>
  <c r="E114" i="15"/>
  <c r="C114" i="15"/>
  <c r="F113" i="15"/>
  <c r="E113" i="15"/>
  <c r="C113" i="15"/>
  <c r="M112" i="15"/>
  <c r="L112" i="15"/>
  <c r="J112" i="15"/>
  <c r="I112" i="15"/>
  <c r="H112" i="15"/>
  <c r="G112" i="15"/>
  <c r="F112" i="15"/>
  <c r="E112" i="15"/>
  <c r="C112" i="15"/>
  <c r="M111" i="15"/>
  <c r="L111" i="15"/>
  <c r="K111" i="15"/>
  <c r="J111" i="15"/>
  <c r="I111" i="15"/>
  <c r="H111" i="15"/>
  <c r="G111" i="15"/>
  <c r="F111" i="15"/>
  <c r="E111" i="15"/>
  <c r="D111" i="15"/>
  <c r="C111" i="15"/>
  <c r="M110" i="15"/>
  <c r="L110" i="15"/>
  <c r="K110" i="15"/>
  <c r="J110" i="15"/>
  <c r="I110" i="15"/>
  <c r="H110" i="15"/>
  <c r="G110" i="15"/>
  <c r="F110" i="15"/>
  <c r="E110" i="15"/>
  <c r="D110" i="15"/>
  <c r="C110" i="15"/>
  <c r="M109" i="15"/>
  <c r="L109" i="15"/>
  <c r="H109" i="15"/>
  <c r="G109" i="15"/>
  <c r="F109" i="15"/>
  <c r="E109" i="15"/>
  <c r="C109" i="15"/>
  <c r="M108" i="15"/>
  <c r="L108" i="15"/>
  <c r="G108" i="15"/>
  <c r="F108" i="15"/>
  <c r="E108" i="15"/>
  <c r="C108" i="15"/>
  <c r="M107" i="15"/>
  <c r="L107" i="15"/>
  <c r="G107" i="15"/>
  <c r="F107" i="15"/>
  <c r="E107" i="15"/>
  <c r="C107" i="15"/>
  <c r="F106" i="15"/>
  <c r="E106" i="15"/>
  <c r="C106" i="15"/>
  <c r="K105" i="15"/>
  <c r="J105" i="15"/>
  <c r="I105" i="15"/>
  <c r="H105" i="15"/>
  <c r="G105" i="15"/>
  <c r="F105" i="15"/>
  <c r="E105" i="15"/>
  <c r="D105" i="15"/>
  <c r="C105" i="15"/>
  <c r="M104" i="15"/>
  <c r="L104" i="15"/>
  <c r="G104" i="15"/>
  <c r="F104" i="15"/>
  <c r="E104" i="15"/>
  <c r="C104" i="15"/>
  <c r="F103" i="15"/>
  <c r="E103" i="15"/>
  <c r="C103" i="15"/>
  <c r="M101" i="15"/>
  <c r="L101" i="15"/>
  <c r="K101" i="15"/>
  <c r="J101" i="15"/>
  <c r="I101" i="15"/>
  <c r="H101" i="15"/>
  <c r="G101" i="15"/>
  <c r="F101" i="15"/>
  <c r="E101" i="15"/>
  <c r="D101" i="15"/>
  <c r="C101" i="15"/>
  <c r="M100" i="15"/>
  <c r="L100" i="15"/>
  <c r="K100" i="15"/>
  <c r="J100" i="15"/>
  <c r="I100" i="15"/>
  <c r="H100" i="15"/>
  <c r="G100" i="15"/>
  <c r="F100" i="15"/>
  <c r="E100" i="15"/>
  <c r="D100" i="15"/>
  <c r="C100" i="15"/>
  <c r="M99" i="15"/>
  <c r="L99" i="15"/>
  <c r="K99" i="15"/>
  <c r="J99" i="15"/>
  <c r="I99" i="15"/>
  <c r="H99" i="15"/>
  <c r="G99" i="15"/>
  <c r="F99" i="15"/>
  <c r="E99" i="15"/>
  <c r="D99" i="15"/>
  <c r="C99" i="15"/>
  <c r="M98" i="15"/>
  <c r="L98" i="15"/>
  <c r="K98" i="15"/>
  <c r="J98" i="15"/>
  <c r="I98" i="15"/>
  <c r="H98" i="15"/>
  <c r="G98" i="15"/>
  <c r="F98" i="15"/>
  <c r="E98" i="15"/>
  <c r="D98" i="15"/>
  <c r="C98" i="15"/>
  <c r="M97" i="15"/>
  <c r="L97" i="15"/>
  <c r="K97" i="15"/>
  <c r="J97" i="15"/>
  <c r="I97" i="15"/>
  <c r="H97" i="15"/>
  <c r="G97" i="15"/>
  <c r="F97" i="15"/>
  <c r="E97" i="15"/>
  <c r="D97" i="15"/>
  <c r="C97" i="15"/>
  <c r="M96" i="15"/>
  <c r="L96" i="15"/>
  <c r="K96" i="15"/>
  <c r="J96" i="15"/>
  <c r="I96" i="15"/>
  <c r="H96" i="15"/>
  <c r="G96" i="15"/>
  <c r="F96" i="15"/>
  <c r="E96" i="15"/>
  <c r="D96" i="15"/>
  <c r="C96" i="15"/>
  <c r="M95" i="15"/>
  <c r="L95" i="15"/>
  <c r="K95" i="15"/>
  <c r="J95" i="15"/>
  <c r="I95" i="15"/>
  <c r="H95" i="15"/>
  <c r="G95" i="15"/>
  <c r="F95" i="15"/>
  <c r="E95" i="15"/>
  <c r="D95" i="15"/>
  <c r="C95" i="15"/>
  <c r="M94" i="15"/>
  <c r="L94" i="15"/>
  <c r="K94" i="15"/>
  <c r="J94" i="15"/>
  <c r="I94" i="15"/>
  <c r="H94" i="15"/>
  <c r="G94" i="15"/>
  <c r="F94" i="15"/>
  <c r="E94" i="15"/>
  <c r="D94" i="15"/>
  <c r="C94" i="15"/>
  <c r="M93" i="15"/>
  <c r="L93" i="15"/>
  <c r="K93" i="15"/>
  <c r="J93" i="15"/>
  <c r="I93" i="15"/>
  <c r="H93" i="15"/>
  <c r="G93" i="15"/>
  <c r="F93" i="15"/>
  <c r="E93" i="15"/>
  <c r="D93" i="15"/>
  <c r="C93" i="15"/>
  <c r="M92" i="15"/>
  <c r="L92" i="15"/>
  <c r="K92" i="15"/>
  <c r="J92" i="15"/>
  <c r="I92" i="15"/>
  <c r="H92" i="15"/>
  <c r="G92" i="15"/>
  <c r="F92" i="15"/>
  <c r="E92" i="15"/>
  <c r="D92" i="15"/>
  <c r="C92" i="15"/>
  <c r="M91" i="15"/>
  <c r="L91" i="15"/>
  <c r="G91" i="15"/>
  <c r="F91" i="15"/>
  <c r="E91" i="15"/>
  <c r="C91" i="15"/>
  <c r="M90" i="15"/>
  <c r="L90" i="15"/>
  <c r="K90" i="15"/>
  <c r="J90" i="15"/>
  <c r="I90" i="15"/>
  <c r="H90" i="15"/>
  <c r="G90" i="15"/>
  <c r="F90" i="15"/>
  <c r="E90" i="15"/>
  <c r="D90" i="15"/>
  <c r="C90" i="15"/>
  <c r="M89" i="15"/>
  <c r="L89" i="15"/>
  <c r="I89" i="15"/>
  <c r="I91" i="15" s="1"/>
  <c r="G89" i="15"/>
  <c r="F89" i="15"/>
  <c r="E89" i="15"/>
  <c r="C89" i="15"/>
  <c r="M88" i="15"/>
  <c r="L88" i="15"/>
  <c r="J88" i="15"/>
  <c r="I88" i="15"/>
  <c r="H88" i="15"/>
  <c r="G88" i="15"/>
  <c r="F88" i="15"/>
  <c r="E88" i="15"/>
  <c r="D88" i="15"/>
  <c r="C88" i="15"/>
  <c r="M87" i="15"/>
  <c r="L87" i="15"/>
  <c r="K87" i="15"/>
  <c r="J87" i="15"/>
  <c r="I87" i="15"/>
  <c r="H87" i="15"/>
  <c r="G87" i="15"/>
  <c r="F87" i="15"/>
  <c r="E87" i="15"/>
  <c r="D87" i="15"/>
  <c r="C87" i="15"/>
  <c r="M86" i="15"/>
  <c r="L86" i="15"/>
  <c r="K86" i="15"/>
  <c r="K88" i="15" s="1"/>
  <c r="J86" i="15"/>
  <c r="I86" i="15"/>
  <c r="H86" i="15"/>
  <c r="G86" i="15"/>
  <c r="F86" i="15"/>
  <c r="E86" i="15"/>
  <c r="D86" i="15"/>
  <c r="C86" i="15"/>
  <c r="M85" i="15"/>
  <c r="L85" i="15"/>
  <c r="K85" i="15"/>
  <c r="J85" i="15"/>
  <c r="I85" i="15"/>
  <c r="H85" i="15"/>
  <c r="G85" i="15"/>
  <c r="F85" i="15"/>
  <c r="E85" i="15"/>
  <c r="D85" i="15"/>
  <c r="C85" i="15"/>
  <c r="M84" i="15"/>
  <c r="L84" i="15"/>
  <c r="H84" i="15"/>
  <c r="G84" i="15"/>
  <c r="F84" i="15"/>
  <c r="E84" i="15"/>
  <c r="C84" i="15"/>
  <c r="M83" i="15"/>
  <c r="L83" i="15"/>
  <c r="I83" i="15"/>
  <c r="H83" i="15"/>
  <c r="G83" i="15"/>
  <c r="F83" i="15"/>
  <c r="E83" i="15"/>
  <c r="D83" i="15"/>
  <c r="C83" i="15"/>
  <c r="M82" i="15"/>
  <c r="L82" i="15"/>
  <c r="H82" i="15"/>
  <c r="G82" i="15"/>
  <c r="F82" i="15"/>
  <c r="E82" i="15"/>
  <c r="C82" i="15"/>
  <c r="M81" i="15"/>
  <c r="L81" i="15"/>
  <c r="G81" i="15"/>
  <c r="F81" i="15"/>
  <c r="E81" i="15"/>
  <c r="C81" i="15"/>
  <c r="M80" i="15"/>
  <c r="L80" i="15"/>
  <c r="K80" i="15"/>
  <c r="J80" i="15"/>
  <c r="I80" i="15"/>
  <c r="H80" i="15"/>
  <c r="G80" i="15"/>
  <c r="F80" i="15"/>
  <c r="E80" i="15"/>
  <c r="D80" i="15"/>
  <c r="C80" i="15"/>
  <c r="M79" i="15"/>
  <c r="L79" i="15"/>
  <c r="K79" i="15"/>
  <c r="J79" i="15"/>
  <c r="I79" i="15"/>
  <c r="H79" i="15"/>
  <c r="G79" i="15"/>
  <c r="F79" i="15"/>
  <c r="E79" i="15"/>
  <c r="D79" i="15"/>
  <c r="C79" i="15"/>
  <c r="M78" i="15"/>
  <c r="L78" i="15"/>
  <c r="K78" i="15"/>
  <c r="J78" i="15"/>
  <c r="I78" i="15"/>
  <c r="H78" i="15"/>
  <c r="G78" i="15"/>
  <c r="F78" i="15"/>
  <c r="E78" i="15"/>
  <c r="D78" i="15"/>
  <c r="C78" i="15"/>
  <c r="M77" i="15"/>
  <c r="L77" i="15"/>
  <c r="I77" i="15"/>
  <c r="H77" i="15"/>
  <c r="G77" i="15"/>
  <c r="F77" i="15"/>
  <c r="E77" i="15"/>
  <c r="D77" i="15"/>
  <c r="C77" i="15"/>
  <c r="M76" i="15"/>
  <c r="L76" i="15"/>
  <c r="I76" i="15"/>
  <c r="H76" i="15"/>
  <c r="G76" i="15"/>
  <c r="F76" i="15"/>
  <c r="E76" i="15"/>
  <c r="C76" i="15"/>
  <c r="M75" i="15"/>
  <c r="L75" i="15"/>
  <c r="G75" i="15"/>
  <c r="F75" i="15"/>
  <c r="E75" i="15"/>
  <c r="C75" i="15"/>
  <c r="M74" i="15"/>
  <c r="L74" i="15"/>
  <c r="I74" i="15"/>
  <c r="G74" i="15"/>
  <c r="F74" i="15"/>
  <c r="E74" i="15"/>
  <c r="D74" i="15"/>
  <c r="C74" i="15"/>
  <c r="M73" i="15"/>
  <c r="L73" i="15"/>
  <c r="K73" i="15"/>
  <c r="J73" i="15"/>
  <c r="I73" i="15"/>
  <c r="H73" i="15"/>
  <c r="G73" i="15"/>
  <c r="F73" i="15"/>
  <c r="E73" i="15"/>
  <c r="D73" i="15"/>
  <c r="C73" i="15"/>
  <c r="M72" i="15"/>
  <c r="L72" i="15"/>
  <c r="H72" i="15"/>
  <c r="G72" i="15"/>
  <c r="F72" i="15"/>
  <c r="E72" i="15"/>
  <c r="D72" i="15"/>
  <c r="C72" i="15"/>
  <c r="M71" i="15"/>
  <c r="L71" i="15"/>
  <c r="G71" i="15"/>
  <c r="F71" i="15"/>
  <c r="E71" i="15"/>
  <c r="C71" i="15"/>
  <c r="M69" i="15"/>
  <c r="L69" i="15"/>
  <c r="K69" i="15"/>
  <c r="J69" i="15"/>
  <c r="I69" i="15"/>
  <c r="H69" i="15"/>
  <c r="G69" i="15"/>
  <c r="F69" i="15"/>
  <c r="E69" i="15"/>
  <c r="D69" i="15"/>
  <c r="C69" i="15"/>
  <c r="M68" i="15"/>
  <c r="L68" i="15"/>
  <c r="K68" i="15"/>
  <c r="J68" i="15"/>
  <c r="I68" i="15"/>
  <c r="H68" i="15"/>
  <c r="G68" i="15"/>
  <c r="F68" i="15"/>
  <c r="E68" i="15"/>
  <c r="D68" i="15"/>
  <c r="C68" i="15"/>
  <c r="M67" i="15"/>
  <c r="L67" i="15"/>
  <c r="K67" i="15"/>
  <c r="J67" i="15"/>
  <c r="I67" i="15"/>
  <c r="H67" i="15"/>
  <c r="G67" i="15"/>
  <c r="F67" i="15"/>
  <c r="E67" i="15"/>
  <c r="D67" i="15"/>
  <c r="C67" i="15"/>
  <c r="M66" i="15"/>
  <c r="L66" i="15"/>
  <c r="K66" i="15"/>
  <c r="J66" i="15"/>
  <c r="I66" i="15"/>
  <c r="H66" i="15"/>
  <c r="G66" i="15"/>
  <c r="F66" i="15"/>
  <c r="E66" i="15"/>
  <c r="D66" i="15"/>
  <c r="C66" i="15"/>
  <c r="M65" i="15"/>
  <c r="L65" i="15"/>
  <c r="K65" i="15"/>
  <c r="J65" i="15"/>
  <c r="I65" i="15"/>
  <c r="H65" i="15"/>
  <c r="G65" i="15"/>
  <c r="F65" i="15"/>
  <c r="E65" i="15"/>
  <c r="D65" i="15"/>
  <c r="C65" i="15"/>
  <c r="M64" i="15"/>
  <c r="L64" i="15"/>
  <c r="K64" i="15"/>
  <c r="J64" i="15"/>
  <c r="I64" i="15"/>
  <c r="H64" i="15"/>
  <c r="G64" i="15"/>
  <c r="F64" i="15"/>
  <c r="E64" i="15"/>
  <c r="D64" i="15"/>
  <c r="C64" i="15"/>
  <c r="M63" i="15"/>
  <c r="L63" i="15"/>
  <c r="K63" i="15"/>
  <c r="J63" i="15"/>
  <c r="I63" i="15"/>
  <c r="H63" i="15"/>
  <c r="G63" i="15"/>
  <c r="F63" i="15"/>
  <c r="E63" i="15"/>
  <c r="D63" i="15"/>
  <c r="C63" i="15"/>
  <c r="M62" i="15"/>
  <c r="L62" i="15"/>
  <c r="K62" i="15"/>
  <c r="J62" i="15"/>
  <c r="I62" i="15"/>
  <c r="H62" i="15"/>
  <c r="G62" i="15"/>
  <c r="F62" i="15"/>
  <c r="E62" i="15"/>
  <c r="D62" i="15"/>
  <c r="C62" i="15"/>
  <c r="M61" i="15"/>
  <c r="L61" i="15"/>
  <c r="K61" i="15"/>
  <c r="J61" i="15"/>
  <c r="I61" i="15"/>
  <c r="H61" i="15"/>
  <c r="G61" i="15"/>
  <c r="F61" i="15"/>
  <c r="E61" i="15"/>
  <c r="D61" i="15"/>
  <c r="C61" i="15"/>
  <c r="M60" i="15"/>
  <c r="L60" i="15"/>
  <c r="K60" i="15"/>
  <c r="J60" i="15"/>
  <c r="I60" i="15"/>
  <c r="H60" i="15"/>
  <c r="G60" i="15"/>
  <c r="F60" i="15"/>
  <c r="E60" i="15"/>
  <c r="D60" i="15"/>
  <c r="C60" i="15"/>
  <c r="M59" i="15"/>
  <c r="L59" i="15"/>
  <c r="H59" i="15"/>
  <c r="G59" i="15"/>
  <c r="F59" i="15"/>
  <c r="E59" i="15"/>
  <c r="C59" i="15"/>
  <c r="M58" i="15"/>
  <c r="L58" i="15"/>
  <c r="K58" i="15"/>
  <c r="J58" i="15"/>
  <c r="I58" i="15"/>
  <c r="H58" i="15"/>
  <c r="G58" i="15"/>
  <c r="F58" i="15"/>
  <c r="E58" i="15"/>
  <c r="D58" i="15"/>
  <c r="C58" i="15"/>
  <c r="M57" i="15"/>
  <c r="L57" i="15"/>
  <c r="I57" i="15"/>
  <c r="H57" i="15"/>
  <c r="G57" i="15"/>
  <c r="F57" i="15"/>
  <c r="E57" i="15"/>
  <c r="D57" i="15"/>
  <c r="D59" i="15" s="1"/>
  <c r="C57" i="15"/>
  <c r="M56" i="15"/>
  <c r="L56" i="15"/>
  <c r="K56" i="15"/>
  <c r="J56" i="15"/>
  <c r="I56" i="15"/>
  <c r="H56" i="15"/>
  <c r="G56" i="15"/>
  <c r="F56" i="15"/>
  <c r="E56" i="15"/>
  <c r="D56" i="15"/>
  <c r="C56" i="15"/>
  <c r="M55" i="15"/>
  <c r="L55" i="15"/>
  <c r="K55" i="15"/>
  <c r="J55" i="15"/>
  <c r="I55" i="15"/>
  <c r="H55" i="15"/>
  <c r="G55" i="15"/>
  <c r="F55" i="15"/>
  <c r="E55" i="15"/>
  <c r="D55" i="15"/>
  <c r="C55" i="15"/>
  <c r="M54" i="15"/>
  <c r="L54" i="15"/>
  <c r="K54" i="15"/>
  <c r="J54" i="15"/>
  <c r="I54" i="15"/>
  <c r="H54" i="15"/>
  <c r="G54" i="15"/>
  <c r="F54" i="15"/>
  <c r="E54" i="15"/>
  <c r="D54" i="15"/>
  <c r="C54" i="15"/>
  <c r="M53" i="15"/>
  <c r="L53" i="15"/>
  <c r="K53" i="15"/>
  <c r="J53" i="15"/>
  <c r="I53" i="15"/>
  <c r="H53" i="15"/>
  <c r="G53" i="15"/>
  <c r="F53" i="15"/>
  <c r="E53" i="15"/>
  <c r="D53" i="15"/>
  <c r="C53" i="15"/>
  <c r="M52" i="15"/>
  <c r="L52" i="15"/>
  <c r="G52" i="15"/>
  <c r="F52" i="15"/>
  <c r="E52" i="15"/>
  <c r="C52" i="15"/>
  <c r="M51" i="15"/>
  <c r="L51" i="15"/>
  <c r="K51" i="15"/>
  <c r="J51" i="15"/>
  <c r="I51" i="15"/>
  <c r="H51" i="15"/>
  <c r="G51" i="15"/>
  <c r="F51" i="15"/>
  <c r="E51" i="15"/>
  <c r="D51" i="15"/>
  <c r="C51" i="15"/>
  <c r="M50" i="15"/>
  <c r="L50" i="15"/>
  <c r="H50" i="15"/>
  <c r="H52" i="15" s="1"/>
  <c r="H39" i="15" s="1"/>
  <c r="G50" i="15"/>
  <c r="F50" i="15"/>
  <c r="E50" i="15"/>
  <c r="D50" i="15"/>
  <c r="D52" i="15" s="1"/>
  <c r="C50" i="15"/>
  <c r="M49" i="15"/>
  <c r="L49" i="15"/>
  <c r="H49" i="15"/>
  <c r="G49" i="15"/>
  <c r="F49" i="15"/>
  <c r="E49" i="15"/>
  <c r="C49" i="15"/>
  <c r="M48" i="15"/>
  <c r="L48" i="15"/>
  <c r="K48" i="15"/>
  <c r="J48" i="15"/>
  <c r="I48" i="15"/>
  <c r="H48" i="15"/>
  <c r="G48" i="15"/>
  <c r="F48" i="15"/>
  <c r="E48" i="15"/>
  <c r="D48" i="15"/>
  <c r="C48" i="15"/>
  <c r="M47" i="15"/>
  <c r="L47" i="15"/>
  <c r="K47" i="15"/>
  <c r="J47" i="15"/>
  <c r="I47" i="15"/>
  <c r="H47" i="15"/>
  <c r="G47" i="15"/>
  <c r="F47" i="15"/>
  <c r="E47" i="15"/>
  <c r="D47" i="15"/>
  <c r="C47" i="15"/>
  <c r="M46" i="15"/>
  <c r="L46" i="15"/>
  <c r="K46" i="15"/>
  <c r="J46" i="15"/>
  <c r="I46" i="15"/>
  <c r="H46" i="15"/>
  <c r="G46" i="15"/>
  <c r="F46" i="15"/>
  <c r="E46" i="15"/>
  <c r="D46" i="15"/>
  <c r="C46" i="15"/>
  <c r="M45" i="15"/>
  <c r="L45" i="15"/>
  <c r="K45" i="15"/>
  <c r="J45" i="15"/>
  <c r="I45" i="15"/>
  <c r="H45" i="15"/>
  <c r="G45" i="15"/>
  <c r="F45" i="15"/>
  <c r="E45" i="15"/>
  <c r="D45" i="15"/>
  <c r="C45" i="15"/>
  <c r="M44" i="15"/>
  <c r="L44" i="15"/>
  <c r="I44" i="15"/>
  <c r="H44" i="15"/>
  <c r="G44" i="15"/>
  <c r="F44" i="15"/>
  <c r="E44" i="15"/>
  <c r="D44" i="15"/>
  <c r="C44" i="15"/>
  <c r="M43" i="15"/>
  <c r="L43" i="15"/>
  <c r="K43" i="15"/>
  <c r="J43" i="15"/>
  <c r="I43" i="15"/>
  <c r="H43" i="15"/>
  <c r="G43" i="15"/>
  <c r="F43" i="15"/>
  <c r="E43" i="15"/>
  <c r="D43" i="15"/>
  <c r="C43" i="15"/>
  <c r="M42" i="15"/>
  <c r="L42" i="15"/>
  <c r="K42" i="15"/>
  <c r="J42" i="15"/>
  <c r="I42" i="15"/>
  <c r="H42" i="15"/>
  <c r="G42" i="15"/>
  <c r="F42" i="15"/>
  <c r="E42" i="15"/>
  <c r="D42" i="15"/>
  <c r="C42" i="15"/>
  <c r="M41" i="15"/>
  <c r="L41" i="15"/>
  <c r="K41" i="15"/>
  <c r="J41" i="15"/>
  <c r="I41" i="15"/>
  <c r="H41" i="15"/>
  <c r="G41" i="15"/>
  <c r="F41" i="15"/>
  <c r="E41" i="15"/>
  <c r="D41" i="15"/>
  <c r="C41" i="15"/>
  <c r="M40" i="15"/>
  <c r="L40" i="15"/>
  <c r="J40" i="15"/>
  <c r="I40" i="15"/>
  <c r="H40" i="15"/>
  <c r="G40" i="15"/>
  <c r="F40" i="15"/>
  <c r="E40" i="15"/>
  <c r="D40" i="15"/>
  <c r="D49" i="15" s="1"/>
  <c r="C40" i="15"/>
  <c r="M39" i="15"/>
  <c r="L39" i="15"/>
  <c r="G39" i="15"/>
  <c r="F39" i="15"/>
  <c r="E39" i="15"/>
  <c r="C39" i="15"/>
  <c r="M37" i="15"/>
  <c r="L37" i="15"/>
  <c r="K37" i="15"/>
  <c r="J37" i="15"/>
  <c r="I37" i="15"/>
  <c r="H37" i="15"/>
  <c r="G37" i="15"/>
  <c r="F37" i="15"/>
  <c r="E37" i="15"/>
  <c r="D37" i="15"/>
  <c r="C37" i="15"/>
  <c r="M36" i="15"/>
  <c r="L36" i="15"/>
  <c r="I36" i="15"/>
  <c r="I132" i="15" s="1"/>
  <c r="H36" i="15"/>
  <c r="G36" i="15"/>
  <c r="F36" i="15"/>
  <c r="E36" i="15"/>
  <c r="D36" i="15"/>
  <c r="C36" i="15"/>
  <c r="M35" i="15"/>
  <c r="L35" i="15"/>
  <c r="H35" i="15"/>
  <c r="H131" i="15" s="1"/>
  <c r="G35" i="15"/>
  <c r="F35" i="15"/>
  <c r="E35" i="15"/>
  <c r="D35" i="15"/>
  <c r="D131" i="15" s="1"/>
  <c r="C35" i="15"/>
  <c r="M34" i="15"/>
  <c r="L34" i="15"/>
  <c r="I34" i="15"/>
  <c r="I130" i="15" s="1"/>
  <c r="H34" i="15"/>
  <c r="G34" i="15"/>
  <c r="F34" i="15"/>
  <c r="E34" i="15"/>
  <c r="D34" i="15"/>
  <c r="D130" i="15" s="1"/>
  <c r="C34" i="15"/>
  <c r="M33" i="15"/>
  <c r="L33" i="15"/>
  <c r="I33" i="15"/>
  <c r="I129" i="15" s="1"/>
  <c r="H33" i="15"/>
  <c r="H129" i="15" s="1"/>
  <c r="G33" i="15"/>
  <c r="F33" i="15"/>
  <c r="E33" i="15"/>
  <c r="D33" i="15"/>
  <c r="C33" i="15"/>
  <c r="M32" i="15"/>
  <c r="L32" i="15"/>
  <c r="I32" i="15"/>
  <c r="I128" i="15" s="1"/>
  <c r="H32" i="15"/>
  <c r="G32" i="15"/>
  <c r="F32" i="15"/>
  <c r="E32" i="15"/>
  <c r="D32" i="15"/>
  <c r="D128" i="15" s="1"/>
  <c r="C32" i="15"/>
  <c r="M31" i="15"/>
  <c r="L31" i="15"/>
  <c r="H31" i="15"/>
  <c r="G31" i="15"/>
  <c r="F31" i="15"/>
  <c r="E31" i="15"/>
  <c r="C31" i="15"/>
  <c r="M30" i="15"/>
  <c r="L30" i="15"/>
  <c r="J30" i="15"/>
  <c r="J31" i="15" s="1"/>
  <c r="J127" i="15" s="1"/>
  <c r="I30" i="15"/>
  <c r="I31" i="15" s="1"/>
  <c r="I127" i="15" s="1"/>
  <c r="H30" i="15"/>
  <c r="G30" i="15"/>
  <c r="F30" i="15"/>
  <c r="E30" i="15"/>
  <c r="D30" i="15"/>
  <c r="D31" i="15" s="1"/>
  <c r="D127" i="15" s="1"/>
  <c r="C30" i="15"/>
  <c r="M29" i="15"/>
  <c r="L29" i="15"/>
  <c r="K29" i="15"/>
  <c r="J29" i="15"/>
  <c r="I29" i="15"/>
  <c r="H29" i="15"/>
  <c r="G29" i="15"/>
  <c r="F29" i="15"/>
  <c r="E29" i="15"/>
  <c r="D29" i="15"/>
  <c r="C29" i="15"/>
  <c r="M28" i="15"/>
  <c r="L28" i="15"/>
  <c r="K28" i="15"/>
  <c r="J28" i="15"/>
  <c r="I28" i="15"/>
  <c r="H28" i="15"/>
  <c r="G28" i="15"/>
  <c r="F28" i="15"/>
  <c r="E28" i="15"/>
  <c r="D28" i="15"/>
  <c r="C28" i="15"/>
  <c r="M27" i="15"/>
  <c r="L27" i="15"/>
  <c r="H27" i="15"/>
  <c r="G27" i="15"/>
  <c r="F27" i="15"/>
  <c r="E27" i="15"/>
  <c r="C27" i="15"/>
  <c r="M26" i="15"/>
  <c r="L26" i="15"/>
  <c r="K26" i="15"/>
  <c r="J26" i="15"/>
  <c r="I26" i="15"/>
  <c r="H26" i="15"/>
  <c r="G26" i="15"/>
  <c r="F26" i="15"/>
  <c r="E26" i="15"/>
  <c r="D26" i="15"/>
  <c r="C26" i="15"/>
  <c r="M25" i="15"/>
  <c r="L25" i="15"/>
  <c r="I25" i="15"/>
  <c r="I27" i="15" s="1"/>
  <c r="H25" i="15"/>
  <c r="G25" i="15"/>
  <c r="F25" i="15"/>
  <c r="E25" i="15"/>
  <c r="C25" i="15"/>
  <c r="M24" i="15"/>
  <c r="L24" i="15"/>
  <c r="H24" i="15"/>
  <c r="G24" i="15"/>
  <c r="F24" i="15"/>
  <c r="E24" i="15"/>
  <c r="C24" i="15"/>
  <c r="M23" i="15"/>
  <c r="L23" i="15"/>
  <c r="K23" i="15"/>
  <c r="J23" i="15"/>
  <c r="I23" i="15"/>
  <c r="H23" i="15"/>
  <c r="G23" i="15"/>
  <c r="F23" i="15"/>
  <c r="E23" i="15"/>
  <c r="D23" i="15"/>
  <c r="C23" i="15"/>
  <c r="M22" i="15"/>
  <c r="L22" i="15"/>
  <c r="I22" i="15"/>
  <c r="I24" i="15" s="1"/>
  <c r="I120" i="15" s="1"/>
  <c r="H22" i="15"/>
  <c r="G22" i="15"/>
  <c r="F22" i="15"/>
  <c r="E22" i="15"/>
  <c r="D22" i="15"/>
  <c r="D118" i="15" s="1"/>
  <c r="C22" i="15"/>
  <c r="M21" i="15"/>
  <c r="L21" i="15"/>
  <c r="K21" i="15"/>
  <c r="J21" i="15"/>
  <c r="I21" i="15"/>
  <c r="H21" i="15"/>
  <c r="G21" i="15"/>
  <c r="F21" i="15"/>
  <c r="E21" i="15"/>
  <c r="D21" i="15"/>
  <c r="C21" i="15"/>
  <c r="M20" i="15"/>
  <c r="L20" i="15"/>
  <c r="G20" i="15"/>
  <c r="F20" i="15"/>
  <c r="E20" i="15"/>
  <c r="C20" i="15"/>
  <c r="M19" i="15"/>
  <c r="L19" i="15"/>
  <c r="I19" i="15"/>
  <c r="I115" i="15" s="1"/>
  <c r="H19" i="15"/>
  <c r="G19" i="15"/>
  <c r="F19" i="15"/>
  <c r="E19" i="15"/>
  <c r="D19" i="15"/>
  <c r="D115" i="15" s="1"/>
  <c r="C19" i="15"/>
  <c r="M18" i="15"/>
  <c r="L18" i="15"/>
  <c r="I18" i="15"/>
  <c r="H18" i="15"/>
  <c r="H20" i="15" s="1"/>
  <c r="G18" i="15"/>
  <c r="F18" i="15"/>
  <c r="E18" i="15"/>
  <c r="D18" i="15"/>
  <c r="C18" i="15"/>
  <c r="F17" i="15"/>
  <c r="E17" i="15"/>
  <c r="C17" i="15"/>
  <c r="M16" i="15"/>
  <c r="L16" i="15"/>
  <c r="J16" i="15"/>
  <c r="I16" i="15"/>
  <c r="H16" i="15"/>
  <c r="G16" i="15"/>
  <c r="F16" i="15"/>
  <c r="E16" i="15"/>
  <c r="D16" i="15"/>
  <c r="D112" i="15" s="1"/>
  <c r="C16" i="15"/>
  <c r="M15" i="15"/>
  <c r="L15" i="15"/>
  <c r="K15" i="15"/>
  <c r="J15" i="15"/>
  <c r="I15" i="15"/>
  <c r="H15" i="15"/>
  <c r="G15" i="15"/>
  <c r="F15" i="15"/>
  <c r="E15" i="15"/>
  <c r="D15" i="15"/>
  <c r="C15" i="15"/>
  <c r="M14" i="15"/>
  <c r="L14" i="15"/>
  <c r="K14" i="15"/>
  <c r="J14" i="15"/>
  <c r="I14" i="15"/>
  <c r="H14" i="15"/>
  <c r="G14" i="15"/>
  <c r="F14" i="15"/>
  <c r="E14" i="15"/>
  <c r="D14" i="15"/>
  <c r="C14" i="15"/>
  <c r="M13" i="15"/>
  <c r="L13" i="15"/>
  <c r="I13" i="15"/>
  <c r="H13" i="15"/>
  <c r="G13" i="15"/>
  <c r="F13" i="15"/>
  <c r="E13" i="15"/>
  <c r="D13" i="15"/>
  <c r="D109" i="15" s="1"/>
  <c r="C13" i="15"/>
  <c r="M12" i="15"/>
  <c r="L12" i="15"/>
  <c r="H12" i="15"/>
  <c r="H108" i="15" s="1"/>
  <c r="G12" i="15"/>
  <c r="F12" i="15"/>
  <c r="E12" i="15"/>
  <c r="D12" i="15"/>
  <c r="C12" i="15"/>
  <c r="M11" i="15"/>
  <c r="L11" i="15"/>
  <c r="I11" i="15"/>
  <c r="G11" i="15"/>
  <c r="F11" i="15"/>
  <c r="E11" i="15"/>
  <c r="D11" i="15"/>
  <c r="C11" i="15"/>
  <c r="M10" i="15"/>
  <c r="M106" i="15" s="1"/>
  <c r="L10" i="15"/>
  <c r="L106" i="15" s="1"/>
  <c r="I10" i="15"/>
  <c r="F10" i="15"/>
  <c r="E10" i="15"/>
  <c r="C10" i="15"/>
  <c r="M9" i="15"/>
  <c r="M17" i="15" s="1"/>
  <c r="L9" i="15"/>
  <c r="L17" i="15" s="1"/>
  <c r="K9" i="15"/>
  <c r="J9" i="15"/>
  <c r="I9" i="15"/>
  <c r="H9" i="15"/>
  <c r="G9" i="15"/>
  <c r="F9" i="15"/>
  <c r="E9" i="15"/>
  <c r="D9" i="15"/>
  <c r="C9" i="15"/>
  <c r="M8" i="15"/>
  <c r="L8" i="15"/>
  <c r="I8" i="15"/>
  <c r="H8" i="15"/>
  <c r="H104" i="15" s="1"/>
  <c r="G8" i="15"/>
  <c r="F8" i="15"/>
  <c r="E8" i="15"/>
  <c r="C8" i="15"/>
  <c r="F7" i="15"/>
  <c r="E7" i="15"/>
  <c r="C7" i="15"/>
  <c r="M3" i="15"/>
  <c r="L3" i="15"/>
  <c r="K3" i="15"/>
  <c r="J3" i="15"/>
  <c r="I3" i="15"/>
  <c r="H3" i="15"/>
  <c r="G3" i="15"/>
  <c r="F3" i="15"/>
  <c r="E3" i="15"/>
  <c r="D3" i="15"/>
  <c r="C3" i="15"/>
  <c r="M2" i="15"/>
  <c r="L2" i="15"/>
  <c r="C2" i="15"/>
  <c r="B2" i="15"/>
  <c r="A2" i="15"/>
  <c r="A1" i="15"/>
  <c r="M57" i="14"/>
  <c r="L57" i="14"/>
  <c r="K57" i="14"/>
  <c r="D57" i="14"/>
  <c r="C57" i="14"/>
  <c r="M56" i="14"/>
  <c r="L56" i="14"/>
  <c r="K56" i="14"/>
  <c r="D56" i="14"/>
  <c r="C56" i="14"/>
  <c r="A56" i="14"/>
  <c r="M55" i="14"/>
  <c r="L55" i="14"/>
  <c r="K55" i="14"/>
  <c r="D55" i="14"/>
  <c r="C55" i="14"/>
  <c r="A55" i="14"/>
  <c r="M54" i="14"/>
  <c r="L54" i="14"/>
  <c r="K54" i="14"/>
  <c r="D54" i="14"/>
  <c r="C54" i="14"/>
  <c r="A54" i="14"/>
  <c r="M53" i="14"/>
  <c r="L53" i="14"/>
  <c r="K53" i="14"/>
  <c r="D53" i="14"/>
  <c r="C53" i="14"/>
  <c r="A53" i="14"/>
  <c r="A52" i="14"/>
  <c r="M50" i="14"/>
  <c r="L50" i="14"/>
  <c r="K50" i="14"/>
  <c r="D50" i="14"/>
  <c r="C50" i="14"/>
  <c r="A46" i="14"/>
  <c r="M44" i="14"/>
  <c r="L44" i="14"/>
  <c r="C44" i="14"/>
  <c r="C43" i="14"/>
  <c r="C40" i="14"/>
  <c r="M39" i="14"/>
  <c r="L39" i="14"/>
  <c r="D39" i="14"/>
  <c r="C39" i="14"/>
  <c r="C38" i="14"/>
  <c r="A37" i="14"/>
  <c r="A22" i="14"/>
  <c r="C21" i="14"/>
  <c r="H20" i="14"/>
  <c r="G20" i="14"/>
  <c r="F20" i="14"/>
  <c r="E20" i="14"/>
  <c r="C20" i="14"/>
  <c r="M19" i="14"/>
  <c r="L19" i="14"/>
  <c r="K19" i="14"/>
  <c r="J19" i="14"/>
  <c r="I19" i="14"/>
  <c r="D19" i="14"/>
  <c r="C19" i="14"/>
  <c r="M18" i="14"/>
  <c r="L18" i="14"/>
  <c r="K18" i="14"/>
  <c r="J18" i="14"/>
  <c r="I18" i="14"/>
  <c r="D18" i="14"/>
  <c r="C18" i="14"/>
  <c r="J17" i="14"/>
  <c r="K17" i="14" s="1"/>
  <c r="C16" i="14"/>
  <c r="J15" i="14"/>
  <c r="K15" i="14" s="1"/>
  <c r="K14" i="14"/>
  <c r="J14" i="14"/>
  <c r="M13" i="14"/>
  <c r="L13" i="14"/>
  <c r="I13" i="14"/>
  <c r="J13" i="14" s="1"/>
  <c r="K13" i="14" s="1"/>
  <c r="H13" i="14"/>
  <c r="G13" i="14"/>
  <c r="F13" i="14"/>
  <c r="E13" i="14"/>
  <c r="D13" i="14"/>
  <c r="C13" i="14"/>
  <c r="C10" i="14"/>
  <c r="M9" i="14"/>
  <c r="L9" i="14"/>
  <c r="K9" i="14"/>
  <c r="J9" i="14"/>
  <c r="I9" i="14"/>
  <c r="H9" i="14"/>
  <c r="G9" i="14"/>
  <c r="F9" i="14"/>
  <c r="E9" i="14"/>
  <c r="D9" i="14"/>
  <c r="C9" i="14"/>
  <c r="C8" i="14"/>
  <c r="E7" i="14"/>
  <c r="C7" i="14"/>
  <c r="M3" i="14"/>
  <c r="L3" i="14"/>
  <c r="K3" i="14"/>
  <c r="J3" i="14"/>
  <c r="I3" i="14"/>
  <c r="H3" i="14"/>
  <c r="G3" i="14"/>
  <c r="F3" i="14"/>
  <c r="E3" i="14"/>
  <c r="D3" i="14"/>
  <c r="C3" i="14"/>
  <c r="M2" i="14"/>
  <c r="L2" i="14"/>
  <c r="C2" i="14"/>
  <c r="B2" i="14"/>
  <c r="A2" i="14"/>
  <c r="A1" i="14"/>
  <c r="A43" i="13"/>
  <c r="E42" i="13"/>
  <c r="C42" i="13"/>
  <c r="K41" i="13"/>
  <c r="J41" i="13"/>
  <c r="M40" i="13"/>
  <c r="L40" i="13"/>
  <c r="E40" i="13"/>
  <c r="C40" i="13"/>
  <c r="M38" i="13"/>
  <c r="L38" i="13"/>
  <c r="I38" i="13"/>
  <c r="H38" i="13"/>
  <c r="G38" i="13"/>
  <c r="F38" i="13"/>
  <c r="E38" i="13"/>
  <c r="D38" i="13"/>
  <c r="C38" i="13"/>
  <c r="K37" i="13"/>
  <c r="J37" i="13"/>
  <c r="J35" i="13"/>
  <c r="K35" i="13" s="1"/>
  <c r="J34" i="13"/>
  <c r="K33" i="13"/>
  <c r="J33" i="13"/>
  <c r="M29" i="13"/>
  <c r="L29" i="13"/>
  <c r="G29" i="13"/>
  <c r="F29" i="13"/>
  <c r="F40" i="13" s="1"/>
  <c r="F42" i="13" s="1"/>
  <c r="E29" i="13"/>
  <c r="D29" i="13"/>
  <c r="C29" i="13"/>
  <c r="C28" i="13"/>
  <c r="J26" i="13"/>
  <c r="K26" i="13" s="1"/>
  <c r="J25" i="13"/>
  <c r="K25" i="13" s="1"/>
  <c r="J23" i="13"/>
  <c r="K23" i="13" s="1"/>
  <c r="M19" i="13"/>
  <c r="L19" i="13"/>
  <c r="G19" i="13"/>
  <c r="F19" i="13"/>
  <c r="E19" i="13"/>
  <c r="D19" i="13"/>
  <c r="C44" i="7" s="1"/>
  <c r="C19" i="13"/>
  <c r="J18" i="13"/>
  <c r="K18" i="13" s="1"/>
  <c r="J17" i="13"/>
  <c r="K17" i="13" s="1"/>
  <c r="K14" i="13"/>
  <c r="J14" i="13"/>
  <c r="J13" i="13"/>
  <c r="K13" i="13" s="1"/>
  <c r="J12" i="13"/>
  <c r="K12" i="13" s="1"/>
  <c r="C12" i="13"/>
  <c r="J11" i="13"/>
  <c r="K11" i="13" s="1"/>
  <c r="J10" i="13"/>
  <c r="K10" i="13" s="1"/>
  <c r="J9" i="13"/>
  <c r="K9" i="13" s="1"/>
  <c r="J8" i="13"/>
  <c r="K8" i="13" s="1"/>
  <c r="M3" i="13"/>
  <c r="L3" i="13"/>
  <c r="K3" i="13"/>
  <c r="J3" i="13"/>
  <c r="I3" i="13"/>
  <c r="H3" i="13"/>
  <c r="G3" i="13"/>
  <c r="F3" i="13"/>
  <c r="E3" i="13"/>
  <c r="D3" i="13"/>
  <c r="C3" i="13"/>
  <c r="M2" i="13"/>
  <c r="L2" i="13"/>
  <c r="C2" i="13"/>
  <c r="B2" i="13"/>
  <c r="A2" i="13"/>
  <c r="A1" i="13"/>
  <c r="A51" i="12"/>
  <c r="M48" i="12"/>
  <c r="L48" i="12"/>
  <c r="K48" i="12"/>
  <c r="J48" i="12"/>
  <c r="I48" i="12"/>
  <c r="H48" i="12"/>
  <c r="G48" i="12"/>
  <c r="F48" i="12"/>
  <c r="E48" i="12"/>
  <c r="D48" i="12"/>
  <c r="C48" i="12"/>
  <c r="C44" i="12"/>
  <c r="M42" i="12"/>
  <c r="L42" i="12"/>
  <c r="H42" i="12"/>
  <c r="G42" i="12"/>
  <c r="F42" i="12"/>
  <c r="E42" i="12"/>
  <c r="C42" i="12"/>
  <c r="M41" i="12"/>
  <c r="L41" i="12"/>
  <c r="H41" i="12"/>
  <c r="G41" i="12"/>
  <c r="F41" i="12"/>
  <c r="E41" i="12"/>
  <c r="C41" i="12"/>
  <c r="M40" i="12"/>
  <c r="L40" i="12"/>
  <c r="I40" i="12"/>
  <c r="J40" i="12" s="1"/>
  <c r="H40" i="12"/>
  <c r="G40" i="12"/>
  <c r="F40" i="12"/>
  <c r="E40" i="12"/>
  <c r="D40" i="12"/>
  <c r="C40" i="12"/>
  <c r="M39" i="12"/>
  <c r="L39" i="12"/>
  <c r="I39" i="12"/>
  <c r="J39" i="12" s="1"/>
  <c r="H39" i="12"/>
  <c r="G39" i="12"/>
  <c r="F39" i="12"/>
  <c r="E39" i="12"/>
  <c r="D39" i="12"/>
  <c r="C39" i="12"/>
  <c r="M36" i="12"/>
  <c r="L36" i="12"/>
  <c r="H36" i="12"/>
  <c r="G36" i="12"/>
  <c r="F36" i="12"/>
  <c r="E36" i="12"/>
  <c r="C36" i="12"/>
  <c r="K35" i="12"/>
  <c r="J35" i="12"/>
  <c r="M34" i="12"/>
  <c r="L34" i="12"/>
  <c r="I34" i="12"/>
  <c r="J34" i="12" s="1"/>
  <c r="H34" i="12"/>
  <c r="G34" i="12"/>
  <c r="F34" i="12"/>
  <c r="E34" i="12"/>
  <c r="D34" i="12"/>
  <c r="C34" i="12"/>
  <c r="K33" i="12"/>
  <c r="J33" i="12"/>
  <c r="M32" i="12"/>
  <c r="L32" i="12"/>
  <c r="J32" i="12"/>
  <c r="I32" i="12"/>
  <c r="H32" i="12"/>
  <c r="G32" i="12"/>
  <c r="F32" i="12"/>
  <c r="E32" i="12"/>
  <c r="D32" i="12"/>
  <c r="K32" i="12" s="1"/>
  <c r="C32" i="12"/>
  <c r="K31" i="12"/>
  <c r="J31" i="12"/>
  <c r="C27" i="12"/>
  <c r="M26" i="12"/>
  <c r="L26" i="12"/>
  <c r="G26" i="12"/>
  <c r="F26" i="12"/>
  <c r="E26" i="12"/>
  <c r="D26" i="12"/>
  <c r="C38" i="7" s="1"/>
  <c r="C26" i="12"/>
  <c r="K25" i="12"/>
  <c r="J25" i="12"/>
  <c r="K24" i="12"/>
  <c r="J24" i="12"/>
  <c r="K23" i="12"/>
  <c r="J23" i="12"/>
  <c r="M21" i="12"/>
  <c r="L21" i="12"/>
  <c r="G21" i="12"/>
  <c r="F21" i="12"/>
  <c r="E21" i="12"/>
  <c r="D21" i="12"/>
  <c r="C21" i="12"/>
  <c r="K20" i="12"/>
  <c r="J20" i="12"/>
  <c r="K19" i="12"/>
  <c r="J19" i="12"/>
  <c r="K18" i="12"/>
  <c r="J18" i="12"/>
  <c r="K17" i="12"/>
  <c r="J17" i="12"/>
  <c r="C14" i="12"/>
  <c r="K13" i="12"/>
  <c r="J13" i="12"/>
  <c r="K12" i="12"/>
  <c r="J12" i="12"/>
  <c r="K11" i="12"/>
  <c r="J11" i="12"/>
  <c r="H10" i="12"/>
  <c r="G10" i="12"/>
  <c r="F10" i="12"/>
  <c r="E10" i="12"/>
  <c r="C10" i="12"/>
  <c r="M9" i="12"/>
  <c r="L9" i="12"/>
  <c r="I9" i="12"/>
  <c r="H9" i="12"/>
  <c r="F9" i="12"/>
  <c r="E9" i="12"/>
  <c r="E8" i="14" s="1"/>
  <c r="E10" i="14" s="1"/>
  <c r="C9" i="12"/>
  <c r="C8" i="12"/>
  <c r="M3" i="12"/>
  <c r="L3" i="12"/>
  <c r="K3" i="12"/>
  <c r="J3" i="12"/>
  <c r="I3" i="12"/>
  <c r="H3" i="12"/>
  <c r="G3" i="12"/>
  <c r="F3" i="12"/>
  <c r="E3" i="12"/>
  <c r="D3" i="12"/>
  <c r="C3" i="12"/>
  <c r="M2" i="12"/>
  <c r="L2" i="12"/>
  <c r="C2" i="12"/>
  <c r="B2" i="12"/>
  <c r="A2" i="12"/>
  <c r="A1" i="12"/>
  <c r="A367" i="48"/>
  <c r="C363" i="48"/>
  <c r="J362" i="48"/>
  <c r="K362" i="48" s="1"/>
  <c r="K361" i="48"/>
  <c r="J361" i="48"/>
  <c r="J360" i="48"/>
  <c r="K360" i="48" s="1"/>
  <c r="K359" i="48"/>
  <c r="J359" i="48"/>
  <c r="J358" i="48"/>
  <c r="K358" i="48" s="1"/>
  <c r="K357" i="48"/>
  <c r="J357" i="48"/>
  <c r="J356" i="48"/>
  <c r="K356" i="48" s="1"/>
  <c r="K355" i="48"/>
  <c r="J355" i="48"/>
  <c r="J354" i="48"/>
  <c r="K354" i="48" s="1"/>
  <c r="K353" i="48"/>
  <c r="J353" i="48"/>
  <c r="M352" i="48"/>
  <c r="L352" i="48"/>
  <c r="I352" i="48"/>
  <c r="H352" i="48"/>
  <c r="G352" i="48"/>
  <c r="F352" i="48"/>
  <c r="E352" i="48"/>
  <c r="D352" i="48"/>
  <c r="C352" i="48"/>
  <c r="J351" i="48"/>
  <c r="K351" i="48" s="1"/>
  <c r="K350" i="48"/>
  <c r="J350" i="48"/>
  <c r="J349" i="48"/>
  <c r="K349" i="48" s="1"/>
  <c r="K348" i="48"/>
  <c r="J348" i="48"/>
  <c r="J347" i="48"/>
  <c r="K347" i="48" s="1"/>
  <c r="K346" i="48"/>
  <c r="J346" i="48"/>
  <c r="J345" i="48"/>
  <c r="K345" i="48" s="1"/>
  <c r="K344" i="48"/>
  <c r="J344" i="48"/>
  <c r="J343" i="48"/>
  <c r="K343" i="48" s="1"/>
  <c r="K342" i="48"/>
  <c r="J342" i="48"/>
  <c r="A342" i="48"/>
  <c r="M341" i="48"/>
  <c r="L341" i="48"/>
  <c r="I341" i="48"/>
  <c r="H341" i="48"/>
  <c r="G341" i="48"/>
  <c r="F341" i="48"/>
  <c r="J341" i="48" s="1"/>
  <c r="E341" i="48"/>
  <c r="D341" i="48"/>
  <c r="C341" i="48"/>
  <c r="J340" i="48"/>
  <c r="K340" i="48" s="1"/>
  <c r="K339" i="48"/>
  <c r="J339" i="48"/>
  <c r="J338" i="48"/>
  <c r="K338" i="48" s="1"/>
  <c r="K337" i="48"/>
  <c r="J337" i="48"/>
  <c r="J336" i="48"/>
  <c r="K336" i="48" s="1"/>
  <c r="K335" i="48"/>
  <c r="J335" i="48"/>
  <c r="J334" i="48"/>
  <c r="K334" i="48" s="1"/>
  <c r="K333" i="48"/>
  <c r="J333" i="48"/>
  <c r="J332" i="48"/>
  <c r="K332" i="48" s="1"/>
  <c r="K331" i="48"/>
  <c r="J331" i="48"/>
  <c r="M330" i="48"/>
  <c r="L330" i="48"/>
  <c r="I330" i="48"/>
  <c r="H330" i="48"/>
  <c r="G330" i="48"/>
  <c r="F330" i="48"/>
  <c r="E330" i="48"/>
  <c r="D330" i="48"/>
  <c r="C330" i="48"/>
  <c r="J329" i="48"/>
  <c r="K329" i="48" s="1"/>
  <c r="K328" i="48"/>
  <c r="J328" i="48"/>
  <c r="J327" i="48"/>
  <c r="K327" i="48" s="1"/>
  <c r="K326" i="48"/>
  <c r="J326" i="48"/>
  <c r="J325" i="48"/>
  <c r="K325" i="48" s="1"/>
  <c r="K324" i="48"/>
  <c r="J324" i="48"/>
  <c r="J323" i="48"/>
  <c r="K323" i="48" s="1"/>
  <c r="K322" i="48"/>
  <c r="J322" i="48"/>
  <c r="J321" i="48"/>
  <c r="K321" i="48" s="1"/>
  <c r="K320" i="48"/>
  <c r="J320" i="48"/>
  <c r="M319" i="48"/>
  <c r="L319" i="48"/>
  <c r="I319" i="48"/>
  <c r="H319" i="48"/>
  <c r="G319" i="48"/>
  <c r="F319" i="48"/>
  <c r="J319" i="48" s="1"/>
  <c r="E319" i="48"/>
  <c r="D319" i="48"/>
  <c r="C319" i="48"/>
  <c r="J318" i="48"/>
  <c r="K318" i="48" s="1"/>
  <c r="K317" i="48"/>
  <c r="J317" i="48"/>
  <c r="J316" i="48"/>
  <c r="K316" i="48" s="1"/>
  <c r="K315" i="48"/>
  <c r="J315" i="48"/>
  <c r="J314" i="48"/>
  <c r="K314" i="48" s="1"/>
  <c r="K313" i="48"/>
  <c r="J313" i="48"/>
  <c r="J312" i="48"/>
  <c r="K312" i="48" s="1"/>
  <c r="K311" i="48"/>
  <c r="J311" i="48"/>
  <c r="K310" i="48"/>
  <c r="J310" i="48"/>
  <c r="K309" i="48"/>
  <c r="J309" i="48"/>
  <c r="M308" i="48"/>
  <c r="L308" i="48"/>
  <c r="I308" i="48"/>
  <c r="H308" i="48"/>
  <c r="G308" i="48"/>
  <c r="F308" i="48"/>
  <c r="E308" i="48"/>
  <c r="J308" i="48" s="1"/>
  <c r="D308" i="48"/>
  <c r="C308" i="48"/>
  <c r="J307" i="48"/>
  <c r="K307" i="48" s="1"/>
  <c r="K306" i="48"/>
  <c r="J306" i="48"/>
  <c r="J305" i="48"/>
  <c r="K305" i="48" s="1"/>
  <c r="J304" i="48"/>
  <c r="K304" i="48" s="1"/>
  <c r="K303" i="48"/>
  <c r="J303" i="48"/>
  <c r="J302" i="48"/>
  <c r="K302" i="48" s="1"/>
  <c r="J301" i="48"/>
  <c r="K301" i="48" s="1"/>
  <c r="J300" i="48"/>
  <c r="K300" i="48" s="1"/>
  <c r="J299" i="48"/>
  <c r="K299" i="48" s="1"/>
  <c r="J298" i="48"/>
  <c r="K298" i="48" s="1"/>
  <c r="M297" i="48"/>
  <c r="L297" i="48"/>
  <c r="I297" i="48"/>
  <c r="I35" i="11" s="1"/>
  <c r="H297" i="48"/>
  <c r="G297" i="48"/>
  <c r="F297" i="48"/>
  <c r="E297" i="48"/>
  <c r="D297" i="48"/>
  <c r="C297" i="48"/>
  <c r="K296" i="48"/>
  <c r="J296" i="48"/>
  <c r="J295" i="48"/>
  <c r="K295" i="48" s="1"/>
  <c r="K294" i="48"/>
  <c r="J294" i="48"/>
  <c r="A294" i="48"/>
  <c r="J293" i="48"/>
  <c r="K293" i="48" s="1"/>
  <c r="J292" i="48"/>
  <c r="K292" i="48" s="1"/>
  <c r="J291" i="48"/>
  <c r="K291" i="48" s="1"/>
  <c r="J290" i="48"/>
  <c r="K290" i="48" s="1"/>
  <c r="J289" i="48"/>
  <c r="K289" i="48" s="1"/>
  <c r="K288" i="48"/>
  <c r="J288" i="48"/>
  <c r="J287" i="48"/>
  <c r="K287" i="48" s="1"/>
  <c r="M286" i="48"/>
  <c r="L286" i="48"/>
  <c r="I286" i="48"/>
  <c r="H286" i="48"/>
  <c r="G286" i="48"/>
  <c r="F286" i="48"/>
  <c r="E286" i="48"/>
  <c r="D286" i="48"/>
  <c r="C286" i="48"/>
  <c r="J285" i="48"/>
  <c r="K285" i="48" s="1"/>
  <c r="K280" i="48"/>
  <c r="J280" i="48"/>
  <c r="K279" i="48"/>
  <c r="J279" i="48"/>
  <c r="K278" i="48"/>
  <c r="J278" i="48"/>
  <c r="K277" i="48"/>
  <c r="J277" i="48"/>
  <c r="J276" i="48"/>
  <c r="K276" i="48" s="1"/>
  <c r="J275" i="48"/>
  <c r="K275" i="48" s="1"/>
  <c r="J274" i="48"/>
  <c r="K274" i="48" s="1"/>
  <c r="J273" i="48"/>
  <c r="K273" i="48" s="1"/>
  <c r="J272" i="48"/>
  <c r="K272" i="48" s="1"/>
  <c r="M271" i="48"/>
  <c r="L271" i="48"/>
  <c r="I271" i="48"/>
  <c r="H271" i="48"/>
  <c r="G271" i="48"/>
  <c r="F271" i="48"/>
  <c r="E271" i="48"/>
  <c r="D271" i="48"/>
  <c r="C271" i="48"/>
  <c r="J270" i="48"/>
  <c r="K270" i="48" s="1"/>
  <c r="K263" i="48"/>
  <c r="J263" i="48"/>
  <c r="K262" i="48"/>
  <c r="J262" i="48"/>
  <c r="K261" i="48"/>
  <c r="J261" i="48"/>
  <c r="K260" i="48"/>
  <c r="J260" i="48"/>
  <c r="K259" i="48"/>
  <c r="J259" i="48"/>
  <c r="K258" i="48"/>
  <c r="J258" i="48"/>
  <c r="K257" i="48"/>
  <c r="J257" i="48"/>
  <c r="J256" i="48"/>
  <c r="K256" i="48" s="1"/>
  <c r="J255" i="48"/>
  <c r="K255" i="48" s="1"/>
  <c r="M254" i="48"/>
  <c r="L254" i="48"/>
  <c r="I254" i="48"/>
  <c r="I32" i="11" s="1"/>
  <c r="H254" i="48"/>
  <c r="G254" i="48"/>
  <c r="F254" i="48"/>
  <c r="E254" i="48"/>
  <c r="D254" i="48"/>
  <c r="C254" i="48"/>
  <c r="J253" i="48"/>
  <c r="K253" i="48" s="1"/>
  <c r="K252" i="48"/>
  <c r="J252" i="48"/>
  <c r="J249" i="48"/>
  <c r="K249" i="48" s="1"/>
  <c r="J248" i="48"/>
  <c r="K248" i="48" s="1"/>
  <c r="J247" i="48"/>
  <c r="K247" i="48" s="1"/>
  <c r="J246" i="48"/>
  <c r="K246" i="48" s="1"/>
  <c r="J245" i="48"/>
  <c r="K245" i="48" s="1"/>
  <c r="J244" i="48"/>
  <c r="K244" i="48" s="1"/>
  <c r="J243" i="48"/>
  <c r="K243" i="48" s="1"/>
  <c r="J242" i="48"/>
  <c r="K242" i="48" s="1"/>
  <c r="M241" i="48"/>
  <c r="L241" i="48"/>
  <c r="I241" i="48"/>
  <c r="H241" i="48"/>
  <c r="G241" i="48"/>
  <c r="F241" i="48"/>
  <c r="E241" i="48"/>
  <c r="D241" i="48"/>
  <c r="C241" i="48"/>
  <c r="K240" i="48"/>
  <c r="J240" i="48"/>
  <c r="J230" i="48"/>
  <c r="K230" i="48" s="1"/>
  <c r="J229" i="48"/>
  <c r="K229" i="48" s="1"/>
  <c r="J228" i="48"/>
  <c r="K228" i="48" s="1"/>
  <c r="J227" i="48"/>
  <c r="K227" i="48" s="1"/>
  <c r="J226" i="48"/>
  <c r="K226" i="48" s="1"/>
  <c r="J225" i="48"/>
  <c r="K225" i="48" s="1"/>
  <c r="J224" i="48"/>
  <c r="K224" i="48" s="1"/>
  <c r="J223" i="48"/>
  <c r="K223" i="48" s="1"/>
  <c r="K222" i="48"/>
  <c r="J222" i="48"/>
  <c r="M221" i="48"/>
  <c r="L221" i="48"/>
  <c r="I221" i="48"/>
  <c r="I30" i="11" s="1"/>
  <c r="H221" i="48"/>
  <c r="G221" i="48"/>
  <c r="F221" i="48"/>
  <c r="E221" i="48"/>
  <c r="D221" i="48"/>
  <c r="C221" i="48"/>
  <c r="J220" i="48"/>
  <c r="K220" i="48" s="1"/>
  <c r="K219" i="48"/>
  <c r="J219" i="48"/>
  <c r="J218" i="48"/>
  <c r="K218" i="48" s="1"/>
  <c r="K217" i="48"/>
  <c r="J217" i="48"/>
  <c r="J216" i="48"/>
  <c r="K216" i="48" s="1"/>
  <c r="K215" i="48"/>
  <c r="J215" i="48"/>
  <c r="K214" i="48"/>
  <c r="J214" i="48"/>
  <c r="K213" i="48"/>
  <c r="J213" i="48"/>
  <c r="K212" i="48"/>
  <c r="J212" i="48"/>
  <c r="J211" i="48"/>
  <c r="K211" i="48" s="1"/>
  <c r="M210" i="48"/>
  <c r="L210" i="48"/>
  <c r="I210" i="48"/>
  <c r="H210" i="48"/>
  <c r="G210" i="48"/>
  <c r="F210" i="48"/>
  <c r="E210" i="48"/>
  <c r="D210" i="48"/>
  <c r="C210" i="48"/>
  <c r="J209" i="48"/>
  <c r="K209" i="48" s="1"/>
  <c r="K208" i="48"/>
  <c r="J208" i="48"/>
  <c r="J207" i="48"/>
  <c r="K207" i="48" s="1"/>
  <c r="J206" i="48"/>
  <c r="K206" i="48" s="1"/>
  <c r="J205" i="48"/>
  <c r="K205" i="48" s="1"/>
  <c r="J204" i="48"/>
  <c r="K204" i="48" s="1"/>
  <c r="J203" i="48"/>
  <c r="K203" i="48" s="1"/>
  <c r="K202" i="48"/>
  <c r="J202" i="48"/>
  <c r="J201" i="48"/>
  <c r="K201" i="48" s="1"/>
  <c r="J200" i="48"/>
  <c r="K200" i="48" s="1"/>
  <c r="M199" i="48"/>
  <c r="L199" i="48"/>
  <c r="I199" i="48"/>
  <c r="H199" i="48"/>
  <c r="H28" i="11" s="1"/>
  <c r="G199" i="48"/>
  <c r="F199" i="48"/>
  <c r="E199" i="48"/>
  <c r="D199" i="48"/>
  <c r="C199" i="48"/>
  <c r="J198" i="48"/>
  <c r="K198" i="48" s="1"/>
  <c r="K197" i="48"/>
  <c r="J197" i="48"/>
  <c r="J196" i="48"/>
  <c r="K196" i="48" s="1"/>
  <c r="K195" i="48"/>
  <c r="J195" i="48"/>
  <c r="J194" i="48"/>
  <c r="K194" i="48" s="1"/>
  <c r="K193" i="48"/>
  <c r="J193" i="48"/>
  <c r="J192" i="48"/>
  <c r="K192" i="48" s="1"/>
  <c r="J191" i="48"/>
  <c r="K191" i="48" s="1"/>
  <c r="J190" i="48"/>
  <c r="K190" i="48" s="1"/>
  <c r="J189" i="48"/>
  <c r="K189" i="48" s="1"/>
  <c r="M188" i="48"/>
  <c r="L188" i="48"/>
  <c r="I188" i="48"/>
  <c r="H188" i="48"/>
  <c r="G188" i="48"/>
  <c r="F188" i="48"/>
  <c r="J188" i="48" s="1"/>
  <c r="E188" i="48"/>
  <c r="D188" i="48"/>
  <c r="C188" i="48"/>
  <c r="J187" i="48"/>
  <c r="K187" i="48" s="1"/>
  <c r="K186" i="48"/>
  <c r="J186" i="48"/>
  <c r="J185" i="48"/>
  <c r="K185" i="48" s="1"/>
  <c r="J184" i="48"/>
  <c r="K184" i="48" s="1"/>
  <c r="J183" i="48"/>
  <c r="K183" i="48" s="1"/>
  <c r="J182" i="48"/>
  <c r="K182" i="48" s="1"/>
  <c r="J181" i="48"/>
  <c r="K181" i="48" s="1"/>
  <c r="J180" i="48"/>
  <c r="K180" i="48" s="1"/>
  <c r="J179" i="48"/>
  <c r="K179" i="48" s="1"/>
  <c r="J178" i="48"/>
  <c r="K178" i="48" s="1"/>
  <c r="M177" i="48"/>
  <c r="L177" i="48"/>
  <c r="L363" i="48" s="1"/>
  <c r="I177" i="48"/>
  <c r="I26" i="11" s="1"/>
  <c r="H177" i="48"/>
  <c r="G177" i="48"/>
  <c r="G363" i="48" s="1"/>
  <c r="F177" i="48"/>
  <c r="F363" i="48" s="1"/>
  <c r="E177" i="48"/>
  <c r="D177" i="48"/>
  <c r="C177" i="48"/>
  <c r="J172" i="48"/>
  <c r="K172" i="48" s="1"/>
  <c r="A172" i="48"/>
  <c r="J171" i="48"/>
  <c r="K171" i="48" s="1"/>
  <c r="A171" i="48"/>
  <c r="J170" i="48"/>
  <c r="K170" i="48" s="1"/>
  <c r="A170" i="48"/>
  <c r="K169" i="48"/>
  <c r="J169" i="48"/>
  <c r="A169" i="48"/>
  <c r="J168" i="48"/>
  <c r="K168" i="48" s="1"/>
  <c r="A168" i="48"/>
  <c r="K167" i="48"/>
  <c r="J167" i="48"/>
  <c r="A167" i="48"/>
  <c r="J166" i="48"/>
  <c r="K166" i="48" s="1"/>
  <c r="A166" i="48"/>
  <c r="K165" i="48"/>
  <c r="J165" i="48"/>
  <c r="A165" i="48"/>
  <c r="J164" i="48"/>
  <c r="K164" i="48" s="1"/>
  <c r="A164" i="48"/>
  <c r="K163" i="48"/>
  <c r="J163" i="48"/>
  <c r="A163" i="48"/>
  <c r="M162" i="48"/>
  <c r="L162" i="48"/>
  <c r="I162" i="48"/>
  <c r="H162" i="48"/>
  <c r="G162" i="48"/>
  <c r="F162" i="48"/>
  <c r="J162" i="48" s="1"/>
  <c r="E162" i="48"/>
  <c r="D162" i="48"/>
  <c r="C162" i="48"/>
  <c r="A162" i="48"/>
  <c r="J161" i="48"/>
  <c r="K161" i="48" s="1"/>
  <c r="A161" i="48"/>
  <c r="K160" i="48"/>
  <c r="J160" i="48"/>
  <c r="A160" i="48"/>
  <c r="J159" i="48"/>
  <c r="K159" i="48" s="1"/>
  <c r="A159" i="48"/>
  <c r="K158" i="48"/>
  <c r="J158" i="48"/>
  <c r="A158" i="48"/>
  <c r="J157" i="48"/>
  <c r="K157" i="48" s="1"/>
  <c r="A157" i="48"/>
  <c r="K156" i="48"/>
  <c r="J156" i="48"/>
  <c r="A156" i="48"/>
  <c r="J155" i="48"/>
  <c r="K155" i="48" s="1"/>
  <c r="A155" i="48"/>
  <c r="K154" i="48"/>
  <c r="J154" i="48"/>
  <c r="A154" i="48"/>
  <c r="J153" i="48"/>
  <c r="K153" i="48" s="1"/>
  <c r="A153" i="48"/>
  <c r="K152" i="48"/>
  <c r="J152" i="48"/>
  <c r="A152" i="48"/>
  <c r="M151" i="48"/>
  <c r="L151" i="48"/>
  <c r="I151" i="48"/>
  <c r="H151" i="48"/>
  <c r="G151" i="48"/>
  <c r="F151" i="48"/>
  <c r="J151" i="48" s="1"/>
  <c r="E151" i="48"/>
  <c r="D151" i="48"/>
  <c r="C151" i="48"/>
  <c r="A151" i="48"/>
  <c r="J150" i="48"/>
  <c r="K150" i="48" s="1"/>
  <c r="A150" i="48"/>
  <c r="K149" i="48"/>
  <c r="J149" i="48"/>
  <c r="A149" i="48"/>
  <c r="J148" i="48"/>
  <c r="K148" i="48" s="1"/>
  <c r="A148" i="48"/>
  <c r="K147" i="48"/>
  <c r="J147" i="48"/>
  <c r="A147" i="48"/>
  <c r="J146" i="48"/>
  <c r="K146" i="48" s="1"/>
  <c r="A146" i="48"/>
  <c r="K145" i="48"/>
  <c r="J145" i="48"/>
  <c r="A145" i="48"/>
  <c r="J144" i="48"/>
  <c r="K144" i="48" s="1"/>
  <c r="A144" i="48"/>
  <c r="K143" i="48"/>
  <c r="J143" i="48"/>
  <c r="A143" i="48"/>
  <c r="J142" i="48"/>
  <c r="K142" i="48" s="1"/>
  <c r="A142" i="48"/>
  <c r="K141" i="48"/>
  <c r="J141" i="48"/>
  <c r="A141" i="48"/>
  <c r="M140" i="48"/>
  <c r="L140" i="48"/>
  <c r="I140" i="48"/>
  <c r="H140" i="48"/>
  <c r="G140" i="48"/>
  <c r="F140" i="48"/>
  <c r="J140" i="48" s="1"/>
  <c r="E140" i="48"/>
  <c r="D140" i="48"/>
  <c r="C140" i="48"/>
  <c r="A140" i="48"/>
  <c r="J139" i="48"/>
  <c r="K139" i="48" s="1"/>
  <c r="A139" i="48"/>
  <c r="K138" i="48"/>
  <c r="J138" i="48"/>
  <c r="A138" i="48"/>
  <c r="J137" i="48"/>
  <c r="K137" i="48" s="1"/>
  <c r="A137" i="48"/>
  <c r="K136" i="48"/>
  <c r="J136" i="48"/>
  <c r="A136" i="48"/>
  <c r="J135" i="48"/>
  <c r="K135" i="48" s="1"/>
  <c r="A135" i="48"/>
  <c r="K134" i="48"/>
  <c r="J134" i="48"/>
  <c r="A134" i="48"/>
  <c r="J133" i="48"/>
  <c r="K133" i="48" s="1"/>
  <c r="A133" i="48"/>
  <c r="K132" i="48"/>
  <c r="J132" i="48"/>
  <c r="A132" i="48"/>
  <c r="J131" i="48"/>
  <c r="K131" i="48" s="1"/>
  <c r="A131" i="48"/>
  <c r="K130" i="48"/>
  <c r="J130" i="48"/>
  <c r="A130" i="48"/>
  <c r="M129" i="48"/>
  <c r="L129" i="48"/>
  <c r="I129" i="48"/>
  <c r="H129" i="48"/>
  <c r="G129" i="48"/>
  <c r="F129" i="48"/>
  <c r="E129" i="48"/>
  <c r="D129" i="48"/>
  <c r="C129" i="48"/>
  <c r="A129" i="48"/>
  <c r="J128" i="48"/>
  <c r="K128" i="48" s="1"/>
  <c r="A128" i="48"/>
  <c r="K127" i="48"/>
  <c r="J127" i="48"/>
  <c r="A127" i="48"/>
  <c r="J126" i="48"/>
  <c r="K126" i="48" s="1"/>
  <c r="A126" i="48"/>
  <c r="K125" i="48"/>
  <c r="J125" i="48"/>
  <c r="A125" i="48"/>
  <c r="J124" i="48"/>
  <c r="K124" i="48" s="1"/>
  <c r="A124" i="48"/>
  <c r="K123" i="48"/>
  <c r="J123" i="48"/>
  <c r="A123" i="48"/>
  <c r="J122" i="48"/>
  <c r="K122" i="48" s="1"/>
  <c r="A122" i="48"/>
  <c r="K121" i="48"/>
  <c r="J121" i="48"/>
  <c r="A121" i="48"/>
  <c r="J120" i="48"/>
  <c r="K120" i="48" s="1"/>
  <c r="A120" i="48"/>
  <c r="K119" i="48"/>
  <c r="J119" i="48"/>
  <c r="A119" i="48"/>
  <c r="M118" i="48"/>
  <c r="L118" i="48"/>
  <c r="I118" i="48"/>
  <c r="H118" i="48"/>
  <c r="G118" i="48"/>
  <c r="F118" i="48"/>
  <c r="J118" i="48" s="1"/>
  <c r="E118" i="48"/>
  <c r="D118" i="48"/>
  <c r="C118" i="48"/>
  <c r="A118" i="48"/>
  <c r="J117" i="48"/>
  <c r="K117" i="48" s="1"/>
  <c r="A117" i="48"/>
  <c r="K116" i="48"/>
  <c r="J116" i="48"/>
  <c r="A116" i="48"/>
  <c r="J115" i="48"/>
  <c r="K115" i="48" s="1"/>
  <c r="A115" i="48"/>
  <c r="K114" i="48"/>
  <c r="J114" i="48"/>
  <c r="A114" i="48"/>
  <c r="J113" i="48"/>
  <c r="K113" i="48" s="1"/>
  <c r="A113" i="48"/>
  <c r="K112" i="48"/>
  <c r="J112" i="48"/>
  <c r="A112" i="48"/>
  <c r="J111" i="48"/>
  <c r="K111" i="48" s="1"/>
  <c r="A111" i="48"/>
  <c r="K110" i="48"/>
  <c r="J110" i="48"/>
  <c r="A110" i="48"/>
  <c r="J109" i="48"/>
  <c r="K109" i="48" s="1"/>
  <c r="A109" i="48"/>
  <c r="K108" i="48"/>
  <c r="J108" i="48"/>
  <c r="A108" i="48"/>
  <c r="M107" i="48"/>
  <c r="L107" i="48"/>
  <c r="I107" i="48"/>
  <c r="H107" i="48"/>
  <c r="G107" i="48"/>
  <c r="F107" i="48"/>
  <c r="E107" i="48"/>
  <c r="D107" i="48"/>
  <c r="C107" i="48"/>
  <c r="A107" i="48"/>
  <c r="J106" i="48"/>
  <c r="K106" i="48" s="1"/>
  <c r="A106" i="48"/>
  <c r="K105" i="48"/>
  <c r="J105" i="48"/>
  <c r="A105" i="48"/>
  <c r="J104" i="48"/>
  <c r="K104" i="48" s="1"/>
  <c r="A104" i="48"/>
  <c r="K103" i="48"/>
  <c r="J103" i="48"/>
  <c r="A103" i="48"/>
  <c r="J102" i="48"/>
  <c r="K102" i="48" s="1"/>
  <c r="A102" i="48"/>
  <c r="K101" i="48"/>
  <c r="J101" i="48"/>
  <c r="A101" i="48"/>
  <c r="J100" i="48"/>
  <c r="K100" i="48" s="1"/>
  <c r="A100" i="48"/>
  <c r="K99" i="48"/>
  <c r="J99" i="48"/>
  <c r="A99" i="48"/>
  <c r="J98" i="48"/>
  <c r="K98" i="48" s="1"/>
  <c r="A98" i="48"/>
  <c r="K97" i="48"/>
  <c r="J97" i="48"/>
  <c r="A97" i="48"/>
  <c r="M96" i="48"/>
  <c r="L96" i="48"/>
  <c r="I96" i="48"/>
  <c r="H96" i="48"/>
  <c r="G96" i="48"/>
  <c r="F96" i="48"/>
  <c r="J96" i="48" s="1"/>
  <c r="E96" i="48"/>
  <c r="D96" i="48"/>
  <c r="C96" i="48"/>
  <c r="A96" i="48"/>
  <c r="J95" i="48"/>
  <c r="K95" i="48" s="1"/>
  <c r="A95" i="48"/>
  <c r="K94" i="48"/>
  <c r="J94" i="48"/>
  <c r="A94" i="48"/>
  <c r="J93" i="48"/>
  <c r="K93" i="48" s="1"/>
  <c r="A93" i="48"/>
  <c r="K92" i="48"/>
  <c r="J92" i="48"/>
  <c r="A92" i="48"/>
  <c r="J91" i="48"/>
  <c r="K91" i="48" s="1"/>
  <c r="A91" i="48"/>
  <c r="K90" i="48"/>
  <c r="J90" i="48"/>
  <c r="A90" i="48"/>
  <c r="J89" i="48"/>
  <c r="K89" i="48" s="1"/>
  <c r="A89" i="48"/>
  <c r="K88" i="48"/>
  <c r="J88" i="48"/>
  <c r="A88" i="48"/>
  <c r="J87" i="48"/>
  <c r="K87" i="48" s="1"/>
  <c r="A87" i="48"/>
  <c r="K86" i="48"/>
  <c r="J86" i="48"/>
  <c r="A86" i="48"/>
  <c r="M85" i="48"/>
  <c r="L85" i="48"/>
  <c r="I85" i="48"/>
  <c r="H85" i="48"/>
  <c r="G85" i="48"/>
  <c r="F85" i="48"/>
  <c r="E85" i="48"/>
  <c r="D85" i="48"/>
  <c r="C85" i="48"/>
  <c r="A85" i="48"/>
  <c r="J84" i="48"/>
  <c r="K84" i="48" s="1"/>
  <c r="A84" i="48"/>
  <c r="K83" i="48"/>
  <c r="J83" i="48"/>
  <c r="A83" i="48"/>
  <c r="J82" i="48"/>
  <c r="K82" i="48" s="1"/>
  <c r="A82" i="48"/>
  <c r="K81" i="48"/>
  <c r="J81" i="48"/>
  <c r="A81" i="48"/>
  <c r="J80" i="48"/>
  <c r="K80" i="48" s="1"/>
  <c r="A80" i="48"/>
  <c r="K79" i="48"/>
  <c r="J79" i="48"/>
  <c r="A79" i="48"/>
  <c r="J78" i="48"/>
  <c r="K78" i="48" s="1"/>
  <c r="A78" i="48"/>
  <c r="K77" i="48"/>
  <c r="J77" i="48"/>
  <c r="A77" i="48"/>
  <c r="J76" i="48"/>
  <c r="K76" i="48" s="1"/>
  <c r="A76" i="48"/>
  <c r="K75" i="48"/>
  <c r="J75" i="48"/>
  <c r="A75" i="48"/>
  <c r="M74" i="48"/>
  <c r="L74" i="48"/>
  <c r="I74" i="48"/>
  <c r="H74" i="48"/>
  <c r="G74" i="48"/>
  <c r="F74" i="48"/>
  <c r="J74" i="48" s="1"/>
  <c r="E74" i="48"/>
  <c r="D74" i="48"/>
  <c r="C74" i="48"/>
  <c r="A74" i="48"/>
  <c r="J73" i="48"/>
  <c r="K73" i="48" s="1"/>
  <c r="A73" i="48"/>
  <c r="K72" i="48"/>
  <c r="J72" i="48"/>
  <c r="A72" i="48"/>
  <c r="J71" i="48"/>
  <c r="K71" i="48" s="1"/>
  <c r="A71" i="48"/>
  <c r="K70" i="48"/>
  <c r="J70" i="48"/>
  <c r="A70" i="48"/>
  <c r="J69" i="48"/>
  <c r="K69" i="48" s="1"/>
  <c r="A69" i="48"/>
  <c r="K68" i="48"/>
  <c r="J68" i="48"/>
  <c r="A68" i="48"/>
  <c r="J67" i="48"/>
  <c r="K67" i="48" s="1"/>
  <c r="A67" i="48"/>
  <c r="K66" i="48"/>
  <c r="J66" i="48"/>
  <c r="A66" i="48"/>
  <c r="J65" i="48"/>
  <c r="K65" i="48" s="1"/>
  <c r="A65" i="48"/>
  <c r="K64" i="48"/>
  <c r="J64" i="48"/>
  <c r="A64" i="48"/>
  <c r="M63" i="48"/>
  <c r="L63" i="48"/>
  <c r="I63" i="48"/>
  <c r="H63" i="48"/>
  <c r="G63" i="48"/>
  <c r="F63" i="48"/>
  <c r="J63" i="48" s="1"/>
  <c r="E63" i="48"/>
  <c r="D63" i="48"/>
  <c r="C63" i="48"/>
  <c r="A63" i="48"/>
  <c r="J62" i="48"/>
  <c r="K62" i="48" s="1"/>
  <c r="A62" i="48"/>
  <c r="K61" i="48"/>
  <c r="J61" i="48"/>
  <c r="A61" i="48"/>
  <c r="J60" i="48"/>
  <c r="K60" i="48" s="1"/>
  <c r="A60" i="48"/>
  <c r="K59" i="48"/>
  <c r="J59" i="48"/>
  <c r="A59" i="48"/>
  <c r="J58" i="48"/>
  <c r="K58" i="48" s="1"/>
  <c r="A58" i="48"/>
  <c r="K57" i="48"/>
  <c r="J57" i="48"/>
  <c r="A57" i="48"/>
  <c r="J56" i="48"/>
  <c r="K56" i="48" s="1"/>
  <c r="A56" i="48"/>
  <c r="K55" i="48"/>
  <c r="J55" i="48"/>
  <c r="A55" i="48"/>
  <c r="J54" i="48"/>
  <c r="K54" i="48" s="1"/>
  <c r="A54" i="48"/>
  <c r="K53" i="48"/>
  <c r="J53" i="48"/>
  <c r="A53" i="48"/>
  <c r="M52" i="48"/>
  <c r="L52" i="48"/>
  <c r="I52" i="48"/>
  <c r="H52" i="48"/>
  <c r="G52" i="48"/>
  <c r="F52" i="48"/>
  <c r="J52" i="48" s="1"/>
  <c r="E52" i="48"/>
  <c r="D52" i="48"/>
  <c r="C52" i="48"/>
  <c r="A52" i="48"/>
  <c r="J51" i="48"/>
  <c r="K51" i="48" s="1"/>
  <c r="A51" i="48"/>
  <c r="K50" i="48"/>
  <c r="J50" i="48"/>
  <c r="A50" i="48"/>
  <c r="J49" i="48"/>
  <c r="K49" i="48" s="1"/>
  <c r="A49" i="48"/>
  <c r="K48" i="48"/>
  <c r="J48" i="48"/>
  <c r="A48" i="48"/>
  <c r="J47" i="48"/>
  <c r="K47" i="48" s="1"/>
  <c r="A47" i="48"/>
  <c r="K46" i="48"/>
  <c r="J46" i="48"/>
  <c r="A46" i="48"/>
  <c r="J45" i="48"/>
  <c r="K45" i="48" s="1"/>
  <c r="A45" i="48"/>
  <c r="K44" i="48"/>
  <c r="J44" i="48"/>
  <c r="A44" i="48"/>
  <c r="J43" i="48"/>
  <c r="K43" i="48" s="1"/>
  <c r="A43" i="48"/>
  <c r="K42" i="48"/>
  <c r="J42" i="48"/>
  <c r="A42" i="48"/>
  <c r="M41" i="48"/>
  <c r="L41" i="48"/>
  <c r="I41" i="48"/>
  <c r="H41" i="48"/>
  <c r="G41" i="48"/>
  <c r="F41" i="48"/>
  <c r="J41" i="48" s="1"/>
  <c r="E41" i="48"/>
  <c r="D41" i="48"/>
  <c r="C41" i="48"/>
  <c r="A41" i="48"/>
  <c r="J40" i="48"/>
  <c r="K40" i="48" s="1"/>
  <c r="A40" i="48"/>
  <c r="K39" i="48"/>
  <c r="J39" i="48"/>
  <c r="A39" i="48"/>
  <c r="J38" i="48"/>
  <c r="K38" i="48" s="1"/>
  <c r="A38" i="48"/>
  <c r="K37" i="48"/>
  <c r="J37" i="48"/>
  <c r="A37" i="48"/>
  <c r="J36" i="48"/>
  <c r="K36" i="48" s="1"/>
  <c r="A36" i="48"/>
  <c r="K35" i="48"/>
  <c r="J35" i="48"/>
  <c r="A35" i="48"/>
  <c r="J34" i="48"/>
  <c r="K34" i="48" s="1"/>
  <c r="A34" i="48"/>
  <c r="K33" i="48"/>
  <c r="J33" i="48"/>
  <c r="A33" i="48"/>
  <c r="J32" i="48"/>
  <c r="K32" i="48" s="1"/>
  <c r="A32" i="48"/>
  <c r="K31" i="48"/>
  <c r="J31" i="48"/>
  <c r="A31" i="48"/>
  <c r="M30" i="48"/>
  <c r="L30" i="48"/>
  <c r="I30" i="48"/>
  <c r="H30" i="48"/>
  <c r="G30" i="48"/>
  <c r="F30" i="48"/>
  <c r="J30" i="48" s="1"/>
  <c r="E30" i="48"/>
  <c r="D30" i="48"/>
  <c r="C30" i="48"/>
  <c r="A30" i="48"/>
  <c r="J29" i="48"/>
  <c r="K29" i="48" s="1"/>
  <c r="A29" i="48"/>
  <c r="K28" i="48"/>
  <c r="J28" i="48"/>
  <c r="A28" i="48"/>
  <c r="J27" i="48"/>
  <c r="K27" i="48" s="1"/>
  <c r="A27" i="48"/>
  <c r="K26" i="48"/>
  <c r="J26" i="48"/>
  <c r="A26" i="48"/>
  <c r="J25" i="48"/>
  <c r="K25" i="48" s="1"/>
  <c r="A25" i="48"/>
  <c r="K24" i="48"/>
  <c r="J24" i="48"/>
  <c r="A24" i="48"/>
  <c r="J23" i="48"/>
  <c r="K23" i="48" s="1"/>
  <c r="A23" i="48"/>
  <c r="K22" i="48"/>
  <c r="J22" i="48"/>
  <c r="A22" i="48"/>
  <c r="J21" i="48"/>
  <c r="K21" i="48" s="1"/>
  <c r="A21" i="48"/>
  <c r="K20" i="48"/>
  <c r="J20" i="48"/>
  <c r="A20" i="48"/>
  <c r="M19" i="48"/>
  <c r="L19" i="48"/>
  <c r="I19" i="48"/>
  <c r="H19" i="48"/>
  <c r="G19" i="48"/>
  <c r="F19" i="48"/>
  <c r="J19" i="48" s="1"/>
  <c r="E19" i="48"/>
  <c r="D19" i="48"/>
  <c r="C19" i="48"/>
  <c r="A19" i="48"/>
  <c r="J18" i="48"/>
  <c r="K18" i="48" s="1"/>
  <c r="A18" i="48"/>
  <c r="K17" i="48"/>
  <c r="J17" i="48"/>
  <c r="A17" i="48"/>
  <c r="J16" i="48"/>
  <c r="K16" i="48" s="1"/>
  <c r="A16" i="48"/>
  <c r="K15" i="48"/>
  <c r="J15" i="48"/>
  <c r="A15" i="48"/>
  <c r="J14" i="48"/>
  <c r="K14" i="48" s="1"/>
  <c r="A14" i="48"/>
  <c r="K13" i="48"/>
  <c r="J13" i="48"/>
  <c r="A13" i="48"/>
  <c r="J12" i="48"/>
  <c r="K12" i="48" s="1"/>
  <c r="A12" i="48"/>
  <c r="K11" i="48"/>
  <c r="J11" i="48"/>
  <c r="A11" i="48"/>
  <c r="J10" i="48"/>
  <c r="K10" i="48" s="1"/>
  <c r="A10" i="48"/>
  <c r="K9" i="48"/>
  <c r="J9" i="48"/>
  <c r="A9" i="48"/>
  <c r="M8" i="48"/>
  <c r="M173" i="48" s="1"/>
  <c r="L8" i="48"/>
  <c r="L173" i="48" s="1"/>
  <c r="I8" i="48"/>
  <c r="I173" i="48" s="1"/>
  <c r="H8" i="48"/>
  <c r="H173" i="48" s="1"/>
  <c r="G8" i="48"/>
  <c r="G173" i="48" s="1"/>
  <c r="F8" i="48"/>
  <c r="F173" i="48" s="1"/>
  <c r="E8" i="48"/>
  <c r="E173" i="48" s="1"/>
  <c r="D8" i="48"/>
  <c r="D173" i="48" s="1"/>
  <c r="C8" i="48"/>
  <c r="C173" i="48" s="1"/>
  <c r="A8" i="48"/>
  <c r="M3" i="48"/>
  <c r="L3" i="48"/>
  <c r="K3" i="48"/>
  <c r="J3" i="48"/>
  <c r="I3" i="48"/>
  <c r="H3" i="48"/>
  <c r="G3" i="48"/>
  <c r="F3" i="48"/>
  <c r="E3" i="48"/>
  <c r="D3" i="48"/>
  <c r="C3" i="48"/>
  <c r="M2" i="48"/>
  <c r="L2" i="48"/>
  <c r="C2" i="48"/>
  <c r="B2" i="48"/>
  <c r="A2" i="48"/>
  <c r="A1" i="48"/>
  <c r="L91" i="11"/>
  <c r="A77" i="11"/>
  <c r="M76" i="11"/>
  <c r="L76" i="11"/>
  <c r="J75" i="11"/>
  <c r="K75" i="11" s="1"/>
  <c r="C75" i="11"/>
  <c r="J74" i="11"/>
  <c r="K74" i="11" s="1"/>
  <c r="M72" i="11"/>
  <c r="L72" i="11"/>
  <c r="G72" i="11"/>
  <c r="G76" i="11" s="1"/>
  <c r="F72" i="11"/>
  <c r="F76" i="11" s="1"/>
  <c r="E72" i="11"/>
  <c r="E76" i="11" s="1"/>
  <c r="E91" i="11" s="1"/>
  <c r="D72" i="11"/>
  <c r="D76" i="11" s="1"/>
  <c r="C72" i="11"/>
  <c r="F9" i="20" s="1"/>
  <c r="G13" i="22" s="1"/>
  <c r="K71" i="11"/>
  <c r="J71" i="11"/>
  <c r="A71" i="11"/>
  <c r="K70" i="11"/>
  <c r="J70" i="11"/>
  <c r="K69" i="11"/>
  <c r="J69" i="11"/>
  <c r="M65" i="11"/>
  <c r="L65" i="11"/>
  <c r="F65" i="11"/>
  <c r="E65" i="11"/>
  <c r="C65" i="11"/>
  <c r="K64" i="11"/>
  <c r="J64" i="11"/>
  <c r="J63" i="11"/>
  <c r="K63" i="11" s="1"/>
  <c r="O24" i="33" s="1"/>
  <c r="N24" i="33" s="1"/>
  <c r="J62" i="11"/>
  <c r="K62" i="11" s="1"/>
  <c r="O23" i="33" s="1"/>
  <c r="N23" i="33" s="1"/>
  <c r="J61" i="11"/>
  <c r="K61" i="11" s="1"/>
  <c r="O22" i="33" s="1"/>
  <c r="N22" i="33" s="1"/>
  <c r="J60" i="11"/>
  <c r="M59" i="11"/>
  <c r="L59" i="11"/>
  <c r="I59" i="11"/>
  <c r="H59" i="11"/>
  <c r="G59" i="11"/>
  <c r="F59" i="11"/>
  <c r="E59" i="11"/>
  <c r="D59" i="11"/>
  <c r="C59" i="11"/>
  <c r="K58" i="11"/>
  <c r="J58" i="11"/>
  <c r="J57" i="11"/>
  <c r="J56" i="11"/>
  <c r="K56" i="11" s="1"/>
  <c r="O17" i="33" s="1"/>
  <c r="N17" i="33" s="1"/>
  <c r="M55" i="11"/>
  <c r="L55" i="11"/>
  <c r="I55" i="11"/>
  <c r="H55" i="11"/>
  <c r="G55" i="11"/>
  <c r="F55" i="11"/>
  <c r="E55" i="11"/>
  <c r="D55" i="11"/>
  <c r="C55" i="11"/>
  <c r="K54" i="11"/>
  <c r="J54" i="11"/>
  <c r="K53" i="11"/>
  <c r="J53" i="11"/>
  <c r="K52" i="11"/>
  <c r="J52" i="11"/>
  <c r="J51" i="11"/>
  <c r="K51" i="11" s="1"/>
  <c r="O12" i="33" s="1"/>
  <c r="N12" i="33" s="1"/>
  <c r="J50" i="11"/>
  <c r="K50" i="11" s="1"/>
  <c r="O11" i="33" s="1"/>
  <c r="N11" i="33" s="1"/>
  <c r="M49" i="11"/>
  <c r="L49" i="11"/>
  <c r="I49" i="11"/>
  <c r="H49" i="11"/>
  <c r="G49" i="11"/>
  <c r="F49" i="11"/>
  <c r="E49" i="11"/>
  <c r="D49" i="11"/>
  <c r="C49" i="11"/>
  <c r="K48" i="11"/>
  <c r="O9" i="33" s="1"/>
  <c r="N9" i="33" s="1"/>
  <c r="J48" i="11"/>
  <c r="J47" i="11"/>
  <c r="J45" i="11" s="1"/>
  <c r="K46" i="11"/>
  <c r="O7" i="33" s="1"/>
  <c r="N7" i="33" s="1"/>
  <c r="J46" i="11"/>
  <c r="M45" i="11"/>
  <c r="L45" i="11"/>
  <c r="I45" i="11"/>
  <c r="H45" i="11"/>
  <c r="G45" i="11"/>
  <c r="F45" i="11"/>
  <c r="E45" i="11"/>
  <c r="D45" i="11"/>
  <c r="C45" i="11"/>
  <c r="M40" i="11"/>
  <c r="R38" i="32" s="1"/>
  <c r="L40" i="11"/>
  <c r="Q38" i="32" s="1"/>
  <c r="I40" i="11"/>
  <c r="H40" i="11"/>
  <c r="G40" i="11"/>
  <c r="F40" i="11"/>
  <c r="J40" i="11" s="1"/>
  <c r="E40" i="11"/>
  <c r="D40" i="11"/>
  <c r="C40" i="11"/>
  <c r="M39" i="11"/>
  <c r="R37" i="32" s="1"/>
  <c r="L39" i="11"/>
  <c r="Q37" i="32" s="1"/>
  <c r="I39" i="11"/>
  <c r="H39" i="11"/>
  <c r="G39" i="11"/>
  <c r="F39" i="11"/>
  <c r="J39" i="11" s="1"/>
  <c r="E39" i="11"/>
  <c r="D39" i="11"/>
  <c r="C39" i="11"/>
  <c r="M38" i="11"/>
  <c r="R36" i="32" s="1"/>
  <c r="L38" i="11"/>
  <c r="Q36" i="32" s="1"/>
  <c r="I38" i="11"/>
  <c r="H38" i="11"/>
  <c r="G38" i="11"/>
  <c r="F38" i="11"/>
  <c r="J38" i="11" s="1"/>
  <c r="E38" i="11"/>
  <c r="D38" i="11"/>
  <c r="K38" i="11" s="1"/>
  <c r="P36" i="32" s="1"/>
  <c r="N36" i="32" s="1"/>
  <c r="C38" i="11"/>
  <c r="M37" i="11"/>
  <c r="R35" i="32" s="1"/>
  <c r="L37" i="11"/>
  <c r="Q35" i="32" s="1"/>
  <c r="I37" i="11"/>
  <c r="H37" i="11"/>
  <c r="G37" i="11"/>
  <c r="F37" i="11"/>
  <c r="J37" i="11" s="1"/>
  <c r="E37" i="11"/>
  <c r="D37" i="11"/>
  <c r="K37" i="11" s="1"/>
  <c r="P35" i="32" s="1"/>
  <c r="N35" i="32" s="1"/>
  <c r="C37" i="11"/>
  <c r="M36" i="11"/>
  <c r="R34" i="32" s="1"/>
  <c r="L36" i="11"/>
  <c r="Q34" i="32" s="1"/>
  <c r="I36" i="11"/>
  <c r="H36" i="11"/>
  <c r="G36" i="11"/>
  <c r="F36" i="11"/>
  <c r="J36" i="11" s="1"/>
  <c r="E36" i="11"/>
  <c r="D36" i="11"/>
  <c r="C36" i="11"/>
  <c r="A36" i="11"/>
  <c r="M35" i="11"/>
  <c r="R33" i="32" s="1"/>
  <c r="L35" i="11"/>
  <c r="Q33" i="32" s="1"/>
  <c r="G35" i="11"/>
  <c r="F35" i="11"/>
  <c r="E35" i="11"/>
  <c r="D35" i="11"/>
  <c r="C35" i="11"/>
  <c r="A35" i="11"/>
  <c r="M34" i="11"/>
  <c r="R32" i="32" s="1"/>
  <c r="L34" i="11"/>
  <c r="Q32" i="32" s="1"/>
  <c r="I34" i="11"/>
  <c r="H34" i="11"/>
  <c r="G34" i="11"/>
  <c r="F34" i="11"/>
  <c r="E34" i="11"/>
  <c r="D34" i="11"/>
  <c r="C34" i="11"/>
  <c r="A34" i="11"/>
  <c r="M33" i="11"/>
  <c r="R31" i="32" s="1"/>
  <c r="L33" i="11"/>
  <c r="Q31" i="32" s="1"/>
  <c r="I33" i="11"/>
  <c r="H33" i="11"/>
  <c r="G33" i="11"/>
  <c r="F33" i="11"/>
  <c r="E33" i="11"/>
  <c r="D33" i="11"/>
  <c r="C33" i="11"/>
  <c r="A33" i="11"/>
  <c r="M32" i="11"/>
  <c r="R30" i="32" s="1"/>
  <c r="L32" i="11"/>
  <c r="Q30" i="32" s="1"/>
  <c r="H32" i="11"/>
  <c r="G32" i="11"/>
  <c r="F32" i="11"/>
  <c r="E32" i="11"/>
  <c r="D32" i="11"/>
  <c r="C32" i="11"/>
  <c r="A32" i="11"/>
  <c r="M31" i="11"/>
  <c r="R29" i="32" s="1"/>
  <c r="L31" i="11"/>
  <c r="Q29" i="32" s="1"/>
  <c r="I31" i="11"/>
  <c r="H31" i="11"/>
  <c r="G31" i="11"/>
  <c r="F31" i="11"/>
  <c r="E31" i="11"/>
  <c r="C31" i="11"/>
  <c r="A31" i="11"/>
  <c r="M30" i="11"/>
  <c r="R28" i="32" s="1"/>
  <c r="L30" i="11"/>
  <c r="Q28" i="32" s="1"/>
  <c r="H30" i="11"/>
  <c r="G30" i="11"/>
  <c r="F30" i="11"/>
  <c r="E30" i="11"/>
  <c r="C30" i="11"/>
  <c r="A30" i="11"/>
  <c r="M29" i="11"/>
  <c r="R27" i="32" s="1"/>
  <c r="L29" i="11"/>
  <c r="Q27" i="32" s="1"/>
  <c r="I29" i="11"/>
  <c r="H29" i="11"/>
  <c r="G29" i="11"/>
  <c r="F29" i="11"/>
  <c r="E29" i="11"/>
  <c r="D29" i="11"/>
  <c r="C29" i="11"/>
  <c r="C41" i="11" s="1"/>
  <c r="M28" i="11"/>
  <c r="R26" i="32" s="1"/>
  <c r="L28" i="11"/>
  <c r="Q26" i="32" s="1"/>
  <c r="I28" i="11"/>
  <c r="G28" i="11"/>
  <c r="F28" i="11"/>
  <c r="E28" i="11"/>
  <c r="D28" i="11"/>
  <c r="C28" i="11"/>
  <c r="M27" i="11"/>
  <c r="R25" i="32" s="1"/>
  <c r="L27" i="11"/>
  <c r="Q25" i="32" s="1"/>
  <c r="I27" i="11"/>
  <c r="H27" i="11"/>
  <c r="G27" i="11"/>
  <c r="F27" i="11"/>
  <c r="J27" i="11" s="1"/>
  <c r="E27" i="11"/>
  <c r="D27" i="11"/>
  <c r="C27" i="11"/>
  <c r="M26" i="11"/>
  <c r="R24" i="32" s="1"/>
  <c r="L26" i="11"/>
  <c r="Q24" i="32" s="1"/>
  <c r="Q39" i="32" s="1"/>
  <c r="H26" i="11"/>
  <c r="G26" i="11"/>
  <c r="G41" i="11" s="1"/>
  <c r="G42" i="11" s="1"/>
  <c r="F29" i="7" s="1"/>
  <c r="F26" i="11"/>
  <c r="F41" i="11" s="1"/>
  <c r="E26" i="11"/>
  <c r="E41" i="11" s="1"/>
  <c r="D26" i="11"/>
  <c r="C26" i="11"/>
  <c r="A26" i="11"/>
  <c r="L23" i="11"/>
  <c r="H23" i="11"/>
  <c r="D23" i="11"/>
  <c r="M22" i="11"/>
  <c r="R20" i="32" s="1"/>
  <c r="L22" i="11"/>
  <c r="Q20" i="32" s="1"/>
  <c r="I22" i="11"/>
  <c r="H22" i="11"/>
  <c r="G22" i="11"/>
  <c r="F22" i="11"/>
  <c r="E22" i="11"/>
  <c r="J22" i="11" s="1"/>
  <c r="D22" i="11"/>
  <c r="C22" i="11"/>
  <c r="A22" i="11"/>
  <c r="A20" i="32" s="1"/>
  <c r="A38" i="32" s="1"/>
  <c r="M21" i="11"/>
  <c r="R19" i="32" s="1"/>
  <c r="L21" i="11"/>
  <c r="Q19" i="32" s="1"/>
  <c r="I21" i="11"/>
  <c r="H21" i="11"/>
  <c r="G21" i="11"/>
  <c r="F21" i="11"/>
  <c r="E21" i="11"/>
  <c r="J21" i="11" s="1"/>
  <c r="D21" i="11"/>
  <c r="C21" i="11"/>
  <c r="K21" i="11" s="1"/>
  <c r="P19" i="32" s="1"/>
  <c r="N19" i="32" s="1"/>
  <c r="A21" i="11"/>
  <c r="A19" i="32" s="1"/>
  <c r="A37" i="32" s="1"/>
  <c r="M20" i="11"/>
  <c r="R18" i="32" s="1"/>
  <c r="L20" i="11"/>
  <c r="Q18" i="32" s="1"/>
  <c r="I20" i="11"/>
  <c r="H20" i="11"/>
  <c r="G20" i="11"/>
  <c r="F20" i="11"/>
  <c r="E20" i="11"/>
  <c r="J20" i="11" s="1"/>
  <c r="D20" i="11"/>
  <c r="C20" i="11"/>
  <c r="A20" i="11"/>
  <c r="A18" i="32" s="1"/>
  <c r="A36" i="32" s="1"/>
  <c r="M19" i="11"/>
  <c r="R17" i="32" s="1"/>
  <c r="L19" i="11"/>
  <c r="Q17" i="32" s="1"/>
  <c r="I19" i="11"/>
  <c r="H19" i="11"/>
  <c r="G19" i="11"/>
  <c r="F19" i="11"/>
  <c r="E19" i="11"/>
  <c r="J19" i="11" s="1"/>
  <c r="D19" i="11"/>
  <c r="C19" i="11"/>
  <c r="K19" i="11" s="1"/>
  <c r="P17" i="32" s="1"/>
  <c r="N17" i="32" s="1"/>
  <c r="A19" i="11"/>
  <c r="A17" i="32" s="1"/>
  <c r="A35" i="32" s="1"/>
  <c r="M18" i="11"/>
  <c r="R16" i="32" s="1"/>
  <c r="L18" i="11"/>
  <c r="Q16" i="32" s="1"/>
  <c r="I18" i="11"/>
  <c r="H18" i="11"/>
  <c r="G18" i="11"/>
  <c r="F18" i="11"/>
  <c r="E18" i="11"/>
  <c r="J18" i="11" s="1"/>
  <c r="D18" i="11"/>
  <c r="C18" i="11"/>
  <c r="A18" i="11"/>
  <c r="A16" i="32" s="1"/>
  <c r="A34" i="32" s="1"/>
  <c r="M17" i="11"/>
  <c r="R15" i="32" s="1"/>
  <c r="L17" i="11"/>
  <c r="Q15" i="32" s="1"/>
  <c r="I17" i="11"/>
  <c r="H17" i="11"/>
  <c r="G17" i="11"/>
  <c r="F17" i="11"/>
  <c r="E17" i="11"/>
  <c r="J17" i="11" s="1"/>
  <c r="D17" i="11"/>
  <c r="C17" i="11"/>
  <c r="K17" i="11" s="1"/>
  <c r="P15" i="32" s="1"/>
  <c r="N15" i="32" s="1"/>
  <c r="A17" i="11"/>
  <c r="A15" i="32" s="1"/>
  <c r="A33" i="32" s="1"/>
  <c r="M16" i="11"/>
  <c r="R14" i="32" s="1"/>
  <c r="L16" i="11"/>
  <c r="Q14" i="32" s="1"/>
  <c r="I16" i="11"/>
  <c r="H16" i="11"/>
  <c r="G16" i="11"/>
  <c r="F16" i="11"/>
  <c r="E16" i="11"/>
  <c r="J16" i="11" s="1"/>
  <c r="D16" i="11"/>
  <c r="C16" i="11"/>
  <c r="A16" i="11"/>
  <c r="A14" i="32" s="1"/>
  <c r="A32" i="32" s="1"/>
  <c r="M15" i="11"/>
  <c r="R13" i="32" s="1"/>
  <c r="L15" i="11"/>
  <c r="Q13" i="32" s="1"/>
  <c r="I15" i="11"/>
  <c r="H15" i="11"/>
  <c r="G15" i="11"/>
  <c r="F15" i="11"/>
  <c r="E15" i="11"/>
  <c r="J15" i="11" s="1"/>
  <c r="D15" i="11"/>
  <c r="C15" i="11"/>
  <c r="K15" i="11" s="1"/>
  <c r="P13" i="32" s="1"/>
  <c r="N13" i="32" s="1"/>
  <c r="A15" i="11"/>
  <c r="A13" i="32" s="1"/>
  <c r="A31" i="32" s="1"/>
  <c r="M14" i="11"/>
  <c r="R12" i="32" s="1"/>
  <c r="L14" i="11"/>
  <c r="Q12" i="32" s="1"/>
  <c r="I14" i="11"/>
  <c r="H14" i="11"/>
  <c r="G14" i="11"/>
  <c r="F14" i="11"/>
  <c r="E14" i="11"/>
  <c r="J14" i="11" s="1"/>
  <c r="D14" i="11"/>
  <c r="C14" i="11"/>
  <c r="A14" i="11"/>
  <c r="A12" i="32" s="1"/>
  <c r="A30" i="32" s="1"/>
  <c r="M13" i="11"/>
  <c r="R11" i="32" s="1"/>
  <c r="L13" i="11"/>
  <c r="Q11" i="32" s="1"/>
  <c r="I13" i="11"/>
  <c r="H13" i="11"/>
  <c r="G13" i="11"/>
  <c r="F13" i="11"/>
  <c r="E13" i="11"/>
  <c r="J13" i="11" s="1"/>
  <c r="D13" i="11"/>
  <c r="C13" i="11"/>
  <c r="K13" i="11" s="1"/>
  <c r="P11" i="32" s="1"/>
  <c r="N11" i="32" s="1"/>
  <c r="A13" i="11"/>
  <c r="A11" i="32" s="1"/>
  <c r="A29" i="32" s="1"/>
  <c r="M12" i="11"/>
  <c r="R10" i="32" s="1"/>
  <c r="L12" i="11"/>
  <c r="Q10" i="32" s="1"/>
  <c r="I12" i="11"/>
  <c r="H12" i="11"/>
  <c r="G12" i="11"/>
  <c r="F12" i="11"/>
  <c r="E12" i="11"/>
  <c r="J12" i="11" s="1"/>
  <c r="D12" i="11"/>
  <c r="C12" i="11"/>
  <c r="A12" i="11"/>
  <c r="A10" i="32" s="1"/>
  <c r="A28" i="32" s="1"/>
  <c r="M11" i="11"/>
  <c r="R9" i="32" s="1"/>
  <c r="L11" i="11"/>
  <c r="Q9" i="32" s="1"/>
  <c r="I11" i="11"/>
  <c r="H11" i="11"/>
  <c r="G11" i="11"/>
  <c r="F11" i="11"/>
  <c r="E11" i="11"/>
  <c r="J11" i="11" s="1"/>
  <c r="D11" i="11"/>
  <c r="C11" i="11"/>
  <c r="K11" i="11" s="1"/>
  <c r="P9" i="32" s="1"/>
  <c r="N9" i="32" s="1"/>
  <c r="A11" i="11"/>
  <c r="A9" i="32" s="1"/>
  <c r="A27" i="32" s="1"/>
  <c r="M10" i="11"/>
  <c r="R8" i="32" s="1"/>
  <c r="L10" i="11"/>
  <c r="Q8" i="32" s="1"/>
  <c r="I10" i="11"/>
  <c r="H10" i="11"/>
  <c r="G10" i="11"/>
  <c r="F10" i="11"/>
  <c r="E10" i="11"/>
  <c r="J10" i="11" s="1"/>
  <c r="D10" i="11"/>
  <c r="C10" i="11"/>
  <c r="A10" i="11"/>
  <c r="A8" i="32" s="1"/>
  <c r="A26" i="32" s="1"/>
  <c r="M9" i="11"/>
  <c r="R7" i="32" s="1"/>
  <c r="L9" i="11"/>
  <c r="Q7" i="32" s="1"/>
  <c r="I9" i="11"/>
  <c r="H9" i="11"/>
  <c r="G9" i="11"/>
  <c r="F9" i="11"/>
  <c r="E9" i="11"/>
  <c r="J9" i="11" s="1"/>
  <c r="D9" i="11"/>
  <c r="C9" i="11"/>
  <c r="K9" i="11" s="1"/>
  <c r="P7" i="32" s="1"/>
  <c r="A9" i="11"/>
  <c r="A7" i="32" s="1"/>
  <c r="A25" i="32" s="1"/>
  <c r="M8" i="11"/>
  <c r="R6" i="32" s="1"/>
  <c r="R21" i="32" s="1"/>
  <c r="L8" i="11"/>
  <c r="Q6" i="32" s="1"/>
  <c r="Q21" i="32" s="1"/>
  <c r="I8" i="11"/>
  <c r="I23" i="11" s="1"/>
  <c r="H8" i="11"/>
  <c r="G8" i="11"/>
  <c r="G23" i="11" s="1"/>
  <c r="F8" i="11"/>
  <c r="F23" i="11" s="1"/>
  <c r="E8" i="11"/>
  <c r="J8" i="11" s="1"/>
  <c r="J23" i="11" s="1"/>
  <c r="D8" i="11"/>
  <c r="C8" i="11"/>
  <c r="A8" i="11"/>
  <c r="A6" i="32" s="1"/>
  <c r="A24" i="32" s="1"/>
  <c r="M3" i="11"/>
  <c r="L3" i="11"/>
  <c r="K3" i="11"/>
  <c r="J3" i="11"/>
  <c r="I3" i="11"/>
  <c r="H3" i="11"/>
  <c r="G3" i="11"/>
  <c r="F3" i="11"/>
  <c r="E3" i="11"/>
  <c r="D3" i="11"/>
  <c r="C3" i="11"/>
  <c r="M2" i="11"/>
  <c r="L2" i="11"/>
  <c r="C2" i="11"/>
  <c r="B2" i="11"/>
  <c r="A2" i="11"/>
  <c r="A1" i="11"/>
  <c r="M62" i="10"/>
  <c r="L62" i="10"/>
  <c r="G62" i="10"/>
  <c r="F62" i="10"/>
  <c r="E62" i="10"/>
  <c r="C62" i="10"/>
  <c r="A50" i="10"/>
  <c r="M49" i="10"/>
  <c r="L49" i="10"/>
  <c r="K48" i="10"/>
  <c r="J48" i="10"/>
  <c r="M47" i="10"/>
  <c r="L47" i="10"/>
  <c r="K46" i="10"/>
  <c r="J46" i="10"/>
  <c r="M45" i="10"/>
  <c r="L45" i="10"/>
  <c r="K44" i="10"/>
  <c r="J44" i="10"/>
  <c r="M43" i="10"/>
  <c r="L43" i="10"/>
  <c r="K42" i="10"/>
  <c r="J42" i="10"/>
  <c r="K41" i="10"/>
  <c r="P40" i="30" s="1"/>
  <c r="N40" i="30" s="1"/>
  <c r="J41" i="10"/>
  <c r="M39" i="10"/>
  <c r="L39" i="10"/>
  <c r="M37" i="10"/>
  <c r="L37" i="10"/>
  <c r="K36" i="10"/>
  <c r="J36" i="10"/>
  <c r="M35" i="10"/>
  <c r="L35" i="10"/>
  <c r="G35" i="10"/>
  <c r="F35" i="10"/>
  <c r="E35" i="10"/>
  <c r="C35" i="10"/>
  <c r="K34" i="10"/>
  <c r="P33" i="30" s="1"/>
  <c r="N33" i="30" s="1"/>
  <c r="O33" i="30" s="1"/>
  <c r="J34" i="10"/>
  <c r="M33" i="10"/>
  <c r="L33" i="10"/>
  <c r="G33" i="10"/>
  <c r="G37" i="10" s="1"/>
  <c r="G39" i="10" s="1"/>
  <c r="G43" i="10" s="1"/>
  <c r="G45" i="10" s="1"/>
  <c r="G47" i="10" s="1"/>
  <c r="F33" i="10"/>
  <c r="E33" i="10"/>
  <c r="E37" i="10" s="1"/>
  <c r="C33" i="10"/>
  <c r="J32" i="10"/>
  <c r="N41" i="31" s="1"/>
  <c r="O41" i="31" s="1"/>
  <c r="M31" i="10"/>
  <c r="L31" i="10"/>
  <c r="J31" i="10"/>
  <c r="I31" i="10"/>
  <c r="H31" i="10"/>
  <c r="G31" i="10"/>
  <c r="F31" i="10"/>
  <c r="E31" i="10"/>
  <c r="C31" i="10"/>
  <c r="J30" i="10"/>
  <c r="K30" i="10" s="1"/>
  <c r="P29" i="30" s="1"/>
  <c r="N29" i="30" s="1"/>
  <c r="O29" i="30" s="1"/>
  <c r="M29" i="10"/>
  <c r="L29" i="10"/>
  <c r="J29" i="10"/>
  <c r="I29" i="10"/>
  <c r="H29" i="10"/>
  <c r="G29" i="10"/>
  <c r="F29" i="10"/>
  <c r="E29" i="10"/>
  <c r="C29" i="10"/>
  <c r="K28" i="10"/>
  <c r="P27" i="30" s="1"/>
  <c r="N27" i="30" s="1"/>
  <c r="O27" i="30" s="1"/>
  <c r="J28" i="10"/>
  <c r="K27" i="10"/>
  <c r="P26" i="30" s="1"/>
  <c r="N26" i="30" s="1"/>
  <c r="O26" i="30" s="1"/>
  <c r="J27" i="10"/>
  <c r="M26" i="10"/>
  <c r="L26" i="10"/>
  <c r="H26" i="10"/>
  <c r="G26" i="10"/>
  <c r="F26" i="10"/>
  <c r="F37" i="10" s="1"/>
  <c r="E26" i="10"/>
  <c r="M23" i="10"/>
  <c r="L23" i="10"/>
  <c r="G23" i="10"/>
  <c r="F23" i="10"/>
  <c r="E23" i="10"/>
  <c r="C23" i="10"/>
  <c r="K22" i="10"/>
  <c r="J22" i="10"/>
  <c r="M21" i="10"/>
  <c r="L21" i="10"/>
  <c r="J21" i="10"/>
  <c r="I21" i="10"/>
  <c r="H21" i="10"/>
  <c r="G21" i="10"/>
  <c r="F21" i="10"/>
  <c r="E21" i="10"/>
  <c r="D21" i="10"/>
  <c r="K21" i="10" s="1"/>
  <c r="P20" i="30" s="1"/>
  <c r="N20" i="30" s="1"/>
  <c r="O20" i="30" s="1"/>
  <c r="C21" i="10"/>
  <c r="J19" i="10"/>
  <c r="K19" i="10" s="1"/>
  <c r="K18" i="10"/>
  <c r="P17" i="30" s="1"/>
  <c r="N17" i="30" s="1"/>
  <c r="O17" i="30" s="1"/>
  <c r="J18" i="10"/>
  <c r="J17" i="10"/>
  <c r="K17" i="10" s="1"/>
  <c r="K16" i="10"/>
  <c r="P15" i="30" s="1"/>
  <c r="N15" i="30" s="1"/>
  <c r="O15" i="30" s="1"/>
  <c r="J16" i="10"/>
  <c r="K15" i="10"/>
  <c r="J15" i="10"/>
  <c r="K14" i="10"/>
  <c r="P13" i="30" s="1"/>
  <c r="N13" i="30" s="1"/>
  <c r="O13" i="30" s="1"/>
  <c r="J14" i="10"/>
  <c r="K13" i="10"/>
  <c r="P12" i="30" s="1"/>
  <c r="J13" i="10"/>
  <c r="M11" i="10"/>
  <c r="L11" i="10"/>
  <c r="J11" i="10"/>
  <c r="I11" i="10"/>
  <c r="H11" i="10"/>
  <c r="G11" i="10"/>
  <c r="F11" i="10"/>
  <c r="E11" i="10"/>
  <c r="C11" i="10"/>
  <c r="M10" i="10"/>
  <c r="L10" i="10"/>
  <c r="J10" i="10"/>
  <c r="I10" i="10"/>
  <c r="H10" i="10"/>
  <c r="G10" i="10"/>
  <c r="F10" i="10"/>
  <c r="E10" i="10"/>
  <c r="C10" i="10"/>
  <c r="M9" i="10"/>
  <c r="L9" i="10"/>
  <c r="I9" i="10"/>
  <c r="J9" i="10" s="1"/>
  <c r="I8" i="7" s="1"/>
  <c r="H9" i="10"/>
  <c r="G9" i="10"/>
  <c r="F9" i="10"/>
  <c r="E9" i="10"/>
  <c r="C9" i="10"/>
  <c r="M8" i="10"/>
  <c r="L8" i="10"/>
  <c r="J8" i="10"/>
  <c r="I8" i="10"/>
  <c r="H8" i="10"/>
  <c r="G8" i="10"/>
  <c r="F8" i="10"/>
  <c r="E8" i="10"/>
  <c r="C8" i="10"/>
  <c r="M7" i="10"/>
  <c r="L7" i="10"/>
  <c r="J7" i="10"/>
  <c r="I7" i="10"/>
  <c r="H7" i="10"/>
  <c r="G7" i="10"/>
  <c r="F7" i="10"/>
  <c r="E7" i="10"/>
  <c r="D7" i="10"/>
  <c r="C7" i="10"/>
  <c r="M3" i="10"/>
  <c r="L3" i="10"/>
  <c r="K3" i="10"/>
  <c r="J3" i="10"/>
  <c r="I3" i="10"/>
  <c r="H3" i="10"/>
  <c r="G3" i="10"/>
  <c r="F3" i="10"/>
  <c r="E3" i="10"/>
  <c r="D3" i="10"/>
  <c r="C3" i="10"/>
  <c r="M2" i="10"/>
  <c r="L2" i="10"/>
  <c r="C2" i="10"/>
  <c r="B2" i="10"/>
  <c r="A2" i="10"/>
  <c r="A1" i="10"/>
  <c r="A343" i="47"/>
  <c r="A342" i="47"/>
  <c r="J339" i="47"/>
  <c r="K339" i="47" s="1"/>
  <c r="K338" i="47"/>
  <c r="J338" i="47"/>
  <c r="J337" i="47"/>
  <c r="K337" i="47" s="1"/>
  <c r="K336" i="47"/>
  <c r="J336" i="47"/>
  <c r="J335" i="47"/>
  <c r="K335" i="47" s="1"/>
  <c r="K334" i="47"/>
  <c r="J334" i="47"/>
  <c r="J333" i="47"/>
  <c r="K333" i="47" s="1"/>
  <c r="K332" i="47"/>
  <c r="J332" i="47"/>
  <c r="J331" i="47"/>
  <c r="K331" i="47" s="1"/>
  <c r="K330" i="47"/>
  <c r="J330" i="47"/>
  <c r="M329" i="47"/>
  <c r="L329" i="47"/>
  <c r="I329" i="47"/>
  <c r="H329" i="47"/>
  <c r="G329" i="47"/>
  <c r="F329" i="47"/>
  <c r="F39" i="8" s="1"/>
  <c r="E329" i="47"/>
  <c r="D329" i="47"/>
  <c r="C329" i="47"/>
  <c r="A329" i="47"/>
  <c r="A39" i="8" s="1"/>
  <c r="A38" i="28" s="1"/>
  <c r="J328" i="47"/>
  <c r="K328" i="47" s="1"/>
  <c r="K327" i="47"/>
  <c r="J327" i="47"/>
  <c r="J326" i="47"/>
  <c r="K326" i="47" s="1"/>
  <c r="K325" i="47"/>
  <c r="J325" i="47"/>
  <c r="J324" i="47"/>
  <c r="K324" i="47" s="1"/>
  <c r="K323" i="47"/>
  <c r="J323" i="47"/>
  <c r="J322" i="47"/>
  <c r="K322" i="47" s="1"/>
  <c r="K321" i="47"/>
  <c r="J321" i="47"/>
  <c r="J320" i="47"/>
  <c r="K320" i="47" s="1"/>
  <c r="K319" i="47"/>
  <c r="J319" i="47"/>
  <c r="M318" i="47"/>
  <c r="L318" i="47"/>
  <c r="L38" i="8" s="1"/>
  <c r="Q37" i="28" s="1"/>
  <c r="I318" i="47"/>
  <c r="H318" i="47"/>
  <c r="H38" i="8" s="1"/>
  <c r="G318" i="47"/>
  <c r="F318" i="47"/>
  <c r="J318" i="47" s="1"/>
  <c r="E318" i="47"/>
  <c r="D318" i="47"/>
  <c r="C318" i="47"/>
  <c r="J317" i="47"/>
  <c r="K317" i="47" s="1"/>
  <c r="K316" i="47"/>
  <c r="J316" i="47"/>
  <c r="J315" i="47"/>
  <c r="K315" i="47" s="1"/>
  <c r="K314" i="47"/>
  <c r="J314" i="47"/>
  <c r="J313" i="47"/>
  <c r="K313" i="47" s="1"/>
  <c r="K312" i="47"/>
  <c r="J312" i="47"/>
  <c r="J311" i="47"/>
  <c r="K311" i="47" s="1"/>
  <c r="K310" i="47"/>
  <c r="J310" i="47"/>
  <c r="J309" i="47"/>
  <c r="K309" i="47" s="1"/>
  <c r="K308" i="47"/>
  <c r="J308" i="47"/>
  <c r="A308" i="47"/>
  <c r="M307" i="47"/>
  <c r="L307" i="47"/>
  <c r="I307" i="47"/>
  <c r="H307" i="47"/>
  <c r="G307" i="47"/>
  <c r="F307" i="47"/>
  <c r="F37" i="8" s="1"/>
  <c r="E307" i="47"/>
  <c r="D307" i="47"/>
  <c r="C307" i="47"/>
  <c r="J306" i="47"/>
  <c r="K306" i="47" s="1"/>
  <c r="K305" i="47"/>
  <c r="J305" i="47"/>
  <c r="J304" i="47"/>
  <c r="K304" i="47" s="1"/>
  <c r="K303" i="47"/>
  <c r="J303" i="47"/>
  <c r="J302" i="47"/>
  <c r="K302" i="47" s="1"/>
  <c r="K301" i="47"/>
  <c r="J301" i="47"/>
  <c r="J300" i="47"/>
  <c r="K300" i="47" s="1"/>
  <c r="K299" i="47"/>
  <c r="J299" i="47"/>
  <c r="J298" i="47"/>
  <c r="K298" i="47" s="1"/>
  <c r="K297" i="47"/>
  <c r="J297" i="47"/>
  <c r="M296" i="47"/>
  <c r="L296" i="47"/>
  <c r="L36" i="8" s="1"/>
  <c r="Q35" i="28" s="1"/>
  <c r="I296" i="47"/>
  <c r="H296" i="47"/>
  <c r="H36" i="8" s="1"/>
  <c r="G296" i="47"/>
  <c r="F296" i="47"/>
  <c r="E296" i="47"/>
  <c r="D296" i="47"/>
  <c r="C296" i="47"/>
  <c r="A296" i="47"/>
  <c r="J295" i="47"/>
  <c r="K295" i="47" s="1"/>
  <c r="J294" i="47"/>
  <c r="K294" i="47" s="1"/>
  <c r="J293" i="47"/>
  <c r="K293" i="47" s="1"/>
  <c r="J292" i="47"/>
  <c r="K292" i="47" s="1"/>
  <c r="K291" i="47"/>
  <c r="J291" i="47"/>
  <c r="J290" i="47"/>
  <c r="K290" i="47" s="1"/>
  <c r="A290" i="47"/>
  <c r="J289" i="47"/>
  <c r="K289" i="47" s="1"/>
  <c r="J288" i="47"/>
  <c r="K288" i="47" s="1"/>
  <c r="A288" i="47"/>
  <c r="J287" i="47"/>
  <c r="K287" i="47" s="1"/>
  <c r="A287" i="47"/>
  <c r="J286" i="47"/>
  <c r="K286" i="47" s="1"/>
  <c r="A286" i="47"/>
  <c r="M285" i="47"/>
  <c r="L285" i="47"/>
  <c r="I285" i="47"/>
  <c r="I35" i="8" s="1"/>
  <c r="H285" i="47"/>
  <c r="G285" i="47"/>
  <c r="F285" i="47"/>
  <c r="E285" i="47"/>
  <c r="E35" i="8" s="1"/>
  <c r="D285" i="47"/>
  <c r="C285" i="47"/>
  <c r="A285" i="47"/>
  <c r="J284" i="47"/>
  <c r="K284" i="47" s="1"/>
  <c r="J283" i="47"/>
  <c r="K283" i="47" s="1"/>
  <c r="J282" i="47"/>
  <c r="K282" i="47" s="1"/>
  <c r="A282" i="47"/>
  <c r="J281" i="47"/>
  <c r="K281" i="47" s="1"/>
  <c r="A281" i="47"/>
  <c r="K280" i="47"/>
  <c r="J280" i="47"/>
  <c r="A280" i="47"/>
  <c r="J279" i="47"/>
  <c r="K279" i="47" s="1"/>
  <c r="A279" i="47"/>
  <c r="J278" i="47"/>
  <c r="K278" i="47" s="1"/>
  <c r="A278" i="47"/>
  <c r="J277" i="47"/>
  <c r="K277" i="47" s="1"/>
  <c r="A277" i="47"/>
  <c r="J276" i="47"/>
  <c r="K276" i="47" s="1"/>
  <c r="A276" i="47"/>
  <c r="J275" i="47"/>
  <c r="K275" i="47" s="1"/>
  <c r="A275" i="47"/>
  <c r="M274" i="47"/>
  <c r="L274" i="47"/>
  <c r="I274" i="47"/>
  <c r="I34" i="8" s="1"/>
  <c r="H274" i="47"/>
  <c r="H34" i="8" s="1"/>
  <c r="G274" i="47"/>
  <c r="F274" i="47"/>
  <c r="E274" i="47"/>
  <c r="D274" i="47"/>
  <c r="C274" i="47"/>
  <c r="A274" i="47"/>
  <c r="J273" i="47"/>
  <c r="K273" i="47" s="1"/>
  <c r="K272" i="47"/>
  <c r="J272" i="47"/>
  <c r="A272" i="47"/>
  <c r="J271" i="47"/>
  <c r="K271" i="47" s="1"/>
  <c r="J270" i="47"/>
  <c r="K270" i="47" s="1"/>
  <c r="A270" i="47"/>
  <c r="J269" i="47"/>
  <c r="K269" i="47" s="1"/>
  <c r="A269" i="47"/>
  <c r="J268" i="47"/>
  <c r="K268" i="47" s="1"/>
  <c r="A268" i="47"/>
  <c r="J267" i="47"/>
  <c r="K267" i="47" s="1"/>
  <c r="A267" i="47"/>
  <c r="J266" i="47"/>
  <c r="K266" i="47" s="1"/>
  <c r="A266" i="47"/>
  <c r="J265" i="47"/>
  <c r="K265" i="47" s="1"/>
  <c r="A265" i="47"/>
  <c r="J264" i="47"/>
  <c r="K264" i="47" s="1"/>
  <c r="A264" i="47"/>
  <c r="M263" i="47"/>
  <c r="L263" i="47"/>
  <c r="I263" i="47"/>
  <c r="I33" i="8" s="1"/>
  <c r="H263" i="47"/>
  <c r="G263" i="47"/>
  <c r="F263" i="47"/>
  <c r="E263" i="47"/>
  <c r="D263" i="47"/>
  <c r="C263" i="47"/>
  <c r="A263" i="47"/>
  <c r="K262" i="47"/>
  <c r="J262" i="47"/>
  <c r="A262" i="47"/>
  <c r="J261" i="47"/>
  <c r="K261" i="47" s="1"/>
  <c r="A261" i="47"/>
  <c r="J260" i="47"/>
  <c r="K260" i="47" s="1"/>
  <c r="A260" i="47"/>
  <c r="J259" i="47"/>
  <c r="K259" i="47" s="1"/>
  <c r="A259" i="47"/>
  <c r="J258" i="47"/>
  <c r="K258" i="47" s="1"/>
  <c r="A258" i="47"/>
  <c r="K257" i="47"/>
  <c r="J257" i="47"/>
  <c r="A257" i="47"/>
  <c r="J256" i="47"/>
  <c r="K256" i="47" s="1"/>
  <c r="A256" i="47"/>
  <c r="J255" i="47"/>
  <c r="K255" i="47" s="1"/>
  <c r="A255" i="47"/>
  <c r="J254" i="47"/>
  <c r="K254" i="47" s="1"/>
  <c r="A254" i="47"/>
  <c r="J253" i="47"/>
  <c r="K253" i="47" s="1"/>
  <c r="A253" i="47"/>
  <c r="M252" i="47"/>
  <c r="L252" i="47"/>
  <c r="I252" i="47"/>
  <c r="H252" i="47"/>
  <c r="G252" i="47"/>
  <c r="F252" i="47"/>
  <c r="F32" i="8" s="1"/>
  <c r="E252" i="47"/>
  <c r="D252" i="47"/>
  <c r="C252" i="47"/>
  <c r="A252" i="47"/>
  <c r="A32" i="8" s="1"/>
  <c r="A31" i="28" s="1"/>
  <c r="J251" i="47"/>
  <c r="K251" i="47" s="1"/>
  <c r="A251" i="47"/>
  <c r="K250" i="47"/>
  <c r="J250" i="47"/>
  <c r="A250" i="47"/>
  <c r="J249" i="47"/>
  <c r="K249" i="47" s="1"/>
  <c r="A249" i="47"/>
  <c r="J248" i="47"/>
  <c r="K248" i="47" s="1"/>
  <c r="A248" i="47"/>
  <c r="J247" i="47"/>
  <c r="K247" i="47" s="1"/>
  <c r="A247" i="47"/>
  <c r="K246" i="47"/>
  <c r="J246" i="47"/>
  <c r="A246" i="47"/>
  <c r="J245" i="47"/>
  <c r="K245" i="47" s="1"/>
  <c r="A245" i="47"/>
  <c r="J244" i="47"/>
  <c r="K244" i="47" s="1"/>
  <c r="A244" i="47"/>
  <c r="J243" i="47"/>
  <c r="K243" i="47" s="1"/>
  <c r="A243" i="47"/>
  <c r="J242" i="47"/>
  <c r="K242" i="47" s="1"/>
  <c r="A242" i="47"/>
  <c r="M241" i="47"/>
  <c r="L241" i="47"/>
  <c r="I241" i="47"/>
  <c r="H241" i="47"/>
  <c r="G241" i="47"/>
  <c r="F241" i="47"/>
  <c r="E241" i="47"/>
  <c r="D241" i="47"/>
  <c r="C241" i="47"/>
  <c r="A241" i="47"/>
  <c r="J240" i="47"/>
  <c r="K240" i="47" s="1"/>
  <c r="A240" i="47"/>
  <c r="J239" i="47"/>
  <c r="K239" i="47" s="1"/>
  <c r="A239" i="47"/>
  <c r="J238" i="47"/>
  <c r="K238" i="47" s="1"/>
  <c r="A238" i="47"/>
  <c r="K237" i="47"/>
  <c r="J237" i="47"/>
  <c r="A237" i="47"/>
  <c r="J236" i="47"/>
  <c r="K236" i="47" s="1"/>
  <c r="A236" i="47"/>
  <c r="J235" i="47"/>
  <c r="K235" i="47" s="1"/>
  <c r="A235" i="47"/>
  <c r="J234" i="47"/>
  <c r="K234" i="47" s="1"/>
  <c r="A234" i="47"/>
  <c r="J233" i="47"/>
  <c r="K233" i="47" s="1"/>
  <c r="A233" i="47"/>
  <c r="J232" i="47"/>
  <c r="K232" i="47" s="1"/>
  <c r="A232" i="47"/>
  <c r="J231" i="47"/>
  <c r="K231" i="47" s="1"/>
  <c r="A231" i="47"/>
  <c r="M230" i="47"/>
  <c r="L230" i="47"/>
  <c r="I230" i="47"/>
  <c r="H230" i="47"/>
  <c r="G230" i="47"/>
  <c r="F230" i="47"/>
  <c r="E230" i="47"/>
  <c r="E30" i="8" s="1"/>
  <c r="D230" i="47"/>
  <c r="D30" i="8" s="1"/>
  <c r="C230" i="47"/>
  <c r="A230" i="47"/>
  <c r="K229" i="47"/>
  <c r="J229" i="47"/>
  <c r="A229" i="47"/>
  <c r="J228" i="47"/>
  <c r="K228" i="47" s="1"/>
  <c r="A228" i="47"/>
  <c r="J227" i="47"/>
  <c r="K227" i="47" s="1"/>
  <c r="A227" i="47"/>
  <c r="J226" i="47"/>
  <c r="K226" i="47" s="1"/>
  <c r="A226" i="47"/>
  <c r="J225" i="47"/>
  <c r="K225" i="47" s="1"/>
  <c r="A225" i="47"/>
  <c r="J224" i="47"/>
  <c r="K224" i="47" s="1"/>
  <c r="A224" i="47"/>
  <c r="J223" i="47"/>
  <c r="K223" i="47" s="1"/>
  <c r="A223" i="47"/>
  <c r="J222" i="47"/>
  <c r="K222" i="47" s="1"/>
  <c r="A222" i="47"/>
  <c r="J221" i="47"/>
  <c r="K221" i="47" s="1"/>
  <c r="A221" i="47"/>
  <c r="J220" i="47"/>
  <c r="K220" i="47" s="1"/>
  <c r="A220" i="47"/>
  <c r="M219" i="47"/>
  <c r="L219" i="47"/>
  <c r="I219" i="47"/>
  <c r="J219" i="47" s="1"/>
  <c r="H219" i="47"/>
  <c r="G219" i="47"/>
  <c r="F219" i="47"/>
  <c r="E219" i="47"/>
  <c r="D219" i="47"/>
  <c r="C219" i="47"/>
  <c r="A219" i="47"/>
  <c r="K218" i="47"/>
  <c r="J218" i="47"/>
  <c r="J217" i="47"/>
  <c r="K217" i="47" s="1"/>
  <c r="A217" i="47"/>
  <c r="J216" i="47"/>
  <c r="K216" i="47" s="1"/>
  <c r="J215" i="47"/>
  <c r="K215" i="47" s="1"/>
  <c r="J214" i="47"/>
  <c r="K214" i="47" s="1"/>
  <c r="J213" i="47"/>
  <c r="K213" i="47" s="1"/>
  <c r="A213" i="47"/>
  <c r="J212" i="47"/>
  <c r="K212" i="47" s="1"/>
  <c r="A212" i="47"/>
  <c r="K211" i="47"/>
  <c r="J211" i="47"/>
  <c r="A211" i="47"/>
  <c r="J210" i="47"/>
  <c r="K210" i="47" s="1"/>
  <c r="A210" i="47"/>
  <c r="J209" i="47"/>
  <c r="K209" i="47" s="1"/>
  <c r="A209" i="47"/>
  <c r="M208" i="47"/>
  <c r="L208" i="47"/>
  <c r="L28" i="8" s="1"/>
  <c r="Q27" i="28" s="1"/>
  <c r="I208" i="47"/>
  <c r="H208" i="47"/>
  <c r="G208" i="47"/>
  <c r="F208" i="47"/>
  <c r="F28" i="8" s="1"/>
  <c r="E208" i="47"/>
  <c r="D208" i="47"/>
  <c r="C208" i="47"/>
  <c r="A208" i="47"/>
  <c r="A28" i="8" s="1"/>
  <c r="A27" i="28" s="1"/>
  <c r="J207" i="47"/>
  <c r="K207" i="47" s="1"/>
  <c r="J206" i="47"/>
  <c r="K206" i="47" s="1"/>
  <c r="A206" i="47"/>
  <c r="J205" i="47"/>
  <c r="K205" i="47" s="1"/>
  <c r="J204" i="47"/>
  <c r="K204" i="47" s="1"/>
  <c r="A204" i="47"/>
  <c r="J203" i="47"/>
  <c r="K203" i="47" s="1"/>
  <c r="A203" i="47"/>
  <c r="J202" i="47"/>
  <c r="K202" i="47" s="1"/>
  <c r="A202" i="47"/>
  <c r="K201" i="47"/>
  <c r="J201" i="47"/>
  <c r="A201" i="47"/>
  <c r="J200" i="47"/>
  <c r="K200" i="47" s="1"/>
  <c r="A200" i="47"/>
  <c r="J199" i="47"/>
  <c r="K199" i="47" s="1"/>
  <c r="A199" i="47"/>
  <c r="J198" i="47"/>
  <c r="K198" i="47" s="1"/>
  <c r="A198" i="47"/>
  <c r="M197" i="47"/>
  <c r="M27" i="8" s="1"/>
  <c r="R26" i="28" s="1"/>
  <c r="L197" i="47"/>
  <c r="I197" i="47"/>
  <c r="H197" i="47"/>
  <c r="G197" i="47"/>
  <c r="G27" i="8" s="1"/>
  <c r="F197" i="47"/>
  <c r="E197" i="47"/>
  <c r="D197" i="47"/>
  <c r="C197" i="47"/>
  <c r="C27" i="8" s="1"/>
  <c r="J196" i="47"/>
  <c r="K196" i="47" s="1"/>
  <c r="J195" i="47"/>
  <c r="K195" i="47" s="1"/>
  <c r="J194" i="47"/>
  <c r="K194" i="47" s="1"/>
  <c r="J193" i="47"/>
  <c r="K193" i="47" s="1"/>
  <c r="K192" i="47"/>
  <c r="J192" i="47"/>
  <c r="A192" i="47"/>
  <c r="J191" i="47"/>
  <c r="K191" i="47" s="1"/>
  <c r="J190" i="47"/>
  <c r="K190" i="47" s="1"/>
  <c r="A190" i="47"/>
  <c r="J189" i="47"/>
  <c r="K189" i="47" s="1"/>
  <c r="A189" i="47"/>
  <c r="J188" i="47"/>
  <c r="K188" i="47" s="1"/>
  <c r="A188" i="47"/>
  <c r="J187" i="47"/>
  <c r="K187" i="47" s="1"/>
  <c r="A187" i="47"/>
  <c r="M186" i="47"/>
  <c r="L186" i="47"/>
  <c r="I186" i="47"/>
  <c r="H186" i="47"/>
  <c r="G186" i="47"/>
  <c r="F186" i="47"/>
  <c r="E186" i="47"/>
  <c r="D186" i="47"/>
  <c r="C186" i="47"/>
  <c r="K185" i="47"/>
  <c r="J185" i="47"/>
  <c r="A185" i="47"/>
  <c r="J184" i="47"/>
  <c r="K184" i="47" s="1"/>
  <c r="A184" i="47"/>
  <c r="J183" i="47"/>
  <c r="K183" i="47" s="1"/>
  <c r="A183" i="47"/>
  <c r="J182" i="47"/>
  <c r="K182" i="47" s="1"/>
  <c r="A182" i="47"/>
  <c r="J181" i="47"/>
  <c r="K181" i="47" s="1"/>
  <c r="A181" i="47"/>
  <c r="J180" i="47"/>
  <c r="K180" i="47" s="1"/>
  <c r="A180" i="47"/>
  <c r="J179" i="47"/>
  <c r="K179" i="47" s="1"/>
  <c r="A179" i="47"/>
  <c r="J178" i="47"/>
  <c r="K178" i="47" s="1"/>
  <c r="A178" i="47"/>
  <c r="K177" i="47"/>
  <c r="J177" i="47"/>
  <c r="A177" i="47"/>
  <c r="J176" i="47"/>
  <c r="K176" i="47" s="1"/>
  <c r="A176" i="47"/>
  <c r="M175" i="47"/>
  <c r="M340" i="47" s="1"/>
  <c r="L175" i="47"/>
  <c r="I175" i="47"/>
  <c r="H175" i="47"/>
  <c r="G175" i="47"/>
  <c r="F175" i="47"/>
  <c r="E175" i="47"/>
  <c r="D175" i="47"/>
  <c r="C175" i="47"/>
  <c r="J171" i="47"/>
  <c r="K171" i="47" s="1"/>
  <c r="A171" i="47"/>
  <c r="A339" i="47" s="1"/>
  <c r="K170" i="47"/>
  <c r="J170" i="47"/>
  <c r="A170" i="47"/>
  <c r="A338" i="47" s="1"/>
  <c r="J169" i="47"/>
  <c r="K169" i="47" s="1"/>
  <c r="A169" i="47"/>
  <c r="A337" i="47" s="1"/>
  <c r="K168" i="47"/>
  <c r="J168" i="47"/>
  <c r="A168" i="47"/>
  <c r="A336" i="47" s="1"/>
  <c r="J167" i="47"/>
  <c r="K167" i="47" s="1"/>
  <c r="A167" i="47"/>
  <c r="A335" i="47" s="1"/>
  <c r="K166" i="47"/>
  <c r="J166" i="47"/>
  <c r="A166" i="47"/>
  <c r="A334" i="47" s="1"/>
  <c r="J165" i="47"/>
  <c r="K165" i="47" s="1"/>
  <c r="A165" i="47"/>
  <c r="A333" i="47" s="1"/>
  <c r="K164" i="47"/>
  <c r="J164" i="47"/>
  <c r="A164" i="47"/>
  <c r="A332" i="47" s="1"/>
  <c r="J163" i="47"/>
  <c r="K163" i="47" s="1"/>
  <c r="A163" i="47"/>
  <c r="A331" i="47" s="1"/>
  <c r="K162" i="47"/>
  <c r="J162" i="47"/>
  <c r="A162" i="47"/>
  <c r="A330" i="47" s="1"/>
  <c r="M161" i="47"/>
  <c r="L161" i="47"/>
  <c r="I161" i="47"/>
  <c r="H161" i="47"/>
  <c r="G161" i="47"/>
  <c r="F161" i="47"/>
  <c r="J161" i="47" s="1"/>
  <c r="E161" i="47"/>
  <c r="D161" i="47"/>
  <c r="C161" i="47"/>
  <c r="A161" i="47"/>
  <c r="J160" i="47"/>
  <c r="K160" i="47" s="1"/>
  <c r="A160" i="47"/>
  <c r="A328" i="47" s="1"/>
  <c r="K159" i="47"/>
  <c r="J159" i="47"/>
  <c r="A159" i="47"/>
  <c r="A327" i="47" s="1"/>
  <c r="J158" i="47"/>
  <c r="K158" i="47" s="1"/>
  <c r="A158" i="47"/>
  <c r="A326" i="47" s="1"/>
  <c r="K157" i="47"/>
  <c r="J157" i="47"/>
  <c r="A157" i="47"/>
  <c r="A325" i="47" s="1"/>
  <c r="J156" i="47"/>
  <c r="K156" i="47" s="1"/>
  <c r="A156" i="47"/>
  <c r="A324" i="47" s="1"/>
  <c r="K155" i="47"/>
  <c r="J155" i="47"/>
  <c r="A155" i="47"/>
  <c r="A323" i="47" s="1"/>
  <c r="J154" i="47"/>
  <c r="K154" i="47" s="1"/>
  <c r="A154" i="47"/>
  <c r="A322" i="47" s="1"/>
  <c r="K153" i="47"/>
  <c r="J153" i="47"/>
  <c r="A153" i="47"/>
  <c r="A321" i="47" s="1"/>
  <c r="J152" i="47"/>
  <c r="K152" i="47" s="1"/>
  <c r="A152" i="47"/>
  <c r="A320" i="47" s="1"/>
  <c r="K151" i="47"/>
  <c r="J151" i="47"/>
  <c r="A151" i="47"/>
  <c r="A319" i="47" s="1"/>
  <c r="M150" i="47"/>
  <c r="L150" i="47"/>
  <c r="L20" i="8" s="1"/>
  <c r="Q19" i="28" s="1"/>
  <c r="I150" i="47"/>
  <c r="H150" i="47"/>
  <c r="G150" i="47"/>
  <c r="F150" i="47"/>
  <c r="J150" i="47" s="1"/>
  <c r="E150" i="47"/>
  <c r="D150" i="47"/>
  <c r="C150" i="47"/>
  <c r="A150" i="47"/>
  <c r="A318" i="47" s="1"/>
  <c r="A38" i="8" s="1"/>
  <c r="A37" i="28" s="1"/>
  <c r="J149" i="47"/>
  <c r="K149" i="47" s="1"/>
  <c r="A149" i="47"/>
  <c r="A317" i="47" s="1"/>
  <c r="K148" i="47"/>
  <c r="J148" i="47"/>
  <c r="A148" i="47"/>
  <c r="A316" i="47" s="1"/>
  <c r="J147" i="47"/>
  <c r="K147" i="47" s="1"/>
  <c r="A147" i="47"/>
  <c r="A315" i="47" s="1"/>
  <c r="K146" i="47"/>
  <c r="J146" i="47"/>
  <c r="A146" i="47"/>
  <c r="A314" i="47" s="1"/>
  <c r="J145" i="47"/>
  <c r="K145" i="47" s="1"/>
  <c r="A145" i="47"/>
  <c r="A313" i="47" s="1"/>
  <c r="K144" i="47"/>
  <c r="J144" i="47"/>
  <c r="A144" i="47"/>
  <c r="A312" i="47" s="1"/>
  <c r="J143" i="47"/>
  <c r="K143" i="47" s="1"/>
  <c r="A143" i="47"/>
  <c r="A311" i="47" s="1"/>
  <c r="K142" i="47"/>
  <c r="J142" i="47"/>
  <c r="A142" i="47"/>
  <c r="A310" i="47" s="1"/>
  <c r="J141" i="47"/>
  <c r="K141" i="47" s="1"/>
  <c r="A141" i="47"/>
  <c r="A309" i="47" s="1"/>
  <c r="K140" i="47"/>
  <c r="J140" i="47"/>
  <c r="A140" i="47"/>
  <c r="M139" i="47"/>
  <c r="L139" i="47"/>
  <c r="I139" i="47"/>
  <c r="H139" i="47"/>
  <c r="G139" i="47"/>
  <c r="F139" i="47"/>
  <c r="J139" i="47" s="1"/>
  <c r="E139" i="47"/>
  <c r="D139" i="47"/>
  <c r="C139" i="47"/>
  <c r="A139" i="47"/>
  <c r="A307" i="47" s="1"/>
  <c r="A37" i="8" s="1"/>
  <c r="A36" i="28" s="1"/>
  <c r="J138" i="47"/>
  <c r="K138" i="47" s="1"/>
  <c r="A138" i="47"/>
  <c r="A306" i="47" s="1"/>
  <c r="K137" i="47"/>
  <c r="J137" i="47"/>
  <c r="A137" i="47"/>
  <c r="A305" i="47" s="1"/>
  <c r="J136" i="47"/>
  <c r="K136" i="47" s="1"/>
  <c r="A136" i="47"/>
  <c r="A304" i="47" s="1"/>
  <c r="K135" i="47"/>
  <c r="J135" i="47"/>
  <c r="A135" i="47"/>
  <c r="A303" i="47" s="1"/>
  <c r="J134" i="47"/>
  <c r="K134" i="47" s="1"/>
  <c r="A134" i="47"/>
  <c r="A302" i="47" s="1"/>
  <c r="K133" i="47"/>
  <c r="J133" i="47"/>
  <c r="A133" i="47"/>
  <c r="A301" i="47" s="1"/>
  <c r="J132" i="47"/>
  <c r="K132" i="47" s="1"/>
  <c r="A132" i="47"/>
  <c r="A300" i="47" s="1"/>
  <c r="K131" i="47"/>
  <c r="J131" i="47"/>
  <c r="A131" i="47"/>
  <c r="A299" i="47" s="1"/>
  <c r="J130" i="47"/>
  <c r="K130" i="47" s="1"/>
  <c r="A130" i="47"/>
  <c r="A298" i="47" s="1"/>
  <c r="K129" i="47"/>
  <c r="J129" i="47"/>
  <c r="A129" i="47"/>
  <c r="A297" i="47" s="1"/>
  <c r="M128" i="47"/>
  <c r="L128" i="47"/>
  <c r="I128" i="47"/>
  <c r="H128" i="47"/>
  <c r="G128" i="47"/>
  <c r="F128" i="47"/>
  <c r="E128" i="47"/>
  <c r="D128" i="47"/>
  <c r="C128" i="47"/>
  <c r="K127" i="47"/>
  <c r="J127" i="47"/>
  <c r="A127" i="47"/>
  <c r="A295" i="47" s="1"/>
  <c r="J126" i="47"/>
  <c r="K126" i="47" s="1"/>
  <c r="A126" i="47"/>
  <c r="A294" i="47" s="1"/>
  <c r="K125" i="47"/>
  <c r="J125" i="47"/>
  <c r="A125" i="47"/>
  <c r="A293" i="47" s="1"/>
  <c r="J124" i="47"/>
  <c r="K124" i="47" s="1"/>
  <c r="A124" i="47"/>
  <c r="A292" i="47" s="1"/>
  <c r="K123" i="47"/>
  <c r="J123" i="47"/>
  <c r="A123" i="47"/>
  <c r="A291" i="47" s="1"/>
  <c r="J122" i="47"/>
  <c r="K122" i="47" s="1"/>
  <c r="A122" i="47"/>
  <c r="K121" i="47"/>
  <c r="J121" i="47"/>
  <c r="A121" i="47"/>
  <c r="A289" i="47" s="1"/>
  <c r="J120" i="47"/>
  <c r="K120" i="47" s="1"/>
  <c r="J119" i="47"/>
  <c r="K119" i="47" s="1"/>
  <c r="J118" i="47"/>
  <c r="K118" i="47" s="1"/>
  <c r="M117" i="47"/>
  <c r="L117" i="47"/>
  <c r="I117" i="47"/>
  <c r="H117" i="47"/>
  <c r="G117" i="47"/>
  <c r="F117" i="47"/>
  <c r="E117" i="47"/>
  <c r="J117" i="47" s="1"/>
  <c r="D117" i="47"/>
  <c r="D17" i="8" s="1"/>
  <c r="C117" i="47"/>
  <c r="J116" i="47"/>
  <c r="K116" i="47" s="1"/>
  <c r="A116" i="47"/>
  <c r="A284" i="47" s="1"/>
  <c r="K115" i="47"/>
  <c r="J115" i="47"/>
  <c r="A115" i="47"/>
  <c r="A283" i="47" s="1"/>
  <c r="J114" i="47"/>
  <c r="K114" i="47" s="1"/>
  <c r="J113" i="47"/>
  <c r="K113" i="47" s="1"/>
  <c r="J112" i="47"/>
  <c r="K112" i="47" s="1"/>
  <c r="J111" i="47"/>
  <c r="K111" i="47" s="1"/>
  <c r="J110" i="47"/>
  <c r="K110" i="47" s="1"/>
  <c r="J109" i="47"/>
  <c r="K109" i="47" s="1"/>
  <c r="J108" i="47"/>
  <c r="K108" i="47" s="1"/>
  <c r="J107" i="47"/>
  <c r="K107" i="47" s="1"/>
  <c r="M106" i="47"/>
  <c r="L106" i="47"/>
  <c r="I106" i="47"/>
  <c r="H106" i="47"/>
  <c r="G106" i="47"/>
  <c r="F106" i="47"/>
  <c r="F16" i="8" s="1"/>
  <c r="E106" i="47"/>
  <c r="D106" i="47"/>
  <c r="C106" i="47"/>
  <c r="K105" i="47"/>
  <c r="J105" i="47"/>
  <c r="A105" i="47"/>
  <c r="A273" i="47" s="1"/>
  <c r="J104" i="47"/>
  <c r="K104" i="47" s="1"/>
  <c r="A104" i="47"/>
  <c r="K103" i="47"/>
  <c r="J103" i="47"/>
  <c r="A103" i="47"/>
  <c r="A271" i="47" s="1"/>
  <c r="J102" i="47"/>
  <c r="K102" i="47" s="1"/>
  <c r="J101" i="47"/>
  <c r="K101" i="47" s="1"/>
  <c r="J100" i="47"/>
  <c r="K100" i="47" s="1"/>
  <c r="J99" i="47"/>
  <c r="K99" i="47" s="1"/>
  <c r="J97" i="47"/>
  <c r="K97" i="47" s="1"/>
  <c r="J96" i="47"/>
  <c r="K96" i="47" s="1"/>
  <c r="M95" i="47"/>
  <c r="L95" i="47"/>
  <c r="I95" i="47"/>
  <c r="G95" i="47"/>
  <c r="F95" i="47"/>
  <c r="E95" i="47"/>
  <c r="D95" i="47"/>
  <c r="C95" i="47"/>
  <c r="J94" i="47"/>
  <c r="K94" i="47" s="1"/>
  <c r="J93" i="47"/>
  <c r="K93" i="47" s="1"/>
  <c r="K92" i="47"/>
  <c r="J92" i="47"/>
  <c r="K91" i="47"/>
  <c r="J91" i="47"/>
  <c r="K90" i="47"/>
  <c r="J90" i="47"/>
  <c r="K89" i="47"/>
  <c r="J89" i="47"/>
  <c r="K88" i="47"/>
  <c r="J88" i="47"/>
  <c r="K87" i="47"/>
  <c r="J87" i="47"/>
  <c r="K86" i="47"/>
  <c r="J86" i="47"/>
  <c r="K85" i="47"/>
  <c r="J85" i="47"/>
  <c r="M84" i="47"/>
  <c r="M14" i="8" s="1"/>
  <c r="R13" i="28" s="1"/>
  <c r="L84" i="47"/>
  <c r="I84" i="47"/>
  <c r="H84" i="47"/>
  <c r="G84" i="47"/>
  <c r="F84" i="47"/>
  <c r="E84" i="47"/>
  <c r="J84" i="47" s="1"/>
  <c r="K84" i="47" s="1"/>
  <c r="D84" i="47"/>
  <c r="C84" i="47"/>
  <c r="J83" i="47"/>
  <c r="K83" i="47" s="1"/>
  <c r="J82" i="47"/>
  <c r="K82" i="47" s="1"/>
  <c r="J81" i="47"/>
  <c r="K81" i="47" s="1"/>
  <c r="J80" i="47"/>
  <c r="K80" i="47" s="1"/>
  <c r="K79" i="47"/>
  <c r="J79" i="47"/>
  <c r="K78" i="47"/>
  <c r="J78" i="47"/>
  <c r="K77" i="47"/>
  <c r="J77" i="47"/>
  <c r="K76" i="47"/>
  <c r="J76" i="47"/>
  <c r="K75" i="47"/>
  <c r="J75" i="47"/>
  <c r="K74" i="47"/>
  <c r="J74" i="47"/>
  <c r="M73" i="47"/>
  <c r="L73" i="47"/>
  <c r="I73" i="47"/>
  <c r="H73" i="47"/>
  <c r="G73" i="47"/>
  <c r="F73" i="47"/>
  <c r="J73" i="47" s="1"/>
  <c r="K73" i="47" s="1"/>
  <c r="E73" i="47"/>
  <c r="D73" i="47"/>
  <c r="C73" i="47"/>
  <c r="K72" i="47"/>
  <c r="J72" i="47"/>
  <c r="K71" i="47"/>
  <c r="J71" i="47"/>
  <c r="K70" i="47"/>
  <c r="J70" i="47"/>
  <c r="K69" i="47"/>
  <c r="J69" i="47"/>
  <c r="J68" i="47"/>
  <c r="K68" i="47" s="1"/>
  <c r="J67" i="47"/>
  <c r="K67" i="47" s="1"/>
  <c r="J66" i="47"/>
  <c r="K66" i="47" s="1"/>
  <c r="J65" i="47"/>
  <c r="K65" i="47" s="1"/>
  <c r="J64" i="47"/>
  <c r="K64" i="47" s="1"/>
  <c r="J63" i="47"/>
  <c r="K63" i="47" s="1"/>
  <c r="M62" i="47"/>
  <c r="L62" i="47"/>
  <c r="I62" i="47"/>
  <c r="H62" i="47"/>
  <c r="G62" i="47"/>
  <c r="F62" i="47"/>
  <c r="E62" i="47"/>
  <c r="D62" i="47"/>
  <c r="C62" i="47"/>
  <c r="J61" i="47"/>
  <c r="K61" i="47" s="1"/>
  <c r="J60" i="47"/>
  <c r="K60" i="47" s="1"/>
  <c r="J59" i="47"/>
  <c r="K59" i="47" s="1"/>
  <c r="K58" i="47"/>
  <c r="J58" i="47"/>
  <c r="J57" i="47"/>
  <c r="K57" i="47" s="1"/>
  <c r="J56" i="47"/>
  <c r="K56" i="47" s="1"/>
  <c r="J55" i="47"/>
  <c r="K55" i="47" s="1"/>
  <c r="K54" i="47"/>
  <c r="J54" i="47"/>
  <c r="J53" i="47"/>
  <c r="K53" i="47" s="1"/>
  <c r="J52" i="47"/>
  <c r="K52" i="47" s="1"/>
  <c r="M51" i="47"/>
  <c r="L51" i="47"/>
  <c r="I51" i="47"/>
  <c r="H51" i="47"/>
  <c r="G51" i="47"/>
  <c r="F51" i="47"/>
  <c r="E51" i="47"/>
  <c r="D51" i="47"/>
  <c r="D11" i="8" s="1"/>
  <c r="C51" i="47"/>
  <c r="J50" i="47"/>
  <c r="K50" i="47" s="1"/>
  <c r="A50" i="47"/>
  <c r="A218" i="47" s="1"/>
  <c r="J49" i="47"/>
  <c r="K49" i="47" s="1"/>
  <c r="A49" i="47"/>
  <c r="J48" i="47"/>
  <c r="K48" i="47" s="1"/>
  <c r="A48" i="47"/>
  <c r="A216" i="47" s="1"/>
  <c r="K47" i="47"/>
  <c r="J47" i="47"/>
  <c r="A47" i="47"/>
  <c r="A215" i="47" s="1"/>
  <c r="J46" i="47"/>
  <c r="K46" i="47" s="1"/>
  <c r="A46" i="47"/>
  <c r="A214" i="47" s="1"/>
  <c r="J45" i="47"/>
  <c r="K45" i="47" s="1"/>
  <c r="K44" i="47"/>
  <c r="J44" i="47"/>
  <c r="J43" i="47"/>
  <c r="K43" i="47" s="1"/>
  <c r="J42" i="47"/>
  <c r="K42" i="47" s="1"/>
  <c r="J41" i="47"/>
  <c r="K41" i="47" s="1"/>
  <c r="M40" i="47"/>
  <c r="L40" i="47"/>
  <c r="I40" i="47"/>
  <c r="H40" i="47"/>
  <c r="G40" i="47"/>
  <c r="F40" i="47"/>
  <c r="E40" i="47"/>
  <c r="D40" i="47"/>
  <c r="C40" i="47"/>
  <c r="A40" i="47"/>
  <c r="J39" i="47"/>
  <c r="K39" i="47" s="1"/>
  <c r="A39" i="47"/>
  <c r="A207" i="47" s="1"/>
  <c r="J38" i="47"/>
  <c r="K38" i="47" s="1"/>
  <c r="A38" i="47"/>
  <c r="J37" i="47"/>
  <c r="K37" i="47" s="1"/>
  <c r="A37" i="47"/>
  <c r="A205" i="47" s="1"/>
  <c r="J36" i="47"/>
  <c r="K36" i="47" s="1"/>
  <c r="J35" i="47"/>
  <c r="K35" i="47" s="1"/>
  <c r="J34" i="47"/>
  <c r="K34" i="47" s="1"/>
  <c r="K33" i="47"/>
  <c r="J33" i="47"/>
  <c r="J32" i="47"/>
  <c r="K32" i="47" s="1"/>
  <c r="J31" i="47"/>
  <c r="K31" i="47" s="1"/>
  <c r="J30" i="47"/>
  <c r="K30" i="47" s="1"/>
  <c r="M29" i="47"/>
  <c r="L29" i="47"/>
  <c r="I29" i="47"/>
  <c r="H29" i="47"/>
  <c r="G29" i="47"/>
  <c r="F29" i="47"/>
  <c r="E29" i="47"/>
  <c r="D29" i="47"/>
  <c r="C29" i="47"/>
  <c r="A29" i="47"/>
  <c r="A197" i="47" s="1"/>
  <c r="J28" i="47"/>
  <c r="K28" i="47" s="1"/>
  <c r="A28" i="47"/>
  <c r="A196" i="47" s="1"/>
  <c r="J27" i="47"/>
  <c r="K27" i="47" s="1"/>
  <c r="A27" i="47"/>
  <c r="A195" i="47" s="1"/>
  <c r="J26" i="47"/>
  <c r="K26" i="47" s="1"/>
  <c r="A26" i="47"/>
  <c r="A194" i="47" s="1"/>
  <c r="J25" i="47"/>
  <c r="K25" i="47" s="1"/>
  <c r="A25" i="47"/>
  <c r="A193" i="47" s="1"/>
  <c r="J24" i="47"/>
  <c r="K24" i="47" s="1"/>
  <c r="A24" i="47"/>
  <c r="J23" i="47"/>
  <c r="K23" i="47" s="1"/>
  <c r="A23" i="47"/>
  <c r="A191" i="47" s="1"/>
  <c r="J22" i="47"/>
  <c r="K22" i="47" s="1"/>
  <c r="J21" i="47"/>
  <c r="K21" i="47" s="1"/>
  <c r="J20" i="47"/>
  <c r="K20" i="47" s="1"/>
  <c r="J19" i="47"/>
  <c r="K19" i="47" s="1"/>
  <c r="M18" i="47"/>
  <c r="L18" i="47"/>
  <c r="I18" i="47"/>
  <c r="H18" i="47"/>
  <c r="G18" i="47"/>
  <c r="G8" i="8" s="1"/>
  <c r="F18" i="47"/>
  <c r="E18" i="47"/>
  <c r="E172" i="47" s="1"/>
  <c r="D18" i="47"/>
  <c r="C18" i="47"/>
  <c r="A18" i="47"/>
  <c r="A186" i="47" s="1"/>
  <c r="J17" i="47"/>
  <c r="K17" i="47" s="1"/>
  <c r="A17" i="47"/>
  <c r="J16" i="47"/>
  <c r="K16" i="47" s="1"/>
  <c r="J15" i="47"/>
  <c r="K15" i="47" s="1"/>
  <c r="J14" i="47"/>
  <c r="K14" i="47" s="1"/>
  <c r="J13" i="47"/>
  <c r="K13" i="47" s="1"/>
  <c r="J12" i="47"/>
  <c r="K12" i="47" s="1"/>
  <c r="J11" i="47"/>
  <c r="K11" i="47" s="1"/>
  <c r="K10" i="47"/>
  <c r="J10" i="47"/>
  <c r="J9" i="47"/>
  <c r="K9" i="47" s="1"/>
  <c r="J8" i="47"/>
  <c r="K8" i="47" s="1"/>
  <c r="M7" i="47"/>
  <c r="M172" i="47" s="1"/>
  <c r="M342" i="47" s="1"/>
  <c r="L7" i="47"/>
  <c r="L172" i="47" s="1"/>
  <c r="I7" i="47"/>
  <c r="H7" i="47"/>
  <c r="G7" i="47"/>
  <c r="F7" i="47"/>
  <c r="E7" i="47"/>
  <c r="D7" i="47"/>
  <c r="C7" i="47"/>
  <c r="C172" i="47" s="1"/>
  <c r="A7" i="47"/>
  <c r="A175" i="47" s="1"/>
  <c r="M3" i="47"/>
  <c r="L3" i="47"/>
  <c r="K3" i="47"/>
  <c r="J3" i="47"/>
  <c r="I3" i="47"/>
  <c r="H3" i="47"/>
  <c r="G3" i="47"/>
  <c r="F3" i="47"/>
  <c r="E3" i="47"/>
  <c r="D3" i="47"/>
  <c r="C3" i="47"/>
  <c r="M2" i="47"/>
  <c r="L2" i="47"/>
  <c r="C2" i="47"/>
  <c r="B2" i="47"/>
  <c r="A2" i="47"/>
  <c r="A1" i="47"/>
  <c r="A42" i="8"/>
  <c r="A41" i="8"/>
  <c r="M39" i="8"/>
  <c r="L39" i="8"/>
  <c r="Q38" i="28" s="1"/>
  <c r="I39" i="8"/>
  <c r="H39" i="8"/>
  <c r="G39" i="8"/>
  <c r="E39" i="8"/>
  <c r="D39" i="8"/>
  <c r="C39" i="8"/>
  <c r="M38" i="8"/>
  <c r="R37" i="28" s="1"/>
  <c r="I38" i="8"/>
  <c r="G38" i="8"/>
  <c r="F38" i="8"/>
  <c r="E38" i="8"/>
  <c r="J38" i="8" s="1"/>
  <c r="C38" i="8"/>
  <c r="M37" i="8"/>
  <c r="R36" i="28" s="1"/>
  <c r="L37" i="8"/>
  <c r="Q36" i="28" s="1"/>
  <c r="I37" i="8"/>
  <c r="H37" i="8"/>
  <c r="G37" i="8"/>
  <c r="E37" i="8"/>
  <c r="J37" i="8" s="1"/>
  <c r="D37" i="8"/>
  <c r="C37" i="8"/>
  <c r="M36" i="8"/>
  <c r="R35" i="28" s="1"/>
  <c r="I36" i="8"/>
  <c r="G36" i="8"/>
  <c r="F36" i="8"/>
  <c r="E36" i="8"/>
  <c r="C36" i="8"/>
  <c r="A36" i="8"/>
  <c r="A35" i="28" s="1"/>
  <c r="M35" i="8"/>
  <c r="R34" i="28" s="1"/>
  <c r="L35" i="8"/>
  <c r="Q34" i="28" s="1"/>
  <c r="H35" i="8"/>
  <c r="G35" i="8"/>
  <c r="F35" i="8"/>
  <c r="D35" i="8"/>
  <c r="C35" i="8"/>
  <c r="A35" i="8"/>
  <c r="A34" i="28" s="1"/>
  <c r="M34" i="8"/>
  <c r="R33" i="28" s="1"/>
  <c r="L34" i="8"/>
  <c r="Q33" i="28" s="1"/>
  <c r="F34" i="8"/>
  <c r="E34" i="8"/>
  <c r="D34" i="8"/>
  <c r="C34" i="8"/>
  <c r="A34" i="8"/>
  <c r="A33" i="28" s="1"/>
  <c r="M33" i="8"/>
  <c r="R32" i="28" s="1"/>
  <c r="L33" i="8"/>
  <c r="Q32" i="28" s="1"/>
  <c r="G33" i="8"/>
  <c r="F33" i="8"/>
  <c r="E33" i="8"/>
  <c r="A33" i="8"/>
  <c r="A32" i="28" s="1"/>
  <c r="M32" i="8"/>
  <c r="L32" i="8"/>
  <c r="Q31" i="28" s="1"/>
  <c r="H32" i="8"/>
  <c r="G32" i="8"/>
  <c r="E32" i="8"/>
  <c r="D32" i="8"/>
  <c r="C32" i="8"/>
  <c r="M31" i="8"/>
  <c r="R30" i="28" s="1"/>
  <c r="L31" i="8"/>
  <c r="Q30" i="28" s="1"/>
  <c r="H31" i="8"/>
  <c r="G31" i="8"/>
  <c r="F31" i="8"/>
  <c r="E31" i="8"/>
  <c r="D31" i="8"/>
  <c r="C31" i="8"/>
  <c r="A31" i="8"/>
  <c r="A30" i="28" s="1"/>
  <c r="M30" i="8"/>
  <c r="R29" i="28" s="1"/>
  <c r="L30" i="8"/>
  <c r="Q29" i="28" s="1"/>
  <c r="H30" i="8"/>
  <c r="G30" i="8"/>
  <c r="F30" i="8"/>
  <c r="C30" i="8"/>
  <c r="A30" i="8"/>
  <c r="A29" i="28" s="1"/>
  <c r="M29" i="8"/>
  <c r="R28" i="28" s="1"/>
  <c r="L29" i="8"/>
  <c r="Q28" i="28" s="1"/>
  <c r="I29" i="8"/>
  <c r="H29" i="8"/>
  <c r="G29" i="8"/>
  <c r="F29" i="8"/>
  <c r="E29" i="8"/>
  <c r="D29" i="8"/>
  <c r="C29" i="8"/>
  <c r="A29" i="8"/>
  <c r="A28" i="28" s="1"/>
  <c r="M28" i="8"/>
  <c r="R27" i="28" s="1"/>
  <c r="I28" i="8"/>
  <c r="H28" i="8"/>
  <c r="G28" i="8"/>
  <c r="E28" i="8"/>
  <c r="D28" i="8"/>
  <c r="C28" i="8"/>
  <c r="L27" i="8"/>
  <c r="Q26" i="28" s="1"/>
  <c r="I27" i="8"/>
  <c r="H27" i="8"/>
  <c r="F27" i="8"/>
  <c r="E27" i="8"/>
  <c r="D27" i="8"/>
  <c r="A27" i="8"/>
  <c r="A26" i="28" s="1"/>
  <c r="M26" i="8"/>
  <c r="R25" i="28" s="1"/>
  <c r="L26" i="8"/>
  <c r="Q25" i="28" s="1"/>
  <c r="H26" i="8"/>
  <c r="G26" i="8"/>
  <c r="F26" i="8"/>
  <c r="E26" i="8"/>
  <c r="D26" i="8"/>
  <c r="C26" i="8"/>
  <c r="A26" i="8"/>
  <c r="A25" i="28" s="1"/>
  <c r="M25" i="8"/>
  <c r="R24" i="28" s="1"/>
  <c r="L25" i="8"/>
  <c r="Q24" i="28" s="1"/>
  <c r="I25" i="8"/>
  <c r="H25" i="8"/>
  <c r="G25" i="8"/>
  <c r="F25" i="8"/>
  <c r="E25" i="8"/>
  <c r="D25" i="8"/>
  <c r="C25" i="8"/>
  <c r="A25" i="8"/>
  <c r="A24" i="28" s="1"/>
  <c r="M21" i="8"/>
  <c r="R20" i="28" s="1"/>
  <c r="L21" i="8"/>
  <c r="Q20" i="28" s="1"/>
  <c r="I21" i="8"/>
  <c r="H21" i="8"/>
  <c r="G21" i="8"/>
  <c r="F21" i="8"/>
  <c r="E21" i="8"/>
  <c r="D21" i="8"/>
  <c r="C21" i="8"/>
  <c r="A21" i="8"/>
  <c r="A20" i="28" s="1"/>
  <c r="M20" i="8"/>
  <c r="R19" i="28" s="1"/>
  <c r="I20" i="8"/>
  <c r="H20" i="8"/>
  <c r="G20" i="8"/>
  <c r="F20" i="8"/>
  <c r="E20" i="8"/>
  <c r="D20" i="8"/>
  <c r="C20" i="8"/>
  <c r="A20" i="8"/>
  <c r="A19" i="28" s="1"/>
  <c r="M19" i="8"/>
  <c r="R18" i="28" s="1"/>
  <c r="L19" i="8"/>
  <c r="Q18" i="28" s="1"/>
  <c r="I19" i="8"/>
  <c r="H19" i="8"/>
  <c r="G19" i="8"/>
  <c r="F19" i="8"/>
  <c r="E19" i="8"/>
  <c r="D19" i="8"/>
  <c r="C19" i="8"/>
  <c r="A19" i="8"/>
  <c r="A18" i="28" s="1"/>
  <c r="M18" i="8"/>
  <c r="R17" i="28" s="1"/>
  <c r="L18" i="8"/>
  <c r="Q17" i="28" s="1"/>
  <c r="I18" i="8"/>
  <c r="H18" i="8"/>
  <c r="G18" i="8"/>
  <c r="F18" i="8"/>
  <c r="E18" i="8"/>
  <c r="D18" i="8"/>
  <c r="C18" i="8"/>
  <c r="A18" i="8"/>
  <c r="A17" i="28" s="1"/>
  <c r="M17" i="8"/>
  <c r="R16" i="28" s="1"/>
  <c r="L17" i="8"/>
  <c r="Q16" i="28" s="1"/>
  <c r="I17" i="8"/>
  <c r="H17" i="8"/>
  <c r="G17" i="8"/>
  <c r="F17" i="8"/>
  <c r="E17" i="8"/>
  <c r="C17" i="8"/>
  <c r="A17" i="8"/>
  <c r="A16" i="28" s="1"/>
  <c r="M16" i="8"/>
  <c r="R15" i="28" s="1"/>
  <c r="L16" i="8"/>
  <c r="Q15" i="28" s="1"/>
  <c r="I16" i="8"/>
  <c r="H16" i="8"/>
  <c r="G16" i="8"/>
  <c r="E16" i="8"/>
  <c r="D16" i="8"/>
  <c r="C16" i="8"/>
  <c r="A16" i="8"/>
  <c r="A15" i="28" s="1"/>
  <c r="M15" i="8"/>
  <c r="R14" i="28" s="1"/>
  <c r="L15" i="8"/>
  <c r="Q14" i="28" s="1"/>
  <c r="I15" i="8"/>
  <c r="G15" i="8"/>
  <c r="F15" i="8"/>
  <c r="E15" i="8"/>
  <c r="D15" i="8"/>
  <c r="C15" i="8"/>
  <c r="A15" i="8"/>
  <c r="A14" i="28" s="1"/>
  <c r="L14" i="8"/>
  <c r="Q13" i="28" s="1"/>
  <c r="I14" i="8"/>
  <c r="H14" i="8"/>
  <c r="G14" i="8"/>
  <c r="F14" i="8"/>
  <c r="E14" i="8"/>
  <c r="D14" i="8"/>
  <c r="C14" i="8"/>
  <c r="A14" i="8"/>
  <c r="A13" i="28" s="1"/>
  <c r="M13" i="8"/>
  <c r="R12" i="28" s="1"/>
  <c r="L13" i="8"/>
  <c r="Q12" i="28" s="1"/>
  <c r="I13" i="8"/>
  <c r="H13" i="8"/>
  <c r="G13" i="8"/>
  <c r="F13" i="8"/>
  <c r="E13" i="8"/>
  <c r="D13" i="8"/>
  <c r="C13" i="8"/>
  <c r="A13" i="8"/>
  <c r="A12" i="28" s="1"/>
  <c r="M12" i="8"/>
  <c r="R11" i="28" s="1"/>
  <c r="L12" i="8"/>
  <c r="Q11" i="28" s="1"/>
  <c r="H12" i="8"/>
  <c r="G12" i="8"/>
  <c r="F12" i="8"/>
  <c r="E12" i="8"/>
  <c r="D12" i="8"/>
  <c r="C12" i="8"/>
  <c r="A12" i="8"/>
  <c r="A11" i="28" s="1"/>
  <c r="M11" i="8"/>
  <c r="R10" i="28" s="1"/>
  <c r="L11" i="8"/>
  <c r="Q10" i="28" s="1"/>
  <c r="I11" i="8"/>
  <c r="H11" i="8"/>
  <c r="G11" i="8"/>
  <c r="F11" i="8"/>
  <c r="E11" i="8"/>
  <c r="C11" i="8"/>
  <c r="A11" i="8"/>
  <c r="A10" i="28" s="1"/>
  <c r="M10" i="8"/>
  <c r="R9" i="28" s="1"/>
  <c r="L10" i="8"/>
  <c r="Q9" i="28" s="1"/>
  <c r="I10" i="8"/>
  <c r="H10" i="8"/>
  <c r="G10" i="8"/>
  <c r="F10" i="8"/>
  <c r="E10" i="8"/>
  <c r="D10" i="8"/>
  <c r="C10" i="8"/>
  <c r="A10" i="8"/>
  <c r="A9" i="28" s="1"/>
  <c r="M9" i="8"/>
  <c r="R8" i="28" s="1"/>
  <c r="L9" i="8"/>
  <c r="Q8" i="28" s="1"/>
  <c r="H9" i="8"/>
  <c r="G9" i="8"/>
  <c r="F9" i="8"/>
  <c r="E9" i="8"/>
  <c r="D9" i="8"/>
  <c r="C9" i="8"/>
  <c r="A9" i="8"/>
  <c r="A8" i="28" s="1"/>
  <c r="M8" i="8"/>
  <c r="R7" i="28" s="1"/>
  <c r="L8" i="8"/>
  <c r="Q7" i="28" s="1"/>
  <c r="H8" i="8"/>
  <c r="F8" i="8"/>
  <c r="D8" i="8"/>
  <c r="C8" i="8"/>
  <c r="A8" i="8"/>
  <c r="A7" i="28" s="1"/>
  <c r="M7" i="8"/>
  <c r="R6" i="28" s="1"/>
  <c r="L7" i="8"/>
  <c r="Q6" i="28" s="1"/>
  <c r="I7" i="8"/>
  <c r="H7" i="8"/>
  <c r="G7" i="8"/>
  <c r="F7" i="8"/>
  <c r="E7" i="8"/>
  <c r="C7" i="8"/>
  <c r="A7" i="8"/>
  <c r="A6" i="28" s="1"/>
  <c r="M3" i="8"/>
  <c r="L3" i="8"/>
  <c r="K3" i="8"/>
  <c r="J3" i="8"/>
  <c r="I3" i="8"/>
  <c r="H3" i="8"/>
  <c r="G3" i="8"/>
  <c r="F3" i="8"/>
  <c r="E3" i="8"/>
  <c r="D3" i="8"/>
  <c r="C3" i="8"/>
  <c r="M2" i="8"/>
  <c r="L2" i="8"/>
  <c r="C2" i="8"/>
  <c r="B2" i="8"/>
  <c r="A2" i="8"/>
  <c r="A1" i="8"/>
  <c r="A250" i="46"/>
  <c r="A249" i="46"/>
  <c r="A248" i="46"/>
  <c r="J247" i="46"/>
  <c r="K247" i="46" s="1"/>
  <c r="A247" i="46"/>
  <c r="J246" i="46"/>
  <c r="K246" i="46" s="1"/>
  <c r="A246" i="46"/>
  <c r="J245" i="46"/>
  <c r="K245" i="46" s="1"/>
  <c r="A245" i="46"/>
  <c r="K244" i="46"/>
  <c r="J244" i="46"/>
  <c r="A244" i="46"/>
  <c r="J243" i="46"/>
  <c r="K243" i="46" s="1"/>
  <c r="A243" i="46"/>
  <c r="K242" i="46"/>
  <c r="J242" i="46"/>
  <c r="A242" i="46"/>
  <c r="M241" i="46"/>
  <c r="L241" i="46"/>
  <c r="L49" i="9" s="1"/>
  <c r="Q48" i="29" s="1"/>
  <c r="I241" i="46"/>
  <c r="H241" i="46"/>
  <c r="G241" i="46"/>
  <c r="F241" i="46"/>
  <c r="F49" i="9" s="1"/>
  <c r="E241" i="46"/>
  <c r="D241" i="46"/>
  <c r="C241" i="46"/>
  <c r="A241" i="46"/>
  <c r="J240" i="46"/>
  <c r="K240" i="46" s="1"/>
  <c r="A240" i="46"/>
  <c r="J239" i="46"/>
  <c r="K239" i="46" s="1"/>
  <c r="A239" i="46"/>
  <c r="J238" i="46"/>
  <c r="K238" i="46" s="1"/>
  <c r="A238" i="46"/>
  <c r="J237" i="46"/>
  <c r="K237" i="46" s="1"/>
  <c r="A237" i="46"/>
  <c r="M236" i="46"/>
  <c r="L236" i="46"/>
  <c r="L48" i="9" s="1"/>
  <c r="Q47" i="29" s="1"/>
  <c r="I236" i="46"/>
  <c r="I48" i="9" s="1"/>
  <c r="H236" i="46"/>
  <c r="G236" i="46"/>
  <c r="F236" i="46"/>
  <c r="E236" i="46"/>
  <c r="E48" i="9" s="1"/>
  <c r="D236" i="46"/>
  <c r="C236" i="46"/>
  <c r="A236" i="46"/>
  <c r="J235" i="46"/>
  <c r="K235" i="46" s="1"/>
  <c r="A235" i="46"/>
  <c r="J234" i="46"/>
  <c r="K234" i="46" s="1"/>
  <c r="A234" i="46"/>
  <c r="J233" i="46"/>
  <c r="K233" i="46" s="1"/>
  <c r="A233" i="46"/>
  <c r="J232" i="46"/>
  <c r="K232" i="46" s="1"/>
  <c r="A232" i="46"/>
  <c r="M231" i="46"/>
  <c r="M222" i="46" s="1"/>
  <c r="L231" i="46"/>
  <c r="I231" i="46"/>
  <c r="H231" i="46"/>
  <c r="G231" i="46"/>
  <c r="G47" i="9" s="1"/>
  <c r="F231" i="46"/>
  <c r="E231" i="46"/>
  <c r="E47" i="9" s="1"/>
  <c r="D231" i="46"/>
  <c r="C231" i="46"/>
  <c r="C47" i="9" s="1"/>
  <c r="A231" i="46"/>
  <c r="K230" i="46"/>
  <c r="J230" i="46"/>
  <c r="A230" i="46"/>
  <c r="J229" i="46"/>
  <c r="K229" i="46" s="1"/>
  <c r="A229" i="46"/>
  <c r="J228" i="46"/>
  <c r="K228" i="46" s="1"/>
  <c r="A228" i="46"/>
  <c r="M227" i="46"/>
  <c r="L227" i="46"/>
  <c r="I227" i="46"/>
  <c r="H227" i="46"/>
  <c r="H46" i="9" s="1"/>
  <c r="G227" i="46"/>
  <c r="F227" i="46"/>
  <c r="E227" i="46"/>
  <c r="D227" i="46"/>
  <c r="D46" i="9" s="1"/>
  <c r="C227" i="46"/>
  <c r="A227" i="46"/>
  <c r="J226" i="46"/>
  <c r="K226" i="46" s="1"/>
  <c r="A226" i="46"/>
  <c r="J225" i="46"/>
  <c r="K225" i="46" s="1"/>
  <c r="A225" i="46"/>
  <c r="J224" i="46"/>
  <c r="K224" i="46" s="1"/>
  <c r="A224" i="46"/>
  <c r="M223" i="46"/>
  <c r="L223" i="46"/>
  <c r="L222" i="46" s="1"/>
  <c r="I223" i="46"/>
  <c r="I45" i="9" s="1"/>
  <c r="H223" i="46"/>
  <c r="G223" i="46"/>
  <c r="G45" i="9" s="1"/>
  <c r="F223" i="46"/>
  <c r="F222" i="46" s="1"/>
  <c r="E223" i="46"/>
  <c r="D223" i="46"/>
  <c r="D45" i="9" s="1"/>
  <c r="C223" i="46"/>
  <c r="A223" i="46"/>
  <c r="A222" i="46"/>
  <c r="K221" i="46"/>
  <c r="J221" i="46"/>
  <c r="A221" i="46"/>
  <c r="J220" i="46"/>
  <c r="K220" i="46" s="1"/>
  <c r="A220" i="46"/>
  <c r="J219" i="46"/>
  <c r="K219" i="46" s="1"/>
  <c r="A219" i="46"/>
  <c r="J218" i="46"/>
  <c r="K218" i="46" s="1"/>
  <c r="A218" i="46"/>
  <c r="K217" i="46"/>
  <c r="J217" i="46"/>
  <c r="A217" i="46"/>
  <c r="J216" i="46"/>
  <c r="K216" i="46" s="1"/>
  <c r="A216" i="46"/>
  <c r="M215" i="46"/>
  <c r="L215" i="46"/>
  <c r="L198" i="46" s="1"/>
  <c r="I215" i="46"/>
  <c r="H215" i="46"/>
  <c r="G215" i="46"/>
  <c r="F215" i="46"/>
  <c r="E215" i="46"/>
  <c r="E43" i="9" s="1"/>
  <c r="D215" i="46"/>
  <c r="C215" i="46"/>
  <c r="A215" i="46"/>
  <c r="J214" i="46"/>
  <c r="K214" i="46" s="1"/>
  <c r="A214" i="46"/>
  <c r="J213" i="46"/>
  <c r="K213" i="46" s="1"/>
  <c r="A213" i="46"/>
  <c r="J212" i="46"/>
  <c r="K212" i="46" s="1"/>
  <c r="A212" i="46"/>
  <c r="J211" i="46"/>
  <c r="K211" i="46" s="1"/>
  <c r="A211" i="46"/>
  <c r="M210" i="46"/>
  <c r="L210" i="46"/>
  <c r="I210" i="46"/>
  <c r="I42" i="9" s="1"/>
  <c r="H210" i="46"/>
  <c r="H42" i="9" s="1"/>
  <c r="H40" i="9" s="1"/>
  <c r="G210" i="46"/>
  <c r="G198" i="46" s="1"/>
  <c r="F210" i="46"/>
  <c r="E210" i="46"/>
  <c r="D210" i="46"/>
  <c r="D42" i="9" s="1"/>
  <c r="C210" i="46"/>
  <c r="C42" i="9" s="1"/>
  <c r="A210" i="46"/>
  <c r="J209" i="46"/>
  <c r="K209" i="46" s="1"/>
  <c r="A209" i="46"/>
  <c r="K208" i="46"/>
  <c r="J208" i="46"/>
  <c r="A208" i="46"/>
  <c r="J207" i="46"/>
  <c r="K207" i="46" s="1"/>
  <c r="A207" i="46"/>
  <c r="J206" i="46"/>
  <c r="K206" i="46" s="1"/>
  <c r="A206" i="46"/>
  <c r="J205" i="46"/>
  <c r="K205" i="46" s="1"/>
  <c r="A205" i="46"/>
  <c r="J204" i="46"/>
  <c r="K204" i="46" s="1"/>
  <c r="A204" i="46"/>
  <c r="K203" i="46"/>
  <c r="J203" i="46"/>
  <c r="A203" i="46"/>
  <c r="J202" i="46"/>
  <c r="K202" i="46" s="1"/>
  <c r="A202" i="46"/>
  <c r="J201" i="46"/>
  <c r="K201" i="46" s="1"/>
  <c r="A201" i="46"/>
  <c r="J200" i="46"/>
  <c r="K200" i="46" s="1"/>
  <c r="A200" i="46"/>
  <c r="M199" i="46"/>
  <c r="L199" i="46"/>
  <c r="I199" i="46"/>
  <c r="H199" i="46"/>
  <c r="G199" i="46"/>
  <c r="F199" i="46"/>
  <c r="E199" i="46"/>
  <c r="E41" i="9" s="1"/>
  <c r="D199" i="46"/>
  <c r="C199" i="46"/>
  <c r="A199" i="46"/>
  <c r="M198" i="46"/>
  <c r="A198" i="46"/>
  <c r="J197" i="46"/>
  <c r="K197" i="46" s="1"/>
  <c r="A197" i="46"/>
  <c r="J196" i="46"/>
  <c r="K196" i="46" s="1"/>
  <c r="A196" i="46"/>
  <c r="J195" i="46"/>
  <c r="K195" i="46" s="1"/>
  <c r="A195" i="46"/>
  <c r="J194" i="46"/>
  <c r="K194" i="46" s="1"/>
  <c r="A194" i="46"/>
  <c r="K193" i="46"/>
  <c r="J193" i="46"/>
  <c r="A193" i="46"/>
  <c r="J192" i="46"/>
  <c r="K192" i="46" s="1"/>
  <c r="A192" i="46"/>
  <c r="J191" i="46"/>
  <c r="K191" i="46" s="1"/>
  <c r="A191" i="46"/>
  <c r="M190" i="46"/>
  <c r="L190" i="46"/>
  <c r="L39" i="9" s="1"/>
  <c r="Q38" i="29" s="1"/>
  <c r="I190" i="46"/>
  <c r="I39" i="9" s="1"/>
  <c r="H190" i="46"/>
  <c r="G190" i="46"/>
  <c r="F190" i="46"/>
  <c r="F39" i="9" s="1"/>
  <c r="E190" i="46"/>
  <c r="D190" i="46"/>
  <c r="D39" i="9" s="1"/>
  <c r="C190" i="46"/>
  <c r="A190" i="46"/>
  <c r="J189" i="46"/>
  <c r="K189" i="46" s="1"/>
  <c r="A189" i="46"/>
  <c r="J188" i="46"/>
  <c r="K188" i="46" s="1"/>
  <c r="A188" i="46"/>
  <c r="M187" i="46"/>
  <c r="M38" i="9" s="1"/>
  <c r="R37" i="29" s="1"/>
  <c r="L187" i="46"/>
  <c r="I187" i="46"/>
  <c r="H187" i="46"/>
  <c r="H38" i="9" s="1"/>
  <c r="G187" i="46"/>
  <c r="F187" i="46"/>
  <c r="E187" i="46"/>
  <c r="D187" i="46"/>
  <c r="D38" i="9" s="1"/>
  <c r="C187" i="46"/>
  <c r="A187" i="46"/>
  <c r="J186" i="46"/>
  <c r="K186" i="46" s="1"/>
  <c r="A186" i="46"/>
  <c r="J185" i="46"/>
  <c r="K185" i="46" s="1"/>
  <c r="A185" i="46"/>
  <c r="J184" i="46"/>
  <c r="K184" i="46" s="1"/>
  <c r="A184" i="46"/>
  <c r="J183" i="46"/>
  <c r="K183" i="46" s="1"/>
  <c r="A183" i="46"/>
  <c r="J182" i="46"/>
  <c r="K182" i="46" s="1"/>
  <c r="A182" i="46"/>
  <c r="J181" i="46"/>
  <c r="K181" i="46" s="1"/>
  <c r="A181" i="46"/>
  <c r="J180" i="46"/>
  <c r="K180" i="46" s="1"/>
  <c r="A180" i="46"/>
  <c r="J179" i="46"/>
  <c r="K179" i="46" s="1"/>
  <c r="A179" i="46"/>
  <c r="M178" i="46"/>
  <c r="M37" i="9" s="1"/>
  <c r="R36" i="29" s="1"/>
  <c r="L178" i="46"/>
  <c r="L37" i="9" s="1"/>
  <c r="Q36" i="29" s="1"/>
  <c r="I178" i="46"/>
  <c r="H178" i="46"/>
  <c r="G178" i="46"/>
  <c r="F178" i="46"/>
  <c r="F37" i="9" s="1"/>
  <c r="E178" i="46"/>
  <c r="D178" i="46"/>
  <c r="C178" i="46"/>
  <c r="A178" i="46"/>
  <c r="J177" i="46"/>
  <c r="K177" i="46" s="1"/>
  <c r="A177" i="46"/>
  <c r="J176" i="46"/>
  <c r="K176" i="46" s="1"/>
  <c r="A176" i="46"/>
  <c r="J175" i="46"/>
  <c r="K175" i="46" s="1"/>
  <c r="A175" i="46"/>
  <c r="J174" i="46"/>
  <c r="K174" i="46" s="1"/>
  <c r="A174" i="46"/>
  <c r="J173" i="46"/>
  <c r="K173" i="46" s="1"/>
  <c r="A173" i="46"/>
  <c r="M172" i="46"/>
  <c r="M36" i="9" s="1"/>
  <c r="R35" i="29" s="1"/>
  <c r="L172" i="46"/>
  <c r="L36" i="9" s="1"/>
  <c r="Q35" i="29" s="1"/>
  <c r="I172" i="46"/>
  <c r="H172" i="46"/>
  <c r="G172" i="46"/>
  <c r="G36" i="9" s="1"/>
  <c r="F172" i="46"/>
  <c r="E172" i="46"/>
  <c r="D172" i="46"/>
  <c r="C172" i="46"/>
  <c r="A172" i="46"/>
  <c r="J171" i="46"/>
  <c r="K171" i="46" s="1"/>
  <c r="A171" i="46"/>
  <c r="J170" i="46"/>
  <c r="K170" i="46" s="1"/>
  <c r="A170" i="46"/>
  <c r="K169" i="46"/>
  <c r="J169" i="46"/>
  <c r="A169" i="46"/>
  <c r="J168" i="46"/>
  <c r="K168" i="46" s="1"/>
  <c r="A168" i="46"/>
  <c r="J167" i="46"/>
  <c r="K167" i="46" s="1"/>
  <c r="A167" i="46"/>
  <c r="J166" i="46"/>
  <c r="K166" i="46" s="1"/>
  <c r="A166" i="46"/>
  <c r="J165" i="46"/>
  <c r="K165" i="46" s="1"/>
  <c r="A165" i="46"/>
  <c r="J164" i="46"/>
  <c r="K164" i="46" s="1"/>
  <c r="A164" i="46"/>
  <c r="J163" i="46"/>
  <c r="K163" i="46" s="1"/>
  <c r="A163" i="46"/>
  <c r="J162" i="46"/>
  <c r="K162" i="46" s="1"/>
  <c r="A162" i="46"/>
  <c r="J161" i="46"/>
  <c r="K161" i="46" s="1"/>
  <c r="A161" i="46"/>
  <c r="J160" i="46"/>
  <c r="K160" i="46" s="1"/>
  <c r="A160" i="46"/>
  <c r="J159" i="46"/>
  <c r="K159" i="46" s="1"/>
  <c r="A159" i="46"/>
  <c r="J158" i="46"/>
  <c r="K158" i="46" s="1"/>
  <c r="A158" i="46"/>
  <c r="K157" i="46"/>
  <c r="J157" i="46"/>
  <c r="A157" i="46"/>
  <c r="J156" i="46"/>
  <c r="K156" i="46" s="1"/>
  <c r="A156" i="46"/>
  <c r="J155" i="46"/>
  <c r="K155" i="46" s="1"/>
  <c r="A155" i="46"/>
  <c r="J154" i="46"/>
  <c r="K154" i="46" s="1"/>
  <c r="A154" i="46"/>
  <c r="J153" i="46"/>
  <c r="K153" i="46" s="1"/>
  <c r="A153" i="46"/>
  <c r="J152" i="46"/>
  <c r="K152" i="46" s="1"/>
  <c r="A152" i="46"/>
  <c r="J151" i="46"/>
  <c r="K151" i="46" s="1"/>
  <c r="A151" i="46"/>
  <c r="M150" i="46"/>
  <c r="L150" i="46"/>
  <c r="I150" i="46"/>
  <c r="H150" i="46"/>
  <c r="G150" i="46"/>
  <c r="F150" i="46"/>
  <c r="E150" i="46"/>
  <c r="E149" i="46" s="1"/>
  <c r="D150" i="46"/>
  <c r="C150" i="46"/>
  <c r="A150" i="46"/>
  <c r="H149" i="46"/>
  <c r="G149" i="46"/>
  <c r="A149" i="46"/>
  <c r="J148" i="46"/>
  <c r="K148" i="46" s="1"/>
  <c r="A148" i="46"/>
  <c r="M147" i="46"/>
  <c r="L147" i="46"/>
  <c r="I147" i="46"/>
  <c r="H147" i="46"/>
  <c r="G147" i="46"/>
  <c r="F147" i="46"/>
  <c r="E147" i="46"/>
  <c r="E33" i="9" s="1"/>
  <c r="D147" i="46"/>
  <c r="D33" i="9" s="1"/>
  <c r="C147" i="46"/>
  <c r="A147" i="46"/>
  <c r="J146" i="46"/>
  <c r="K146" i="46" s="1"/>
  <c r="A146" i="46"/>
  <c r="J145" i="46"/>
  <c r="K145" i="46" s="1"/>
  <c r="A145" i="46"/>
  <c r="J144" i="46"/>
  <c r="K144" i="46" s="1"/>
  <c r="A144" i="46"/>
  <c r="J143" i="46"/>
  <c r="K143" i="46" s="1"/>
  <c r="A143" i="46"/>
  <c r="J142" i="46"/>
  <c r="K142" i="46" s="1"/>
  <c r="A142" i="46"/>
  <c r="K141" i="46"/>
  <c r="J141" i="46"/>
  <c r="A141" i="46"/>
  <c r="J140" i="46"/>
  <c r="K140" i="46" s="1"/>
  <c r="A140" i="46"/>
  <c r="J139" i="46"/>
  <c r="K139" i="46" s="1"/>
  <c r="A139" i="46"/>
  <c r="J138" i="46"/>
  <c r="K138" i="46" s="1"/>
  <c r="A138" i="46"/>
  <c r="J137" i="46"/>
  <c r="K137" i="46" s="1"/>
  <c r="A137" i="46"/>
  <c r="J136" i="46"/>
  <c r="K136" i="46" s="1"/>
  <c r="A136" i="46"/>
  <c r="J135" i="46"/>
  <c r="K135" i="46" s="1"/>
  <c r="A135" i="46"/>
  <c r="J134" i="46"/>
  <c r="K134" i="46" s="1"/>
  <c r="A134" i="46"/>
  <c r="M133" i="46"/>
  <c r="L133" i="46"/>
  <c r="I133" i="46"/>
  <c r="I32" i="9" s="1"/>
  <c r="H133" i="46"/>
  <c r="G133" i="46"/>
  <c r="F133" i="46"/>
  <c r="F129" i="46" s="1"/>
  <c r="E133" i="46"/>
  <c r="D133" i="46"/>
  <c r="C133" i="46"/>
  <c r="A133" i="46"/>
  <c r="J132" i="46"/>
  <c r="K132" i="46" s="1"/>
  <c r="A132" i="46"/>
  <c r="J131" i="46"/>
  <c r="K131" i="46" s="1"/>
  <c r="A131" i="46"/>
  <c r="M130" i="46"/>
  <c r="M129" i="46" s="1"/>
  <c r="L130" i="46"/>
  <c r="I130" i="46"/>
  <c r="I31" i="9" s="1"/>
  <c r="H130" i="46"/>
  <c r="G130" i="46"/>
  <c r="F130" i="46"/>
  <c r="E130" i="46"/>
  <c r="D130" i="46"/>
  <c r="D31" i="9" s="1"/>
  <c r="C130" i="46"/>
  <c r="A130" i="46"/>
  <c r="G129" i="46"/>
  <c r="A129" i="46"/>
  <c r="K128" i="46"/>
  <c r="J128" i="46"/>
  <c r="J127" i="46"/>
  <c r="K127" i="46" s="1"/>
  <c r="A126" i="46"/>
  <c r="J125" i="46"/>
  <c r="K125" i="46" s="1"/>
  <c r="K124" i="46"/>
  <c r="J124" i="46"/>
  <c r="J123" i="46"/>
  <c r="K123" i="46" s="1"/>
  <c r="K122" i="46"/>
  <c r="J122" i="46"/>
  <c r="J121" i="46"/>
  <c r="K121" i="46" s="1"/>
  <c r="K120" i="46"/>
  <c r="J120" i="46"/>
  <c r="M119" i="46"/>
  <c r="L119" i="46"/>
  <c r="I119" i="46"/>
  <c r="I26" i="9" s="1"/>
  <c r="H119" i="46"/>
  <c r="G119" i="46"/>
  <c r="F119" i="46"/>
  <c r="E119" i="46"/>
  <c r="D119" i="46"/>
  <c r="C119" i="46"/>
  <c r="J118" i="46"/>
  <c r="K118" i="46" s="1"/>
  <c r="K117" i="46"/>
  <c r="J117" i="46"/>
  <c r="J116" i="46"/>
  <c r="K116" i="46" s="1"/>
  <c r="J115" i="46"/>
  <c r="K115" i="46" s="1"/>
  <c r="M114" i="46"/>
  <c r="L114" i="46"/>
  <c r="I114" i="46"/>
  <c r="H114" i="46"/>
  <c r="G114" i="46"/>
  <c r="F114" i="46"/>
  <c r="E114" i="46"/>
  <c r="J114" i="46" s="1"/>
  <c r="D114" i="46"/>
  <c r="C114" i="46"/>
  <c r="J113" i="46"/>
  <c r="K113" i="46" s="1"/>
  <c r="J112" i="46"/>
  <c r="K112" i="46" s="1"/>
  <c r="J111" i="46"/>
  <c r="K111" i="46" s="1"/>
  <c r="J110" i="46"/>
  <c r="K110" i="46" s="1"/>
  <c r="M109" i="46"/>
  <c r="L109" i="46"/>
  <c r="I109" i="46"/>
  <c r="I24" i="9" s="1"/>
  <c r="H109" i="46"/>
  <c r="H100" i="46" s="1"/>
  <c r="G109" i="46"/>
  <c r="F109" i="46"/>
  <c r="E109" i="46"/>
  <c r="E24" i="9" s="1"/>
  <c r="D109" i="46"/>
  <c r="C109" i="46"/>
  <c r="J108" i="46"/>
  <c r="K108" i="46" s="1"/>
  <c r="J107" i="46"/>
  <c r="K107" i="46" s="1"/>
  <c r="K106" i="46"/>
  <c r="J106" i="46"/>
  <c r="M105" i="46"/>
  <c r="L105" i="46"/>
  <c r="I105" i="46"/>
  <c r="H105" i="46"/>
  <c r="G105" i="46"/>
  <c r="F105" i="46"/>
  <c r="F23" i="9" s="1"/>
  <c r="F21" i="9" s="1"/>
  <c r="E105" i="46"/>
  <c r="D105" i="46"/>
  <c r="C105" i="46"/>
  <c r="C23" i="9" s="1"/>
  <c r="K104" i="46"/>
  <c r="J104" i="46"/>
  <c r="J103" i="46"/>
  <c r="K103" i="46" s="1"/>
  <c r="J102" i="46"/>
  <c r="K102" i="46" s="1"/>
  <c r="M101" i="46"/>
  <c r="L101" i="46"/>
  <c r="I101" i="46"/>
  <c r="I22" i="9" s="1"/>
  <c r="H101" i="46"/>
  <c r="G101" i="46"/>
  <c r="G100" i="46" s="1"/>
  <c r="F101" i="46"/>
  <c r="E101" i="46"/>
  <c r="E22" i="9" s="1"/>
  <c r="D101" i="46"/>
  <c r="C101" i="46"/>
  <c r="C22" i="9" s="1"/>
  <c r="M100" i="46"/>
  <c r="L100" i="46"/>
  <c r="E100" i="46"/>
  <c r="J99" i="46"/>
  <c r="K99" i="46" s="1"/>
  <c r="J98" i="46"/>
  <c r="K98" i="46" s="1"/>
  <c r="J97" i="46"/>
  <c r="K97" i="46" s="1"/>
  <c r="K96" i="46"/>
  <c r="J96" i="46"/>
  <c r="J95" i="46"/>
  <c r="K95" i="46" s="1"/>
  <c r="J94" i="46"/>
  <c r="K94" i="46" s="1"/>
  <c r="M93" i="46"/>
  <c r="L93" i="46"/>
  <c r="I93" i="46"/>
  <c r="H93" i="46"/>
  <c r="G93" i="46"/>
  <c r="F93" i="46"/>
  <c r="E93" i="46"/>
  <c r="D93" i="46"/>
  <c r="C93" i="46"/>
  <c r="J92" i="46"/>
  <c r="K92" i="46" s="1"/>
  <c r="J91" i="46"/>
  <c r="K91" i="46" s="1"/>
  <c r="J90" i="46"/>
  <c r="K90" i="46" s="1"/>
  <c r="J89" i="46"/>
  <c r="K89" i="46" s="1"/>
  <c r="M88" i="46"/>
  <c r="M19" i="9" s="1"/>
  <c r="L88" i="46"/>
  <c r="L19" i="9" s="1"/>
  <c r="Q18" i="29" s="1"/>
  <c r="I88" i="46"/>
  <c r="H88" i="46"/>
  <c r="G88" i="46"/>
  <c r="G19" i="9" s="1"/>
  <c r="G17" i="9" s="1"/>
  <c r="F88" i="46"/>
  <c r="F19" i="9" s="1"/>
  <c r="F17" i="9" s="1"/>
  <c r="E88" i="46"/>
  <c r="D88" i="46"/>
  <c r="C88" i="46"/>
  <c r="C19" i="9" s="1"/>
  <c r="J87" i="46"/>
  <c r="K87" i="46" s="1"/>
  <c r="J86" i="46"/>
  <c r="K86" i="46" s="1"/>
  <c r="J85" i="46"/>
  <c r="K85" i="46" s="1"/>
  <c r="J84" i="46"/>
  <c r="K84" i="46" s="1"/>
  <c r="J83" i="46"/>
  <c r="K83" i="46" s="1"/>
  <c r="J82" i="46"/>
  <c r="K82" i="46" s="1"/>
  <c r="J81" i="46"/>
  <c r="K81" i="46" s="1"/>
  <c r="J80" i="46"/>
  <c r="K80" i="46" s="1"/>
  <c r="J79" i="46"/>
  <c r="K79" i="46" s="1"/>
  <c r="J78" i="46"/>
  <c r="K78" i="46" s="1"/>
  <c r="M77" i="46"/>
  <c r="L77" i="46"/>
  <c r="I77" i="46"/>
  <c r="H77" i="46"/>
  <c r="G77" i="46"/>
  <c r="F77" i="46"/>
  <c r="E77" i="46"/>
  <c r="D77" i="46"/>
  <c r="C77" i="46"/>
  <c r="M76" i="46"/>
  <c r="H76" i="46"/>
  <c r="K75" i="46"/>
  <c r="J75" i="46"/>
  <c r="K74" i="46"/>
  <c r="J74" i="46"/>
  <c r="K73" i="46"/>
  <c r="J73" i="46"/>
  <c r="K72" i="46"/>
  <c r="J72" i="46"/>
  <c r="K71" i="46"/>
  <c r="J71" i="46"/>
  <c r="K70" i="46"/>
  <c r="J70" i="46"/>
  <c r="K69" i="46"/>
  <c r="J69" i="46"/>
  <c r="M68" i="46"/>
  <c r="L68" i="46"/>
  <c r="I68" i="46"/>
  <c r="H68" i="46"/>
  <c r="G68" i="46"/>
  <c r="F68" i="46"/>
  <c r="J68" i="46" s="1"/>
  <c r="E68" i="46"/>
  <c r="D68" i="46"/>
  <c r="C68" i="46"/>
  <c r="K67" i="46"/>
  <c r="J67" i="46"/>
  <c r="K66" i="46"/>
  <c r="J66" i="46"/>
  <c r="M65" i="46"/>
  <c r="M27" i="46" s="1"/>
  <c r="M126" i="46" s="1"/>
  <c r="L65" i="46"/>
  <c r="I65" i="46"/>
  <c r="H65" i="46"/>
  <c r="H15" i="9" s="1"/>
  <c r="G65" i="46"/>
  <c r="F65" i="46"/>
  <c r="E65" i="46"/>
  <c r="D65" i="46"/>
  <c r="C65" i="46"/>
  <c r="K64" i="46"/>
  <c r="J64" i="46"/>
  <c r="K63" i="46"/>
  <c r="J63" i="46"/>
  <c r="K62" i="46"/>
  <c r="J62" i="46"/>
  <c r="K61" i="46"/>
  <c r="J61" i="46"/>
  <c r="K60" i="46"/>
  <c r="J60" i="46"/>
  <c r="K59" i="46"/>
  <c r="J59" i="46"/>
  <c r="K58" i="46"/>
  <c r="J58" i="46"/>
  <c r="K57" i="46"/>
  <c r="J57" i="46"/>
  <c r="M56" i="46"/>
  <c r="L56" i="46"/>
  <c r="J56" i="46"/>
  <c r="I56" i="46"/>
  <c r="I14" i="9" s="1"/>
  <c r="H56" i="46"/>
  <c r="G56" i="46"/>
  <c r="F56" i="46"/>
  <c r="F14" i="9" s="1"/>
  <c r="E56" i="46"/>
  <c r="E14" i="9" s="1"/>
  <c r="D56" i="46"/>
  <c r="C56" i="46"/>
  <c r="K55" i="46"/>
  <c r="J55" i="46"/>
  <c r="J54" i="46"/>
  <c r="K54" i="46" s="1"/>
  <c r="J53" i="46"/>
  <c r="K53" i="46" s="1"/>
  <c r="J52" i="46"/>
  <c r="K52" i="46" s="1"/>
  <c r="J51" i="46"/>
  <c r="K51" i="46" s="1"/>
  <c r="M50" i="46"/>
  <c r="L50" i="46"/>
  <c r="I50" i="46"/>
  <c r="H50" i="46"/>
  <c r="G50" i="46"/>
  <c r="F50" i="46"/>
  <c r="E50" i="46"/>
  <c r="E13" i="9" s="1"/>
  <c r="D50" i="46"/>
  <c r="C50" i="46"/>
  <c r="J49" i="46"/>
  <c r="K49" i="46" s="1"/>
  <c r="K48" i="46"/>
  <c r="J48" i="46"/>
  <c r="J47" i="46"/>
  <c r="K47" i="46" s="1"/>
  <c r="J46" i="46"/>
  <c r="K46" i="46" s="1"/>
  <c r="J45" i="46"/>
  <c r="K45" i="46" s="1"/>
  <c r="J44" i="46"/>
  <c r="K44" i="46" s="1"/>
  <c r="J43" i="46"/>
  <c r="K43" i="46" s="1"/>
  <c r="K42" i="46"/>
  <c r="J42" i="46"/>
  <c r="J41" i="46"/>
  <c r="K41" i="46" s="1"/>
  <c r="J40" i="46"/>
  <c r="K40" i="46" s="1"/>
  <c r="J39" i="46"/>
  <c r="K39" i="46" s="1"/>
  <c r="J38" i="46"/>
  <c r="K38" i="46" s="1"/>
  <c r="J37" i="46"/>
  <c r="K37" i="46" s="1"/>
  <c r="J36" i="46"/>
  <c r="K36" i="46" s="1"/>
  <c r="J35" i="46"/>
  <c r="K35" i="46" s="1"/>
  <c r="K34" i="46"/>
  <c r="J34" i="46"/>
  <c r="J33" i="46"/>
  <c r="K33" i="46" s="1"/>
  <c r="J32" i="46"/>
  <c r="K32" i="46" s="1"/>
  <c r="K31" i="46"/>
  <c r="J31" i="46"/>
  <c r="J30" i="46"/>
  <c r="K30" i="46" s="1"/>
  <c r="K29" i="46"/>
  <c r="J29" i="46"/>
  <c r="M28" i="46"/>
  <c r="L28" i="46"/>
  <c r="I28" i="46"/>
  <c r="H28" i="46"/>
  <c r="G28" i="46"/>
  <c r="F28" i="46"/>
  <c r="E28" i="46"/>
  <c r="E12" i="9" s="1"/>
  <c r="E11" i="9" s="1"/>
  <c r="D28" i="46"/>
  <c r="D12" i="9" s="1"/>
  <c r="C28" i="46"/>
  <c r="L27" i="46"/>
  <c r="J26" i="46"/>
  <c r="K26" i="46" s="1"/>
  <c r="M25" i="46"/>
  <c r="L25" i="46"/>
  <c r="I25" i="46"/>
  <c r="H25" i="46"/>
  <c r="G25" i="46"/>
  <c r="F25" i="46"/>
  <c r="E25" i="46"/>
  <c r="D25" i="46"/>
  <c r="D10" i="9" s="1"/>
  <c r="C25" i="46"/>
  <c r="C10" i="9" s="1"/>
  <c r="J24" i="46"/>
  <c r="K24" i="46" s="1"/>
  <c r="J23" i="46"/>
  <c r="K23" i="46" s="1"/>
  <c r="J22" i="46"/>
  <c r="K22" i="46" s="1"/>
  <c r="J21" i="46"/>
  <c r="K21" i="46" s="1"/>
  <c r="J20" i="46"/>
  <c r="K20" i="46" s="1"/>
  <c r="J19" i="46"/>
  <c r="K19" i="46" s="1"/>
  <c r="J18" i="46"/>
  <c r="K18" i="46" s="1"/>
  <c r="J17" i="46"/>
  <c r="K17" i="46" s="1"/>
  <c r="J16" i="46"/>
  <c r="K16" i="46" s="1"/>
  <c r="J15" i="46"/>
  <c r="K15" i="46" s="1"/>
  <c r="J14" i="46"/>
  <c r="K14" i="46" s="1"/>
  <c r="J13" i="46"/>
  <c r="K13" i="46" s="1"/>
  <c r="J12" i="46"/>
  <c r="K12" i="46" s="1"/>
  <c r="M11" i="46"/>
  <c r="L11" i="46"/>
  <c r="L9" i="9" s="1"/>
  <c r="Q8" i="29" s="1"/>
  <c r="I11" i="46"/>
  <c r="I7" i="46" s="1"/>
  <c r="H11" i="46"/>
  <c r="G11" i="46"/>
  <c r="F11" i="46"/>
  <c r="E11" i="46"/>
  <c r="D11" i="46"/>
  <c r="D9" i="9" s="1"/>
  <c r="C11" i="46"/>
  <c r="K10" i="46"/>
  <c r="J10" i="46"/>
  <c r="K9" i="46"/>
  <c r="J9" i="46"/>
  <c r="M8" i="46"/>
  <c r="M7" i="46" s="1"/>
  <c r="L8" i="46"/>
  <c r="I8" i="46"/>
  <c r="H8" i="46"/>
  <c r="H8" i="9" s="1"/>
  <c r="G8" i="46"/>
  <c r="F8" i="46"/>
  <c r="E8" i="46"/>
  <c r="D8" i="46"/>
  <c r="C8" i="46"/>
  <c r="C8" i="9" s="1"/>
  <c r="G7" i="46"/>
  <c r="F7" i="46"/>
  <c r="E7" i="46"/>
  <c r="E4" i="46"/>
  <c r="F4" i="46" s="1"/>
  <c r="G4" i="46" s="1"/>
  <c r="H4" i="46" s="1"/>
  <c r="I4" i="46" s="1"/>
  <c r="J4" i="46" s="1"/>
  <c r="K4" i="46" s="1"/>
  <c r="M3" i="46"/>
  <c r="L3" i="46"/>
  <c r="K3" i="46"/>
  <c r="J3" i="46"/>
  <c r="I3" i="46"/>
  <c r="H3" i="46"/>
  <c r="G3" i="46"/>
  <c r="F3" i="46"/>
  <c r="E3" i="46"/>
  <c r="D3" i="46"/>
  <c r="C3" i="46"/>
  <c r="M2" i="46"/>
  <c r="L2" i="46"/>
  <c r="C2" i="46"/>
  <c r="B2" i="46"/>
  <c r="A2" i="46"/>
  <c r="A1" i="46"/>
  <c r="A52" i="9"/>
  <c r="A50" i="9"/>
  <c r="M49" i="9"/>
  <c r="I49" i="9"/>
  <c r="H49" i="9"/>
  <c r="G49" i="9"/>
  <c r="E49" i="9"/>
  <c r="D49" i="9"/>
  <c r="C49" i="9"/>
  <c r="M48" i="9"/>
  <c r="R47" i="29" s="1"/>
  <c r="H48" i="9"/>
  <c r="G48" i="9"/>
  <c r="F48" i="9"/>
  <c r="C48" i="9"/>
  <c r="M47" i="9"/>
  <c r="R46" i="29" s="1"/>
  <c r="L47" i="9"/>
  <c r="Q46" i="29" s="1"/>
  <c r="H47" i="9"/>
  <c r="F47" i="9"/>
  <c r="M46" i="9"/>
  <c r="R45" i="29" s="1"/>
  <c r="L46" i="9"/>
  <c r="Q45" i="29" s="1"/>
  <c r="I46" i="9"/>
  <c r="G46" i="9"/>
  <c r="F46" i="9"/>
  <c r="F44" i="9" s="1"/>
  <c r="E46" i="9"/>
  <c r="C46" i="9"/>
  <c r="M45" i="9"/>
  <c r="L45" i="9"/>
  <c r="Q44" i="29" s="1"/>
  <c r="F45" i="9"/>
  <c r="C45" i="9"/>
  <c r="M43" i="9"/>
  <c r="R42" i="29" s="1"/>
  <c r="H43" i="9"/>
  <c r="G43" i="9"/>
  <c r="G40" i="9" s="1"/>
  <c r="F43" i="9"/>
  <c r="F40" i="9" s="1"/>
  <c r="D43" i="9"/>
  <c r="C43" i="9"/>
  <c r="M42" i="9"/>
  <c r="L42" i="9"/>
  <c r="Q41" i="29" s="1"/>
  <c r="G42" i="9"/>
  <c r="F42" i="9"/>
  <c r="M41" i="9"/>
  <c r="R40" i="29" s="1"/>
  <c r="L41" i="9"/>
  <c r="Q40" i="29" s="1"/>
  <c r="H41" i="9"/>
  <c r="G41" i="9"/>
  <c r="F41" i="9"/>
  <c r="D41" i="9"/>
  <c r="C41" i="9"/>
  <c r="M39" i="9"/>
  <c r="H39" i="9"/>
  <c r="G39" i="9"/>
  <c r="E39" i="9"/>
  <c r="C39" i="9"/>
  <c r="L38" i="9"/>
  <c r="Q37" i="29" s="1"/>
  <c r="I38" i="9"/>
  <c r="G38" i="9"/>
  <c r="F38" i="9"/>
  <c r="E38" i="9"/>
  <c r="C38" i="9"/>
  <c r="H37" i="9"/>
  <c r="G37" i="9"/>
  <c r="G34" i="9" s="1"/>
  <c r="E37" i="9"/>
  <c r="D37" i="9"/>
  <c r="C37" i="9"/>
  <c r="I36" i="9"/>
  <c r="H36" i="9"/>
  <c r="E36" i="9"/>
  <c r="C36" i="9"/>
  <c r="L35" i="9"/>
  <c r="Q34" i="29" s="1"/>
  <c r="H35" i="9"/>
  <c r="G35" i="9"/>
  <c r="F35" i="9"/>
  <c r="E35" i="9"/>
  <c r="E34" i="9" s="1"/>
  <c r="C35" i="9"/>
  <c r="M33" i="9"/>
  <c r="R32" i="29" s="1"/>
  <c r="L33" i="9"/>
  <c r="Q32" i="29" s="1"/>
  <c r="I33" i="9"/>
  <c r="G33" i="9"/>
  <c r="F33" i="9"/>
  <c r="C33" i="9"/>
  <c r="M32" i="9"/>
  <c r="R31" i="29" s="1"/>
  <c r="L32" i="9"/>
  <c r="Q31" i="29" s="1"/>
  <c r="H32" i="9"/>
  <c r="G32" i="9"/>
  <c r="F32" i="9"/>
  <c r="E32" i="9"/>
  <c r="E30" i="9" s="1"/>
  <c r="D32" i="9"/>
  <c r="C32" i="9"/>
  <c r="M31" i="9"/>
  <c r="L31" i="9"/>
  <c r="Q30" i="29" s="1"/>
  <c r="H31" i="9"/>
  <c r="G31" i="9"/>
  <c r="G30" i="9" s="1"/>
  <c r="F31" i="9"/>
  <c r="F30" i="9" s="1"/>
  <c r="E31" i="9"/>
  <c r="L30" i="9"/>
  <c r="A27" i="9"/>
  <c r="M26" i="9"/>
  <c r="R25" i="29" s="1"/>
  <c r="L26" i="9"/>
  <c r="Q25" i="29" s="1"/>
  <c r="H26" i="9"/>
  <c r="G26" i="9"/>
  <c r="F26" i="9"/>
  <c r="D26" i="9"/>
  <c r="C26" i="9"/>
  <c r="M25" i="9"/>
  <c r="R24" i="29" s="1"/>
  <c r="L25" i="9"/>
  <c r="Q24" i="29" s="1"/>
  <c r="I25" i="9"/>
  <c r="H25" i="9"/>
  <c r="G25" i="9"/>
  <c r="F25" i="9"/>
  <c r="E25" i="9"/>
  <c r="E21" i="9" s="1"/>
  <c r="C25" i="9"/>
  <c r="M24" i="9"/>
  <c r="R23" i="29" s="1"/>
  <c r="L24" i="9"/>
  <c r="Q23" i="29" s="1"/>
  <c r="J24" i="9"/>
  <c r="H24" i="9"/>
  <c r="G24" i="9"/>
  <c r="F24" i="9"/>
  <c r="C24" i="9"/>
  <c r="M23" i="9"/>
  <c r="R22" i="29" s="1"/>
  <c r="L23" i="9"/>
  <c r="Q22" i="29" s="1"/>
  <c r="H23" i="9"/>
  <c r="G23" i="9"/>
  <c r="E23" i="9"/>
  <c r="D23" i="9"/>
  <c r="M22" i="9"/>
  <c r="R21" i="29" s="1"/>
  <c r="L22" i="9"/>
  <c r="Q21" i="29" s="1"/>
  <c r="H22" i="9"/>
  <c r="H21" i="9" s="1"/>
  <c r="G22" i="9"/>
  <c r="F22" i="9"/>
  <c r="D22" i="9"/>
  <c r="M21" i="9"/>
  <c r="R20" i="29" s="1"/>
  <c r="M20" i="9"/>
  <c r="R19" i="29" s="1"/>
  <c r="L20" i="9"/>
  <c r="Q19" i="29" s="1"/>
  <c r="I20" i="9"/>
  <c r="H20" i="9"/>
  <c r="G20" i="9"/>
  <c r="F20" i="9"/>
  <c r="E20" i="9"/>
  <c r="J20" i="9" s="1"/>
  <c r="C20" i="9"/>
  <c r="I19" i="9"/>
  <c r="H19" i="9"/>
  <c r="E19" i="9"/>
  <c r="D19" i="9"/>
  <c r="M18" i="9"/>
  <c r="R17" i="29" s="1"/>
  <c r="L18" i="9"/>
  <c r="Q17" i="29" s="1"/>
  <c r="H18" i="9"/>
  <c r="G18" i="9"/>
  <c r="F18" i="9"/>
  <c r="E18" i="9"/>
  <c r="E17" i="9" s="1"/>
  <c r="D18" i="9"/>
  <c r="C18" i="9"/>
  <c r="H17" i="9"/>
  <c r="M16" i="9"/>
  <c r="L16" i="9"/>
  <c r="Q15" i="29" s="1"/>
  <c r="I16" i="9"/>
  <c r="H16" i="9"/>
  <c r="G16" i="9"/>
  <c r="F16" i="9"/>
  <c r="E16" i="9"/>
  <c r="J16" i="9" s="1"/>
  <c r="D16" i="9"/>
  <c r="C16" i="9"/>
  <c r="M15" i="9"/>
  <c r="R14" i="29" s="1"/>
  <c r="L15" i="9"/>
  <c r="Q14" i="29" s="1"/>
  <c r="I15" i="9"/>
  <c r="G15" i="9"/>
  <c r="F15" i="9"/>
  <c r="E15" i="9"/>
  <c r="J15" i="9" s="1"/>
  <c r="C15" i="9"/>
  <c r="M14" i="9"/>
  <c r="L14" i="9"/>
  <c r="Q13" i="29" s="1"/>
  <c r="H14" i="9"/>
  <c r="G14" i="9"/>
  <c r="C14" i="9"/>
  <c r="M13" i="9"/>
  <c r="R12" i="29" s="1"/>
  <c r="L13" i="9"/>
  <c r="Q12" i="29" s="1"/>
  <c r="G13" i="9"/>
  <c r="F13" i="9"/>
  <c r="C13" i="9"/>
  <c r="M12" i="9"/>
  <c r="M11" i="9" s="1"/>
  <c r="R10" i="29" s="1"/>
  <c r="L12" i="9"/>
  <c r="Q11" i="29" s="1"/>
  <c r="H12" i="9"/>
  <c r="G12" i="9"/>
  <c r="G11" i="9" s="1"/>
  <c r="F12" i="9"/>
  <c r="C12" i="9"/>
  <c r="F11" i="9"/>
  <c r="M10" i="9"/>
  <c r="R9" i="29" s="1"/>
  <c r="L10" i="9"/>
  <c r="Q9" i="29" s="1"/>
  <c r="I10" i="9"/>
  <c r="H10" i="9"/>
  <c r="G10" i="9"/>
  <c r="F10" i="9"/>
  <c r="J10" i="9" s="1"/>
  <c r="E10" i="9"/>
  <c r="E7" i="9" s="1"/>
  <c r="M9" i="9"/>
  <c r="R8" i="29" s="1"/>
  <c r="H9" i="9"/>
  <c r="G9" i="9"/>
  <c r="F9" i="9"/>
  <c r="E9" i="9"/>
  <c r="M8" i="9"/>
  <c r="R7" i="29" s="1"/>
  <c r="L8" i="9"/>
  <c r="Q7" i="29" s="1"/>
  <c r="I8" i="9"/>
  <c r="G8" i="9"/>
  <c r="F8" i="9"/>
  <c r="J8" i="9" s="1"/>
  <c r="E8" i="9"/>
  <c r="M7" i="9"/>
  <c r="F7" i="9"/>
  <c r="F27" i="9" s="1"/>
  <c r="K4" i="9"/>
  <c r="J4" i="9"/>
  <c r="I4" i="9"/>
  <c r="H4" i="9"/>
  <c r="G4" i="9"/>
  <c r="F4" i="9"/>
  <c r="E4" i="9"/>
  <c r="M3" i="9"/>
  <c r="L3" i="9"/>
  <c r="K3" i="9"/>
  <c r="J3" i="9"/>
  <c r="I3" i="9"/>
  <c r="H3" i="9"/>
  <c r="G3" i="9"/>
  <c r="F3" i="9"/>
  <c r="E3" i="9"/>
  <c r="D3" i="9"/>
  <c r="C3" i="9"/>
  <c r="M2" i="9"/>
  <c r="L2" i="9"/>
  <c r="C2" i="9"/>
  <c r="B2" i="9"/>
  <c r="A2" i="9"/>
  <c r="A1" i="9"/>
  <c r="L67" i="7"/>
  <c r="K67" i="7"/>
  <c r="J67" i="7"/>
  <c r="I67" i="7"/>
  <c r="H67" i="7"/>
  <c r="G67" i="7"/>
  <c r="F67" i="7"/>
  <c r="E67" i="7"/>
  <c r="D67" i="7"/>
  <c r="C67" i="7"/>
  <c r="B67" i="7"/>
  <c r="L66" i="7"/>
  <c r="K66" i="7"/>
  <c r="I66" i="7"/>
  <c r="H66" i="7"/>
  <c r="G66" i="7"/>
  <c r="F66" i="7"/>
  <c r="E66" i="7"/>
  <c r="D66" i="7"/>
  <c r="C66" i="7"/>
  <c r="J66" i="7" s="1"/>
  <c r="B66" i="7"/>
  <c r="L65" i="7"/>
  <c r="K65" i="7"/>
  <c r="I65" i="7"/>
  <c r="H65" i="7"/>
  <c r="G65" i="7"/>
  <c r="F65" i="7"/>
  <c r="E65" i="7"/>
  <c r="D65" i="7"/>
  <c r="C65" i="7"/>
  <c r="J65" i="7" s="1"/>
  <c r="B65" i="7"/>
  <c r="L64" i="7"/>
  <c r="K64" i="7"/>
  <c r="J64" i="7"/>
  <c r="I64" i="7"/>
  <c r="H64" i="7"/>
  <c r="G64" i="7"/>
  <c r="F64" i="7"/>
  <c r="E64" i="7"/>
  <c r="D64" i="7"/>
  <c r="C64" i="7"/>
  <c r="B64" i="7"/>
  <c r="L62" i="7"/>
  <c r="K62" i="7"/>
  <c r="I62" i="7"/>
  <c r="H62" i="7"/>
  <c r="G62" i="7"/>
  <c r="F62" i="7"/>
  <c r="E62" i="7"/>
  <c r="D62" i="7"/>
  <c r="B62" i="7"/>
  <c r="L61" i="7"/>
  <c r="K61" i="7"/>
  <c r="I61" i="7"/>
  <c r="H61" i="7"/>
  <c r="G61" i="7"/>
  <c r="F61" i="7"/>
  <c r="E61" i="7"/>
  <c r="D61" i="7"/>
  <c r="B61" i="7"/>
  <c r="L58" i="7"/>
  <c r="K58" i="7"/>
  <c r="G58" i="7"/>
  <c r="F58" i="7"/>
  <c r="E58" i="7"/>
  <c r="D58" i="7"/>
  <c r="B58" i="7"/>
  <c r="L57" i="7"/>
  <c r="K57" i="7"/>
  <c r="F57" i="7"/>
  <c r="E57" i="7"/>
  <c r="D57" i="7"/>
  <c r="B57" i="7"/>
  <c r="L56" i="7"/>
  <c r="K56" i="7"/>
  <c r="G56" i="7"/>
  <c r="F56" i="7"/>
  <c r="E56" i="7"/>
  <c r="D56" i="7"/>
  <c r="B56" i="7"/>
  <c r="L55" i="7"/>
  <c r="K55" i="7"/>
  <c r="F55" i="7"/>
  <c r="D55" i="7"/>
  <c r="B55" i="7"/>
  <c r="B52" i="7"/>
  <c r="G51" i="7"/>
  <c r="F51" i="7"/>
  <c r="E51" i="7"/>
  <c r="D51" i="7"/>
  <c r="B51" i="7"/>
  <c r="B50" i="7"/>
  <c r="D47" i="7"/>
  <c r="B47" i="7"/>
  <c r="L46" i="7"/>
  <c r="K46" i="7"/>
  <c r="H46" i="7"/>
  <c r="I46" i="7" s="1"/>
  <c r="G46" i="7"/>
  <c r="F46" i="7"/>
  <c r="E46" i="7"/>
  <c r="D46" i="7"/>
  <c r="C46" i="7"/>
  <c r="B46" i="7"/>
  <c r="L45" i="7"/>
  <c r="K45" i="7"/>
  <c r="F45" i="7"/>
  <c r="D45" i="7"/>
  <c r="C45" i="7"/>
  <c r="B45" i="7"/>
  <c r="L44" i="7"/>
  <c r="K44" i="7"/>
  <c r="F44" i="7"/>
  <c r="E44" i="7"/>
  <c r="D44" i="7"/>
  <c r="B44" i="7"/>
  <c r="L40" i="7"/>
  <c r="K40" i="7"/>
  <c r="G40" i="7"/>
  <c r="F40" i="7"/>
  <c r="E40" i="7"/>
  <c r="D40" i="7"/>
  <c r="B40" i="7"/>
  <c r="L39" i="7"/>
  <c r="K39" i="7"/>
  <c r="G39" i="7"/>
  <c r="F39" i="7"/>
  <c r="E39" i="7"/>
  <c r="D39" i="7"/>
  <c r="B39" i="7"/>
  <c r="L38" i="7"/>
  <c r="K38" i="7"/>
  <c r="F38" i="7"/>
  <c r="E38" i="7"/>
  <c r="D38" i="7"/>
  <c r="B38" i="7"/>
  <c r="B37" i="7"/>
  <c r="L34" i="7"/>
  <c r="K34" i="7"/>
  <c r="L33" i="7"/>
  <c r="K33" i="7"/>
  <c r="H33" i="7"/>
  <c r="G33" i="7"/>
  <c r="F33" i="7"/>
  <c r="E33" i="7"/>
  <c r="D33" i="7"/>
  <c r="C33" i="7"/>
  <c r="B33" i="7"/>
  <c r="L32" i="7"/>
  <c r="K32" i="7"/>
  <c r="H32" i="7"/>
  <c r="I32" i="7" s="1"/>
  <c r="J32" i="7" s="1"/>
  <c r="G32" i="7"/>
  <c r="F32" i="7"/>
  <c r="E32" i="7"/>
  <c r="D32" i="7"/>
  <c r="C32" i="7"/>
  <c r="B32" i="7"/>
  <c r="L30" i="7"/>
  <c r="K30" i="7"/>
  <c r="F30" i="7"/>
  <c r="F34" i="7" s="1"/>
  <c r="E30" i="7"/>
  <c r="E34" i="7" s="1"/>
  <c r="D30" i="7"/>
  <c r="D34" i="7" s="1"/>
  <c r="C30" i="7"/>
  <c r="C34" i="7" s="1"/>
  <c r="B30" i="7"/>
  <c r="B34" i="7" s="1"/>
  <c r="L26" i="7"/>
  <c r="K26" i="7"/>
  <c r="L25" i="7"/>
  <c r="K25" i="7"/>
  <c r="J25" i="7"/>
  <c r="I25" i="7"/>
  <c r="H25" i="7"/>
  <c r="G25" i="7"/>
  <c r="F25" i="7"/>
  <c r="E25" i="7"/>
  <c r="D25" i="7"/>
  <c r="C25" i="7"/>
  <c r="B25" i="7"/>
  <c r="L24" i="7"/>
  <c r="K24" i="7"/>
  <c r="L23" i="7"/>
  <c r="K23" i="7"/>
  <c r="I23" i="7"/>
  <c r="H23" i="7"/>
  <c r="G23" i="7"/>
  <c r="F23" i="7"/>
  <c r="E23" i="7"/>
  <c r="D23" i="7"/>
  <c r="C23" i="7"/>
  <c r="J23" i="7" s="1"/>
  <c r="B23" i="7"/>
  <c r="A23" i="7"/>
  <c r="L22" i="7"/>
  <c r="K22" i="7"/>
  <c r="F22" i="7"/>
  <c r="E22" i="7"/>
  <c r="D22" i="7"/>
  <c r="C22" i="7"/>
  <c r="B22" i="7"/>
  <c r="A22" i="7"/>
  <c r="L21" i="7"/>
  <c r="K21" i="7"/>
  <c r="L20" i="7"/>
  <c r="K20" i="7"/>
  <c r="L19" i="7"/>
  <c r="K19" i="7"/>
  <c r="L18" i="7"/>
  <c r="K18" i="7"/>
  <c r="I18" i="7"/>
  <c r="H18" i="7"/>
  <c r="G18" i="7"/>
  <c r="F18" i="7"/>
  <c r="E18" i="7"/>
  <c r="D18" i="7"/>
  <c r="C18" i="7"/>
  <c r="J18" i="7" s="1"/>
  <c r="B18" i="7"/>
  <c r="L17" i="7"/>
  <c r="K17" i="7"/>
  <c r="H17" i="7"/>
  <c r="G17" i="7"/>
  <c r="F17" i="7"/>
  <c r="E17" i="7"/>
  <c r="D17" i="7"/>
  <c r="B17" i="7"/>
  <c r="L16" i="7"/>
  <c r="K16" i="7"/>
  <c r="H16" i="7"/>
  <c r="G16" i="7"/>
  <c r="F16" i="7"/>
  <c r="E16" i="7"/>
  <c r="D16" i="7"/>
  <c r="C16" i="7"/>
  <c r="B16" i="7"/>
  <c r="L15" i="7"/>
  <c r="K15" i="7"/>
  <c r="I15" i="7"/>
  <c r="H15" i="7"/>
  <c r="G15" i="7"/>
  <c r="F15" i="7"/>
  <c r="E15" i="7"/>
  <c r="D15" i="7"/>
  <c r="B15" i="7"/>
  <c r="L14" i="7"/>
  <c r="K14" i="7"/>
  <c r="I14" i="7"/>
  <c r="H14" i="7"/>
  <c r="G14" i="7"/>
  <c r="F14" i="7"/>
  <c r="E14" i="7"/>
  <c r="D14" i="7"/>
  <c r="C14" i="7"/>
  <c r="B14" i="7"/>
  <c r="L13" i="7"/>
  <c r="K13" i="7"/>
  <c r="G13" i="7"/>
  <c r="F13" i="7"/>
  <c r="E13" i="7"/>
  <c r="D13" i="7"/>
  <c r="L12" i="7"/>
  <c r="K12" i="7"/>
  <c r="F12" i="7"/>
  <c r="E12" i="7"/>
  <c r="D12" i="7"/>
  <c r="B12" i="7"/>
  <c r="L11" i="7"/>
  <c r="K11" i="7"/>
  <c r="H11" i="7"/>
  <c r="I11" i="7" s="1"/>
  <c r="G11" i="7"/>
  <c r="F11" i="7"/>
  <c r="E11" i="7"/>
  <c r="D11" i="7"/>
  <c r="C11" i="7"/>
  <c r="B11" i="7"/>
  <c r="L10" i="7"/>
  <c r="K10" i="7"/>
  <c r="F10" i="7"/>
  <c r="E10" i="7"/>
  <c r="D10" i="7"/>
  <c r="C10" i="7"/>
  <c r="B10" i="7"/>
  <c r="L9" i="7"/>
  <c r="K9" i="7"/>
  <c r="I9" i="7"/>
  <c r="H9" i="7"/>
  <c r="G9" i="7"/>
  <c r="F9" i="7"/>
  <c r="E9" i="7"/>
  <c r="D9" i="7"/>
  <c r="C9" i="7"/>
  <c r="J9" i="7" s="1"/>
  <c r="B9" i="7"/>
  <c r="L8" i="7"/>
  <c r="K8" i="7"/>
  <c r="G8" i="7"/>
  <c r="F8" i="7"/>
  <c r="E8" i="7"/>
  <c r="D8" i="7"/>
  <c r="B8" i="7"/>
  <c r="L7" i="7"/>
  <c r="K7" i="7"/>
  <c r="I7" i="7"/>
  <c r="H7" i="7"/>
  <c r="G7" i="7"/>
  <c r="F7" i="7"/>
  <c r="E7" i="7"/>
  <c r="D7" i="7"/>
  <c r="C7" i="7"/>
  <c r="J7" i="7" s="1"/>
  <c r="B7" i="7"/>
  <c r="L3" i="7"/>
  <c r="K3" i="7"/>
  <c r="J3" i="7"/>
  <c r="I3" i="7"/>
  <c r="H3" i="7"/>
  <c r="G3" i="7"/>
  <c r="F3" i="7"/>
  <c r="E3" i="7"/>
  <c r="D3" i="7"/>
  <c r="C3" i="7"/>
  <c r="B3" i="7"/>
  <c r="L2" i="7"/>
  <c r="K2" i="7"/>
  <c r="B2" i="7"/>
  <c r="A2" i="7"/>
  <c r="A1" i="7"/>
  <c r="B8" i="50"/>
  <c r="B4" i="50"/>
  <c r="A1" i="50"/>
  <c r="D184" i="51"/>
  <c r="D183" i="51"/>
  <c r="D182" i="51"/>
  <c r="D181" i="51"/>
  <c r="D180" i="51"/>
  <c r="D179" i="51"/>
  <c r="D178" i="51"/>
  <c r="D177" i="51"/>
  <c r="D176" i="51"/>
  <c r="D175" i="51"/>
  <c r="D173" i="51"/>
  <c r="D172" i="51"/>
  <c r="D171" i="51"/>
  <c r="D170" i="51"/>
  <c r="D169" i="51"/>
  <c r="D168" i="51"/>
  <c r="D167" i="51"/>
  <c r="D166" i="51"/>
  <c r="D165" i="51"/>
  <c r="D164" i="51"/>
  <c r="D162" i="51"/>
  <c r="D161" i="51"/>
  <c r="D160" i="51"/>
  <c r="D159" i="51"/>
  <c r="D158" i="51"/>
  <c r="D157" i="51"/>
  <c r="D156" i="51"/>
  <c r="D155" i="51"/>
  <c r="D154" i="51"/>
  <c r="D153" i="51"/>
  <c r="D151" i="51"/>
  <c r="D150" i="51"/>
  <c r="D149" i="51"/>
  <c r="D148" i="51"/>
  <c r="D147" i="51"/>
  <c r="D146" i="51"/>
  <c r="D145" i="51"/>
  <c r="D144" i="51"/>
  <c r="D143" i="51"/>
  <c r="D142" i="51"/>
  <c r="D140" i="51"/>
  <c r="D139" i="51"/>
  <c r="D138" i="51"/>
  <c r="D137" i="51"/>
  <c r="D136" i="51"/>
  <c r="D135" i="51"/>
  <c r="D134" i="51"/>
  <c r="D133" i="51"/>
  <c r="D132" i="51"/>
  <c r="D131" i="51"/>
  <c r="D129" i="51"/>
  <c r="D128" i="51"/>
  <c r="D127" i="51"/>
  <c r="D126" i="51"/>
  <c r="D125" i="51"/>
  <c r="D124" i="51"/>
  <c r="D123" i="51"/>
  <c r="D122" i="51"/>
  <c r="D121" i="51"/>
  <c r="D120" i="51"/>
  <c r="D118" i="51"/>
  <c r="D117" i="51"/>
  <c r="D116" i="51"/>
  <c r="D115" i="51"/>
  <c r="D114" i="51"/>
  <c r="D113" i="51"/>
  <c r="D112" i="51"/>
  <c r="D111" i="51"/>
  <c r="D110" i="51"/>
  <c r="D109" i="51"/>
  <c r="D107" i="51"/>
  <c r="D106" i="51"/>
  <c r="D105" i="51"/>
  <c r="D104" i="51"/>
  <c r="D103" i="51"/>
  <c r="D102" i="51"/>
  <c r="D101" i="51"/>
  <c r="D100" i="51"/>
  <c r="D99" i="51"/>
  <c r="D98" i="51"/>
  <c r="D90" i="51"/>
  <c r="D89" i="51"/>
  <c r="D88" i="51"/>
  <c r="D87" i="51"/>
  <c r="D86" i="51"/>
  <c r="D85" i="51"/>
  <c r="D84" i="51"/>
  <c r="D83" i="51"/>
  <c r="D82" i="51"/>
  <c r="D81" i="51"/>
  <c r="D74" i="51"/>
  <c r="D73" i="51"/>
  <c r="D72" i="51"/>
  <c r="D71" i="51"/>
  <c r="D70" i="51"/>
  <c r="D69" i="51"/>
  <c r="D68" i="51"/>
  <c r="D67" i="51"/>
  <c r="D66" i="51"/>
  <c r="D65" i="51"/>
  <c r="D56" i="51"/>
  <c r="D55" i="51"/>
  <c r="D54" i="51"/>
  <c r="D53" i="51"/>
  <c r="D52" i="51"/>
  <c r="D51" i="51"/>
  <c r="D50" i="51"/>
  <c r="D49" i="51"/>
  <c r="D48" i="51"/>
  <c r="D47" i="51"/>
  <c r="D45" i="51"/>
  <c r="D44" i="51"/>
  <c r="D43" i="51"/>
  <c r="D42" i="51"/>
  <c r="D41" i="51"/>
  <c r="D40" i="51"/>
  <c r="D39" i="51"/>
  <c r="D38" i="51"/>
  <c r="D37" i="51"/>
  <c r="D36" i="51"/>
  <c r="D34" i="51"/>
  <c r="D33" i="51"/>
  <c r="D32" i="51"/>
  <c r="D31" i="51"/>
  <c r="D30" i="51"/>
  <c r="D29" i="51"/>
  <c r="D28" i="51"/>
  <c r="D27" i="51"/>
  <c r="D26" i="51"/>
  <c r="D25" i="51"/>
  <c r="D23" i="51"/>
  <c r="D22" i="51"/>
  <c r="D21" i="51"/>
  <c r="D20" i="51"/>
  <c r="D19" i="51"/>
  <c r="D18" i="51"/>
  <c r="D17" i="51"/>
  <c r="D16" i="51"/>
  <c r="A16" i="51"/>
  <c r="D15" i="51"/>
  <c r="A15" i="51"/>
  <c r="D14" i="51"/>
  <c r="A14" i="51"/>
  <c r="A13" i="51"/>
  <c r="D12" i="51"/>
  <c r="A12" i="51"/>
  <c r="D11" i="51"/>
  <c r="A11" i="51"/>
  <c r="D10" i="51"/>
  <c r="A10" i="51"/>
  <c r="D9" i="51"/>
  <c r="A9" i="51"/>
  <c r="D8" i="51"/>
  <c r="A8" i="51"/>
  <c r="D7" i="51"/>
  <c r="A7" i="51"/>
  <c r="D6" i="51"/>
  <c r="A6" i="51"/>
  <c r="D5" i="51"/>
  <c r="A5" i="51"/>
  <c r="D4" i="51"/>
  <c r="A4" i="51"/>
  <c r="D3" i="51"/>
  <c r="A3" i="51"/>
  <c r="A2" i="51"/>
  <c r="C308" i="38"/>
  <c r="B28" i="38"/>
  <c r="O10" i="38"/>
  <c r="N10" i="38"/>
  <c r="M10" i="38"/>
  <c r="L10" i="38"/>
  <c r="K10" i="38"/>
  <c r="J10" i="38"/>
  <c r="I10" i="38"/>
  <c r="H10" i="38"/>
  <c r="G10" i="38"/>
  <c r="F10" i="38"/>
  <c r="E10" i="38"/>
  <c r="O9" i="38"/>
  <c r="N9" i="38"/>
  <c r="M9" i="38"/>
  <c r="L9" i="38"/>
  <c r="K9" i="38"/>
  <c r="J9" i="38"/>
  <c r="I9" i="38"/>
  <c r="H9" i="38"/>
  <c r="G9" i="38"/>
  <c r="F9" i="38"/>
  <c r="E9" i="38"/>
  <c r="A9" i="38"/>
  <c r="O8" i="38"/>
  <c r="N8" i="38"/>
  <c r="M8" i="38"/>
  <c r="L8" i="38"/>
  <c r="K8" i="38"/>
  <c r="J8" i="38"/>
  <c r="I8" i="38"/>
  <c r="H8" i="38"/>
  <c r="G8" i="38"/>
  <c r="F8" i="38"/>
  <c r="E8" i="38"/>
  <c r="A8" i="38"/>
  <c r="O7" i="38"/>
  <c r="N7" i="38"/>
  <c r="M7" i="38"/>
  <c r="L7" i="38"/>
  <c r="K7" i="38"/>
  <c r="J7" i="38"/>
  <c r="I7" i="38"/>
  <c r="H7" i="38"/>
  <c r="G7" i="38"/>
  <c r="F7" i="38"/>
  <c r="E7" i="38"/>
  <c r="A7" i="38"/>
  <c r="O6" i="38"/>
  <c r="N6" i="38"/>
  <c r="M6" i="38"/>
  <c r="L6" i="38"/>
  <c r="K6" i="38"/>
  <c r="J6" i="38"/>
  <c r="I6" i="38"/>
  <c r="H6" i="38"/>
  <c r="G6" i="38"/>
  <c r="F6" i="38"/>
  <c r="E6" i="38"/>
  <c r="A6" i="38"/>
  <c r="O5" i="38"/>
  <c r="N5" i="38"/>
  <c r="M5" i="38"/>
  <c r="L5" i="38"/>
  <c r="K5" i="38"/>
  <c r="J5" i="38"/>
  <c r="I5" i="38"/>
  <c r="H5" i="38"/>
  <c r="G5" i="38"/>
  <c r="F5" i="38"/>
  <c r="E5" i="38"/>
  <c r="A5" i="38"/>
  <c r="O4" i="38"/>
  <c r="N4" i="38"/>
  <c r="M4" i="38"/>
  <c r="L4" i="38"/>
  <c r="K4" i="38"/>
  <c r="J4" i="38"/>
  <c r="I4" i="38"/>
  <c r="H4" i="38"/>
  <c r="G4" i="38"/>
  <c r="F4" i="38"/>
  <c r="E4" i="38"/>
  <c r="A4" i="38"/>
  <c r="O3" i="38"/>
  <c r="N3" i="38"/>
  <c r="M3" i="38"/>
  <c r="L3" i="38"/>
  <c r="K3" i="38"/>
  <c r="J3" i="38"/>
  <c r="I3" i="38"/>
  <c r="H3" i="38"/>
  <c r="G3" i="38"/>
  <c r="F3" i="38"/>
  <c r="E3" i="38"/>
  <c r="A3" i="38"/>
  <c r="O2" i="38"/>
  <c r="N2" i="38"/>
  <c r="M2" i="38"/>
  <c r="L2" i="38"/>
  <c r="K2" i="38"/>
  <c r="J2" i="38"/>
  <c r="I2" i="38"/>
  <c r="H2" i="38"/>
  <c r="G2" i="38"/>
  <c r="F2" i="38"/>
  <c r="E2" i="38"/>
  <c r="A2" i="38"/>
  <c r="E100" i="39"/>
  <c r="D100" i="39"/>
  <c r="B100" i="39"/>
  <c r="F99" i="39"/>
  <c r="E99" i="39"/>
  <c r="D99" i="39"/>
  <c r="B99" i="39"/>
  <c r="F98" i="39"/>
  <c r="E98" i="39"/>
  <c r="D98" i="39"/>
  <c r="B98" i="39"/>
  <c r="F97" i="39"/>
  <c r="E97" i="39"/>
  <c r="D97" i="39"/>
  <c r="B97" i="39"/>
  <c r="F96" i="39"/>
  <c r="E96" i="39"/>
  <c r="D96" i="39"/>
  <c r="B96" i="39"/>
  <c r="F95" i="39"/>
  <c r="E95" i="39"/>
  <c r="D95" i="39"/>
  <c r="B95" i="39"/>
  <c r="F94" i="39"/>
  <c r="E94" i="39"/>
  <c r="D94" i="39"/>
  <c r="B94" i="39"/>
  <c r="F93" i="39"/>
  <c r="E93" i="39"/>
  <c r="D93" i="39"/>
  <c r="B93" i="39"/>
  <c r="F92" i="39"/>
  <c r="E92" i="39"/>
  <c r="D92" i="39"/>
  <c r="B92" i="39"/>
  <c r="F91" i="39"/>
  <c r="E91" i="39"/>
  <c r="D91" i="39"/>
  <c r="B91" i="39"/>
  <c r="F90" i="39"/>
  <c r="E90" i="39"/>
  <c r="D90" i="39"/>
  <c r="B90" i="39"/>
  <c r="F89" i="39"/>
  <c r="E89" i="39"/>
  <c r="D89" i="39"/>
  <c r="B89" i="39"/>
  <c r="F88" i="39"/>
  <c r="E88" i="39"/>
  <c r="D88" i="39"/>
  <c r="B88" i="39"/>
  <c r="F87" i="39"/>
  <c r="E87" i="39"/>
  <c r="D87" i="39"/>
  <c r="B87" i="39"/>
  <c r="F86" i="39"/>
  <c r="E86" i="39"/>
  <c r="D86" i="39"/>
  <c r="B86" i="39"/>
  <c r="F85" i="39"/>
  <c r="E85" i="39"/>
  <c r="D85" i="39"/>
  <c r="B85" i="39"/>
  <c r="F84" i="39"/>
  <c r="E84" i="39"/>
  <c r="D84" i="39"/>
  <c r="B84" i="39"/>
  <c r="F83" i="39"/>
  <c r="E83" i="39"/>
  <c r="D83" i="39"/>
  <c r="B83" i="39"/>
  <c r="F82" i="39"/>
  <c r="E82" i="39"/>
  <c r="D82" i="39"/>
  <c r="B82" i="39"/>
  <c r="F81" i="39"/>
  <c r="E81" i="39"/>
  <c r="D81" i="39"/>
  <c r="B81" i="39"/>
  <c r="F80" i="39"/>
  <c r="E80" i="39"/>
  <c r="D80" i="39"/>
  <c r="B80" i="39"/>
  <c r="F79" i="39"/>
  <c r="E79" i="39"/>
  <c r="D79" i="39"/>
  <c r="B79" i="39"/>
  <c r="F78" i="39"/>
  <c r="E78" i="39"/>
  <c r="D78" i="39"/>
  <c r="B78" i="39"/>
  <c r="F77" i="39"/>
  <c r="E77" i="39"/>
  <c r="D77" i="39"/>
  <c r="B77" i="39"/>
  <c r="F76" i="39"/>
  <c r="E76" i="39"/>
  <c r="B76" i="39"/>
  <c r="F75" i="39"/>
  <c r="E75" i="39"/>
  <c r="B75" i="39"/>
  <c r="F74" i="39"/>
  <c r="E74" i="39"/>
  <c r="B74" i="39"/>
  <c r="F73" i="39"/>
  <c r="E73" i="39"/>
  <c r="B73" i="39"/>
  <c r="F72" i="39"/>
  <c r="E72" i="39"/>
  <c r="B72" i="39"/>
  <c r="F71" i="39"/>
  <c r="E71" i="39"/>
  <c r="B71" i="39"/>
  <c r="F70" i="39"/>
  <c r="E70" i="39"/>
  <c r="B70" i="39"/>
  <c r="F69" i="39"/>
  <c r="E69" i="39"/>
  <c r="B69" i="39"/>
  <c r="F68" i="39"/>
  <c r="E68" i="39"/>
  <c r="B68" i="39"/>
  <c r="F67" i="39"/>
  <c r="E67" i="39"/>
  <c r="B67" i="39"/>
  <c r="A65" i="39"/>
  <c r="B63" i="39"/>
  <c r="B38" i="39"/>
  <c r="B18" i="39"/>
  <c r="B17" i="39"/>
  <c r="B16" i="39"/>
  <c r="B7" i="39"/>
  <c r="B6" i="39"/>
  <c r="B5" i="39"/>
  <c r="B4" i="39"/>
  <c r="B3" i="39"/>
  <c r="B2" i="39"/>
  <c r="X38" i="45"/>
  <c r="X36" i="45"/>
  <c r="A1" i="40"/>
  <c r="L65" i="18" l="1"/>
  <c r="L47" i="12"/>
  <c r="L50" i="12" s="1"/>
  <c r="K41" i="7" s="1"/>
  <c r="M65" i="18"/>
  <c r="M47" i="12"/>
  <c r="M50" i="12" s="1"/>
  <c r="L41" i="7" s="1"/>
  <c r="F22" i="8"/>
  <c r="J106" i="47"/>
  <c r="K106" i="47" s="1"/>
  <c r="J13" i="8"/>
  <c r="K13" i="8" s="1"/>
  <c r="P12" i="28" s="1"/>
  <c r="N12" i="28" s="1"/>
  <c r="O12" i="28" s="1"/>
  <c r="J18" i="8"/>
  <c r="J20" i="8"/>
  <c r="E40" i="8"/>
  <c r="E55" i="8" s="1"/>
  <c r="J62" i="47"/>
  <c r="K62" i="47" s="1"/>
  <c r="J128" i="47"/>
  <c r="K161" i="47"/>
  <c r="J307" i="47"/>
  <c r="K307" i="47" s="1"/>
  <c r="L340" i="47"/>
  <c r="L342" i="47" s="1"/>
  <c r="C22" i="8"/>
  <c r="C54" i="8" s="1"/>
  <c r="J16" i="8"/>
  <c r="K16" i="8" s="1"/>
  <c r="P15" i="28" s="1"/>
  <c r="N15" i="28" s="1"/>
  <c r="F40" i="8"/>
  <c r="D36" i="8"/>
  <c r="J39" i="8"/>
  <c r="G22" i="8"/>
  <c r="G54" i="8" s="1"/>
  <c r="K139" i="47"/>
  <c r="K150" i="47"/>
  <c r="E340" i="47"/>
  <c r="E342" i="47" s="1"/>
  <c r="J296" i="47"/>
  <c r="K296" i="47" s="1"/>
  <c r="J329" i="47"/>
  <c r="K329" i="47" s="1"/>
  <c r="K18" i="8"/>
  <c r="P17" i="28" s="1"/>
  <c r="N17" i="28" s="1"/>
  <c r="J19" i="8"/>
  <c r="K20" i="8"/>
  <c r="P19" i="28" s="1"/>
  <c r="N19" i="28" s="1"/>
  <c r="J21" i="8"/>
  <c r="R39" i="28"/>
  <c r="J36" i="8"/>
  <c r="F172" i="47"/>
  <c r="K128" i="47"/>
  <c r="F340" i="47"/>
  <c r="J230" i="47"/>
  <c r="K230" i="47" s="1"/>
  <c r="I30" i="8"/>
  <c r="K318" i="47"/>
  <c r="D38" i="8"/>
  <c r="J29" i="47"/>
  <c r="K29" i="47" s="1"/>
  <c r="J51" i="47"/>
  <c r="J175" i="47"/>
  <c r="K175" i="47" s="1"/>
  <c r="J241" i="47"/>
  <c r="J186" i="47"/>
  <c r="J197" i="47"/>
  <c r="K197" i="47" s="1"/>
  <c r="C340" i="47"/>
  <c r="C342" i="47" s="1"/>
  <c r="J7" i="47"/>
  <c r="J40" i="47"/>
  <c r="K40" i="47" s="1"/>
  <c r="J208" i="47"/>
  <c r="J252" i="47"/>
  <c r="K252" i="47" s="1"/>
  <c r="F54" i="8"/>
  <c r="F41" i="8"/>
  <c r="Q21" i="28"/>
  <c r="K19" i="8"/>
  <c r="P18" i="28" s="1"/>
  <c r="N18" i="28" s="1"/>
  <c r="K21" i="8"/>
  <c r="P20" i="28" s="1"/>
  <c r="N20" i="28" s="1"/>
  <c r="O20" i="28" s="1"/>
  <c r="K37" i="8"/>
  <c r="P36" i="28" s="1"/>
  <c r="N36" i="28" s="1"/>
  <c r="O36" i="28" s="1"/>
  <c r="K39" i="8"/>
  <c r="P38" i="28" s="1"/>
  <c r="N38" i="28" s="1"/>
  <c r="O38" i="28" s="1"/>
  <c r="Q39" i="28"/>
  <c r="K38" i="8"/>
  <c r="P37" i="28" s="1"/>
  <c r="N37" i="28" s="1"/>
  <c r="O37" i="28" s="1"/>
  <c r="R21" i="28"/>
  <c r="L40" i="8"/>
  <c r="L55" i="8" s="1"/>
  <c r="J7" i="8"/>
  <c r="J14" i="8"/>
  <c r="K14" i="8" s="1"/>
  <c r="P13" i="28" s="1"/>
  <c r="N13" i="28" s="1"/>
  <c r="O13" i="28" s="1"/>
  <c r="L22" i="8"/>
  <c r="J29" i="8"/>
  <c r="M40" i="8"/>
  <c r="M55" i="8" s="1"/>
  <c r="G172" i="47"/>
  <c r="J10" i="8"/>
  <c r="M22" i="8"/>
  <c r="J30" i="8"/>
  <c r="J18" i="47"/>
  <c r="K18" i="47" s="1"/>
  <c r="J35" i="8"/>
  <c r="J17" i="8"/>
  <c r="J25" i="8"/>
  <c r="K25" i="8" s="1"/>
  <c r="P24" i="28" s="1"/>
  <c r="E8" i="8"/>
  <c r="E22" i="8" s="1"/>
  <c r="I8" i="8"/>
  <c r="J11" i="8"/>
  <c r="I8" i="37"/>
  <c r="J8" i="37" s="1"/>
  <c r="I49" i="15"/>
  <c r="J44" i="15"/>
  <c r="J49" i="15"/>
  <c r="J120" i="53"/>
  <c r="I109" i="15"/>
  <c r="K46" i="53"/>
  <c r="K77" i="15" s="1"/>
  <c r="J77" i="15"/>
  <c r="I82" i="15"/>
  <c r="I84" i="15" s="1"/>
  <c r="I108" i="15"/>
  <c r="K154" i="1"/>
  <c r="K197" i="15" s="1"/>
  <c r="K151" i="1"/>
  <c r="K196" i="15" s="1"/>
  <c r="K77" i="1"/>
  <c r="K182" i="15" s="1"/>
  <c r="J182" i="15"/>
  <c r="I184" i="15"/>
  <c r="J184" i="15"/>
  <c r="K46" i="1"/>
  <c r="K177" i="15" s="1"/>
  <c r="K39" i="1"/>
  <c r="K176" i="15" s="1"/>
  <c r="J176" i="15"/>
  <c r="J9" i="1"/>
  <c r="J172" i="15" s="1"/>
  <c r="I120" i="1"/>
  <c r="J120" i="1" s="1"/>
  <c r="I76" i="1"/>
  <c r="J76" i="1" s="1"/>
  <c r="K18" i="1"/>
  <c r="K174" i="15" s="1"/>
  <c r="J174" i="15"/>
  <c r="I8" i="1"/>
  <c r="I50" i="15"/>
  <c r="I52" i="15" s="1"/>
  <c r="K49" i="15"/>
  <c r="J160" i="34"/>
  <c r="J35" i="15" s="1"/>
  <c r="J131" i="15" s="1"/>
  <c r="I126" i="15"/>
  <c r="J126" i="15"/>
  <c r="K141" i="34"/>
  <c r="I121" i="15"/>
  <c r="K121" i="34"/>
  <c r="K25" i="15" s="1"/>
  <c r="I112" i="34"/>
  <c r="J112" i="34" s="1"/>
  <c r="I118" i="15"/>
  <c r="I76" i="34"/>
  <c r="J39" i="34"/>
  <c r="J12" i="15" s="1"/>
  <c r="K46" i="18"/>
  <c r="J41" i="12"/>
  <c r="K40" i="12"/>
  <c r="J40" i="18"/>
  <c r="J36" i="18"/>
  <c r="J36" i="12"/>
  <c r="J42" i="12" s="1"/>
  <c r="K34" i="12"/>
  <c r="K32" i="18"/>
  <c r="K36" i="18" s="1"/>
  <c r="I36" i="12"/>
  <c r="H39" i="7" s="1"/>
  <c r="I39" i="7" s="1"/>
  <c r="I14" i="18"/>
  <c r="I10" i="12" s="1"/>
  <c r="J10" i="12" s="1"/>
  <c r="J14" i="18"/>
  <c r="J241" i="48"/>
  <c r="J31" i="11"/>
  <c r="K8" i="11"/>
  <c r="K10" i="11"/>
  <c r="P8" i="32" s="1"/>
  <c r="N8" i="32" s="1"/>
  <c r="K12" i="11"/>
  <c r="P10" i="32" s="1"/>
  <c r="N10" i="32" s="1"/>
  <c r="K14" i="11"/>
  <c r="P12" i="32" s="1"/>
  <c r="N12" i="32" s="1"/>
  <c r="K16" i="11"/>
  <c r="P14" i="32" s="1"/>
  <c r="N14" i="32" s="1"/>
  <c r="K18" i="11"/>
  <c r="P16" i="32" s="1"/>
  <c r="N16" i="32" s="1"/>
  <c r="K20" i="11"/>
  <c r="P18" i="32" s="1"/>
  <c r="N18" i="32" s="1"/>
  <c r="K22" i="11"/>
  <c r="P20" i="32" s="1"/>
  <c r="N20" i="32" s="1"/>
  <c r="F42" i="11"/>
  <c r="E29" i="7" s="1"/>
  <c r="K36" i="11"/>
  <c r="P34" i="32" s="1"/>
  <c r="N34" i="32" s="1"/>
  <c r="K40" i="11"/>
  <c r="P38" i="32" s="1"/>
  <c r="N38" i="32" s="1"/>
  <c r="N7" i="32"/>
  <c r="E42" i="11"/>
  <c r="D29" i="7" s="1"/>
  <c r="K27" i="11"/>
  <c r="P25" i="32" s="1"/>
  <c r="N25" i="32" s="1"/>
  <c r="K39" i="11"/>
  <c r="P37" i="32" s="1"/>
  <c r="N37" i="32" s="1"/>
  <c r="Q40" i="32"/>
  <c r="Q22" i="32"/>
  <c r="E23" i="11"/>
  <c r="M23" i="11"/>
  <c r="J26" i="11"/>
  <c r="K26" i="11" s="1"/>
  <c r="P24" i="32" s="1"/>
  <c r="J33" i="11"/>
  <c r="K33" i="11" s="1"/>
  <c r="P31" i="32" s="1"/>
  <c r="N31" i="32" s="1"/>
  <c r="A188" i="48"/>
  <c r="A27" i="11" s="1"/>
  <c r="A199" i="48"/>
  <c r="A28" i="11" s="1"/>
  <c r="A210" i="48"/>
  <c r="A29" i="11" s="1"/>
  <c r="J85" i="48"/>
  <c r="K118" i="48"/>
  <c r="A331" i="48"/>
  <c r="A339" i="48"/>
  <c r="R22" i="32"/>
  <c r="L41" i="11"/>
  <c r="L42" i="11" s="1"/>
  <c r="K29" i="7" s="1"/>
  <c r="A193" i="48"/>
  <c r="K96" i="48"/>
  <c r="A317" i="48"/>
  <c r="A322" i="48"/>
  <c r="A330" i="48"/>
  <c r="A38" i="11" s="1"/>
  <c r="F364" i="48"/>
  <c r="L364" i="48"/>
  <c r="C23" i="11"/>
  <c r="C42" i="11" s="1"/>
  <c r="B29" i="7" s="1"/>
  <c r="R39" i="32"/>
  <c r="R40" i="32" s="1"/>
  <c r="R45" i="32" s="1"/>
  <c r="J34" i="11"/>
  <c r="K34" i="11" s="1"/>
  <c r="P32" i="32" s="1"/>
  <c r="N32" i="32" s="1"/>
  <c r="M41" i="11"/>
  <c r="M42" i="11" s="1"/>
  <c r="L29" i="7" s="1"/>
  <c r="J173" i="48"/>
  <c r="K173" i="48" s="1"/>
  <c r="K19" i="48"/>
  <c r="A195" i="48"/>
  <c r="K30" i="48"/>
  <c r="K41" i="48"/>
  <c r="A217" i="48"/>
  <c r="K52" i="48"/>
  <c r="K63" i="48"/>
  <c r="K74" i="48"/>
  <c r="K85" i="48"/>
  <c r="A295" i="48"/>
  <c r="J129" i="48"/>
  <c r="K129" i="48" s="1"/>
  <c r="A335" i="48"/>
  <c r="K162" i="48"/>
  <c r="J8" i="48"/>
  <c r="K8" i="48" s="1"/>
  <c r="A197" i="48"/>
  <c r="A208" i="48"/>
  <c r="A219" i="48"/>
  <c r="J107" i="48"/>
  <c r="K107" i="48" s="1"/>
  <c r="A313" i="48"/>
  <c r="A326" i="48"/>
  <c r="K140" i="48"/>
  <c r="K151" i="48"/>
  <c r="K188" i="48"/>
  <c r="A344" i="48"/>
  <c r="A348" i="48"/>
  <c r="A352" i="48"/>
  <c r="A40" i="11" s="1"/>
  <c r="A353" i="48"/>
  <c r="A357" i="48"/>
  <c r="A361" i="48"/>
  <c r="J286" i="48"/>
  <c r="K286" i="48" s="1"/>
  <c r="A306" i="48"/>
  <c r="K319" i="48"/>
  <c r="A324" i="48"/>
  <c r="C364" i="48"/>
  <c r="A220" i="48"/>
  <c r="A253" i="48"/>
  <c r="A285" i="48"/>
  <c r="A307" i="48"/>
  <c r="A312" i="48"/>
  <c r="A316" i="48"/>
  <c r="A321" i="48"/>
  <c r="A325" i="48"/>
  <c r="A329" i="48"/>
  <c r="A334" i="48"/>
  <c r="A338" i="48"/>
  <c r="A343" i="48"/>
  <c r="A347" i="48"/>
  <c r="A351" i="48"/>
  <c r="A356" i="48"/>
  <c r="A360" i="48"/>
  <c r="G364" i="48"/>
  <c r="M363" i="48"/>
  <c r="M364" i="48" s="1"/>
  <c r="A194" i="48"/>
  <c r="A198" i="48"/>
  <c r="A209" i="48"/>
  <c r="A218" i="48"/>
  <c r="J30" i="11"/>
  <c r="K308" i="48"/>
  <c r="A320" i="48"/>
  <c r="J330" i="48"/>
  <c r="K330" i="48" s="1"/>
  <c r="A341" i="48"/>
  <c r="A39" i="11" s="1"/>
  <c r="J352" i="48"/>
  <c r="A359" i="48"/>
  <c r="A252" i="48"/>
  <c r="A240" i="48"/>
  <c r="D31" i="11"/>
  <c r="K31" i="11" s="1"/>
  <c r="P29" i="32" s="1"/>
  <c r="N29" i="32" s="1"/>
  <c r="K241" i="48"/>
  <c r="A319" i="48"/>
  <c r="A37" i="11" s="1"/>
  <c r="A337" i="48"/>
  <c r="A350" i="48"/>
  <c r="A355" i="48"/>
  <c r="A270" i="48"/>
  <c r="A296" i="48"/>
  <c r="A314" i="48"/>
  <c r="A318" i="48"/>
  <c r="A323" i="48"/>
  <c r="A327" i="48"/>
  <c r="A332" i="48"/>
  <c r="A336" i="48"/>
  <c r="A340" i="48"/>
  <c r="A345" i="48"/>
  <c r="A349" i="48"/>
  <c r="A354" i="48"/>
  <c r="A358" i="48"/>
  <c r="A362" i="48"/>
  <c r="E363" i="48"/>
  <c r="E364" i="48" s="1"/>
  <c r="J177" i="48"/>
  <c r="K177" i="48" s="1"/>
  <c r="A187" i="48"/>
  <c r="A196" i="48"/>
  <c r="A207" i="48"/>
  <c r="A216" i="48"/>
  <c r="A315" i="48"/>
  <c r="A328" i="48"/>
  <c r="A333" i="48"/>
  <c r="K341" i="48"/>
  <c r="A346" i="48"/>
  <c r="K352" i="48"/>
  <c r="J271" i="48"/>
  <c r="K271" i="48" s="1"/>
  <c r="I32" i="8"/>
  <c r="K17" i="8"/>
  <c r="P16" i="28" s="1"/>
  <c r="N16" i="28" s="1"/>
  <c r="K10" i="8"/>
  <c r="P9" i="28" s="1"/>
  <c r="N9" i="28" s="1"/>
  <c r="O9" i="28" s="1"/>
  <c r="J28" i="8"/>
  <c r="I26" i="8"/>
  <c r="J26" i="8" s="1"/>
  <c r="K26" i="8" s="1"/>
  <c r="P25" i="28" s="1"/>
  <c r="N25" i="28" s="1"/>
  <c r="O25" i="28" s="1"/>
  <c r="I9" i="8"/>
  <c r="J9" i="8" s="1"/>
  <c r="K7" i="47"/>
  <c r="R18" i="29"/>
  <c r="M17" i="9"/>
  <c r="R16" i="29" s="1"/>
  <c r="D15" i="9"/>
  <c r="K15" i="9" s="1"/>
  <c r="P14" i="29" s="1"/>
  <c r="N14" i="29" s="1"/>
  <c r="O14" i="29" s="1"/>
  <c r="J48" i="9"/>
  <c r="G7" i="9"/>
  <c r="L17" i="9"/>
  <c r="Q16" i="29" s="1"/>
  <c r="J19" i="9"/>
  <c r="L44" i="9"/>
  <c r="Q43" i="29" s="1"/>
  <c r="M44" i="9"/>
  <c r="R43" i="29" s="1"/>
  <c r="R44" i="29"/>
  <c r="G44" i="9"/>
  <c r="D8" i="9"/>
  <c r="K8" i="9" s="1"/>
  <c r="E27" i="46"/>
  <c r="J28" i="46"/>
  <c r="I12" i="9"/>
  <c r="J12" i="9" s="1"/>
  <c r="G222" i="46"/>
  <c r="R11" i="29"/>
  <c r="Q29" i="29"/>
  <c r="J25" i="9"/>
  <c r="M40" i="9"/>
  <c r="R39" i="29" s="1"/>
  <c r="R41" i="29"/>
  <c r="H33" i="9"/>
  <c r="H129" i="46"/>
  <c r="F149" i="46"/>
  <c r="F36" i="9"/>
  <c r="F34" i="9" s="1"/>
  <c r="F50" i="9" s="1"/>
  <c r="F51" i="9" s="1"/>
  <c r="J36" i="9"/>
  <c r="J50" i="46"/>
  <c r="I13" i="9"/>
  <c r="L7" i="9"/>
  <c r="L11" i="9"/>
  <c r="Q10" i="29" s="1"/>
  <c r="R6" i="29"/>
  <c r="R26" i="29" s="1"/>
  <c r="M27" i="9"/>
  <c r="G50" i="9"/>
  <c r="E27" i="9"/>
  <c r="L21" i="9"/>
  <c r="Q20" i="29" s="1"/>
  <c r="G21" i="9"/>
  <c r="J22" i="9"/>
  <c r="R30" i="29"/>
  <c r="M30" i="9"/>
  <c r="H34" i="9"/>
  <c r="H27" i="46"/>
  <c r="H13" i="9"/>
  <c r="H11" i="9" s="1"/>
  <c r="J14" i="9"/>
  <c r="E76" i="46"/>
  <c r="J93" i="46"/>
  <c r="J119" i="46"/>
  <c r="K119" i="46" s="1"/>
  <c r="E26" i="9"/>
  <c r="J26" i="9" s="1"/>
  <c r="K26" i="9" s="1"/>
  <c r="P25" i="29" s="1"/>
  <c r="N25" i="29" s="1"/>
  <c r="O25" i="29" s="1"/>
  <c r="K22" i="9"/>
  <c r="P21" i="29" s="1"/>
  <c r="N21" i="29" s="1"/>
  <c r="O21" i="29" s="1"/>
  <c r="J33" i="9"/>
  <c r="J49" i="9"/>
  <c r="K49" i="9" s="1"/>
  <c r="P48" i="29" s="1"/>
  <c r="N48" i="29" s="1"/>
  <c r="J8" i="46"/>
  <c r="K8" i="46" s="1"/>
  <c r="F27" i="46"/>
  <c r="F126" i="46" s="1"/>
  <c r="F76" i="46"/>
  <c r="L76" i="46"/>
  <c r="J147" i="46"/>
  <c r="K147" i="46" s="1"/>
  <c r="C149" i="46"/>
  <c r="E45" i="9"/>
  <c r="E44" i="9" s="1"/>
  <c r="E222" i="46"/>
  <c r="L43" i="9"/>
  <c r="G27" i="46"/>
  <c r="G126" i="46" s="1"/>
  <c r="J65" i="46"/>
  <c r="K65" i="46" s="1"/>
  <c r="G76" i="46"/>
  <c r="F100" i="46"/>
  <c r="J101" i="46"/>
  <c r="J109" i="46"/>
  <c r="M35" i="9"/>
  <c r="M149" i="46"/>
  <c r="J187" i="46"/>
  <c r="H198" i="46"/>
  <c r="G248" i="46"/>
  <c r="J215" i="46"/>
  <c r="I43" i="9"/>
  <c r="J43" i="9" s="1"/>
  <c r="C31" i="9"/>
  <c r="C30" i="9" s="1"/>
  <c r="C129" i="46"/>
  <c r="M248" i="46"/>
  <c r="M249" i="46" s="1"/>
  <c r="J199" i="46"/>
  <c r="K199" i="46" s="1"/>
  <c r="C76" i="46"/>
  <c r="E129" i="46"/>
  <c r="J130" i="46"/>
  <c r="E198" i="46"/>
  <c r="E248" i="46" s="1"/>
  <c r="J227" i="46"/>
  <c r="K227" i="46" s="1"/>
  <c r="J38" i="9"/>
  <c r="K16" i="9"/>
  <c r="P15" i="29" s="1"/>
  <c r="N15" i="29" s="1"/>
  <c r="O15" i="29" s="1"/>
  <c r="J31" i="9"/>
  <c r="K31" i="9" s="1"/>
  <c r="P30" i="29" s="1"/>
  <c r="N30" i="29" s="1"/>
  <c r="O30" i="29" s="1"/>
  <c r="H30" i="9"/>
  <c r="L34" i="9"/>
  <c r="Q33" i="29" s="1"/>
  <c r="L7" i="46"/>
  <c r="L126" i="46" s="1"/>
  <c r="L249" i="46" s="1"/>
  <c r="K56" i="46"/>
  <c r="K68" i="46"/>
  <c r="I100" i="46"/>
  <c r="D24" i="9"/>
  <c r="K24" i="9" s="1"/>
  <c r="P23" i="29" s="1"/>
  <c r="N23" i="29" s="1"/>
  <c r="O23" i="29" s="1"/>
  <c r="K109" i="46"/>
  <c r="L129" i="46"/>
  <c r="L248" i="46" s="1"/>
  <c r="L149" i="46"/>
  <c r="J172" i="46"/>
  <c r="J178" i="46"/>
  <c r="C222" i="46"/>
  <c r="J231" i="46"/>
  <c r="K231" i="46" s="1"/>
  <c r="I47" i="9"/>
  <c r="J47" i="9" s="1"/>
  <c r="K47" i="9" s="1"/>
  <c r="P46" i="29" s="1"/>
  <c r="N46" i="29" s="1"/>
  <c r="J241" i="46"/>
  <c r="K241" i="46" s="1"/>
  <c r="J25" i="46"/>
  <c r="I76" i="46"/>
  <c r="J76" i="46" s="1"/>
  <c r="J88" i="46"/>
  <c r="K88" i="46" s="1"/>
  <c r="K93" i="46"/>
  <c r="K101" i="46"/>
  <c r="K114" i="46"/>
  <c r="J39" i="9"/>
  <c r="F198" i="46"/>
  <c r="F248" i="46" s="1"/>
  <c r="I41" i="9"/>
  <c r="J41" i="9" s="1"/>
  <c r="J190" i="46"/>
  <c r="K172" i="46"/>
  <c r="K187" i="46"/>
  <c r="I37" i="9"/>
  <c r="J37" i="9" s="1"/>
  <c r="K37" i="9" s="1"/>
  <c r="P36" i="29" s="1"/>
  <c r="N36" i="29" s="1"/>
  <c r="O36" i="29" s="1"/>
  <c r="J77" i="46"/>
  <c r="K77" i="46" s="1"/>
  <c r="I18" i="9"/>
  <c r="I9" i="9"/>
  <c r="I7" i="9" s="1"/>
  <c r="C44" i="9"/>
  <c r="D47" i="9"/>
  <c r="C40" i="9"/>
  <c r="K190" i="46"/>
  <c r="C34" i="9"/>
  <c r="C21" i="9"/>
  <c r="C100" i="46"/>
  <c r="D20" i="9"/>
  <c r="K20" i="9" s="1"/>
  <c r="P19" i="29" s="1"/>
  <c r="N19" i="29" s="1"/>
  <c r="O19" i="29" s="1"/>
  <c r="D76" i="46"/>
  <c r="C17" i="9"/>
  <c r="C27" i="46"/>
  <c r="C11" i="9"/>
  <c r="C7" i="46"/>
  <c r="E54" i="25"/>
  <c r="C54" i="25"/>
  <c r="H44" i="25"/>
  <c r="J38" i="13"/>
  <c r="J9" i="34"/>
  <c r="J8" i="15" s="1"/>
  <c r="L207" i="15"/>
  <c r="L227" i="15"/>
  <c r="J17" i="22"/>
  <c r="M206" i="15"/>
  <c r="M207" i="15"/>
  <c r="M227" i="15"/>
  <c r="C207" i="15"/>
  <c r="C227" i="15"/>
  <c r="G17" i="22"/>
  <c r="K50" i="18"/>
  <c r="K52" i="18" s="1"/>
  <c r="J29" i="11"/>
  <c r="K29" i="11" s="1"/>
  <c r="P27" i="32" s="1"/>
  <c r="N27" i="32" s="1"/>
  <c r="J210" i="48"/>
  <c r="K210" i="48" s="1"/>
  <c r="J221" i="48"/>
  <c r="K221" i="48" s="1"/>
  <c r="J199" i="48"/>
  <c r="K199" i="48" s="1"/>
  <c r="J28" i="11"/>
  <c r="K28" i="11" s="1"/>
  <c r="P26" i="32" s="1"/>
  <c r="N26" i="32" s="1"/>
  <c r="J32" i="11"/>
  <c r="K32" i="11" s="1"/>
  <c r="P30" i="32" s="1"/>
  <c r="N30" i="32" s="1"/>
  <c r="J254" i="48"/>
  <c r="C76" i="11"/>
  <c r="C91" i="11" s="1"/>
  <c r="K219" i="47"/>
  <c r="C33" i="8"/>
  <c r="C40" i="8" s="1"/>
  <c r="C41" i="8" s="1"/>
  <c r="C198" i="46"/>
  <c r="C248" i="46" s="1"/>
  <c r="H7" i="9"/>
  <c r="H27" i="9" s="1"/>
  <c r="H98" i="47"/>
  <c r="C9" i="9"/>
  <c r="C7" i="9" s="1"/>
  <c r="E42" i="9"/>
  <c r="E40" i="9" s="1"/>
  <c r="E50" i="9" s="1"/>
  <c r="E51" i="9" s="1"/>
  <c r="E39" i="10"/>
  <c r="E43" i="10" s="1"/>
  <c r="E45" i="10" s="1"/>
  <c r="E47" i="10" s="1"/>
  <c r="D19" i="7"/>
  <c r="D20" i="7" s="1"/>
  <c r="D21" i="7" s="1"/>
  <c r="D24" i="7" s="1"/>
  <c r="D26" i="7" s="1"/>
  <c r="P18" i="30"/>
  <c r="N18" i="30" s="1"/>
  <c r="O18" i="30" s="1"/>
  <c r="N18" i="31"/>
  <c r="O18" i="31" s="1"/>
  <c r="P16" i="30"/>
  <c r="N16" i="30" s="1"/>
  <c r="O16" i="30" s="1"/>
  <c r="N16" i="31"/>
  <c r="O16" i="31" s="1"/>
  <c r="F29" i="23"/>
  <c r="F48" i="24"/>
  <c r="G48" i="24"/>
  <c r="F29" i="24"/>
  <c r="K163" i="34"/>
  <c r="K36" i="15" s="1"/>
  <c r="K132" i="15" s="1"/>
  <c r="J115" i="15"/>
  <c r="I76" i="53"/>
  <c r="J76" i="53" s="1"/>
  <c r="K100" i="53"/>
  <c r="K83" i="15" s="1"/>
  <c r="J84" i="15"/>
  <c r="I106" i="15"/>
  <c r="G10" i="15"/>
  <c r="J18" i="53"/>
  <c r="H106" i="15"/>
  <c r="J9" i="53"/>
  <c r="J72" i="15" s="1"/>
  <c r="M8" i="34"/>
  <c r="M169" i="34" s="1"/>
  <c r="M183" i="34" s="1"/>
  <c r="L8" i="34"/>
  <c r="L169" i="34" s="1"/>
  <c r="L183" i="53" s="1"/>
  <c r="M183" i="53"/>
  <c r="M183" i="37"/>
  <c r="L113" i="15"/>
  <c r="L7" i="15"/>
  <c r="M113" i="15"/>
  <c r="M7" i="15"/>
  <c r="L105" i="15"/>
  <c r="M105" i="15"/>
  <c r="I8" i="52"/>
  <c r="J8" i="52" s="1"/>
  <c r="K77" i="53"/>
  <c r="K82" i="15" s="1"/>
  <c r="K39" i="53"/>
  <c r="K76" i="15" s="1"/>
  <c r="I107" i="15"/>
  <c r="I81" i="15"/>
  <c r="I8" i="53"/>
  <c r="J143" i="52"/>
  <c r="K143" i="52" s="1"/>
  <c r="K154" i="52"/>
  <c r="K151" i="52"/>
  <c r="I76" i="52"/>
  <c r="J76" i="52" s="1"/>
  <c r="K76" i="52" s="1"/>
  <c r="D38" i="16"/>
  <c r="C38" i="16"/>
  <c r="M38" i="16"/>
  <c r="L38" i="16"/>
  <c r="M29" i="16"/>
  <c r="L29" i="16"/>
  <c r="D29" i="16"/>
  <c r="C29" i="16"/>
  <c r="J12" i="16"/>
  <c r="J17" i="16" s="1"/>
  <c r="K121" i="1"/>
  <c r="K189" i="15" s="1"/>
  <c r="K191" i="15" s="1"/>
  <c r="J189" i="15"/>
  <c r="J191" i="15" s="1"/>
  <c r="K120" i="1"/>
  <c r="K143" i="1"/>
  <c r="K194" i="15" s="1"/>
  <c r="K195" i="15" s="1"/>
  <c r="K100" i="1"/>
  <c r="K183" i="15" s="1"/>
  <c r="K76" i="1"/>
  <c r="I181" i="15"/>
  <c r="I171" i="15" s="1"/>
  <c r="H58" i="7" s="1"/>
  <c r="I58" i="7" s="1"/>
  <c r="J181" i="15"/>
  <c r="I169" i="1"/>
  <c r="J169" i="1" s="1"/>
  <c r="J8" i="1"/>
  <c r="K9" i="1"/>
  <c r="K172" i="15" s="1"/>
  <c r="J77" i="37"/>
  <c r="K77" i="37" s="1"/>
  <c r="K50" i="15" s="1"/>
  <c r="K52" i="15" s="1"/>
  <c r="J24" i="15"/>
  <c r="J120" i="15" s="1"/>
  <c r="J118" i="15"/>
  <c r="K113" i="34"/>
  <c r="K22" i="15" s="1"/>
  <c r="K24" i="15" s="1"/>
  <c r="K120" i="15" s="1"/>
  <c r="K112" i="34"/>
  <c r="K151" i="34"/>
  <c r="K32" i="15" s="1"/>
  <c r="K128" i="15" s="1"/>
  <c r="I20" i="15"/>
  <c r="K100" i="34"/>
  <c r="K19" i="15" s="1"/>
  <c r="J46" i="34"/>
  <c r="J13" i="15" s="1"/>
  <c r="J109" i="15" s="1"/>
  <c r="K157" i="34"/>
  <c r="K34" i="15" s="1"/>
  <c r="K130" i="15" s="1"/>
  <c r="J18" i="34"/>
  <c r="J10" i="15" s="1"/>
  <c r="I8" i="34"/>
  <c r="I169" i="34" s="1"/>
  <c r="I17" i="15"/>
  <c r="J108" i="15"/>
  <c r="K39" i="34"/>
  <c r="K12" i="15" s="1"/>
  <c r="J28" i="34"/>
  <c r="K28" i="34" s="1"/>
  <c r="K11" i="15" s="1"/>
  <c r="J77" i="34"/>
  <c r="J18" i="15" s="1"/>
  <c r="M26" i="33"/>
  <c r="L26" i="33"/>
  <c r="K14" i="26"/>
  <c r="K16" i="26" s="1"/>
  <c r="K30" i="26" s="1"/>
  <c r="K57" i="26" s="1"/>
  <c r="G50" i="24"/>
  <c r="H32" i="24"/>
  <c r="H48" i="24" s="1"/>
  <c r="F50" i="24"/>
  <c r="H9" i="24"/>
  <c r="H29" i="24" s="1"/>
  <c r="I32" i="24"/>
  <c r="I48" i="24" s="1"/>
  <c r="I9" i="24"/>
  <c r="I29" i="24" s="1"/>
  <c r="H32" i="23"/>
  <c r="H48" i="23" s="1"/>
  <c r="I32" i="23"/>
  <c r="I48" i="23" s="1"/>
  <c r="F49" i="23"/>
  <c r="H39" i="22" s="1"/>
  <c r="H14" i="22" s="1"/>
  <c r="G49" i="23"/>
  <c r="H9" i="23"/>
  <c r="H29" i="23" s="1"/>
  <c r="I9" i="23"/>
  <c r="I29" i="23" s="1"/>
  <c r="G40" i="13"/>
  <c r="G42" i="13" s="1"/>
  <c r="F47" i="7" s="1"/>
  <c r="G7" i="14"/>
  <c r="E45" i="7"/>
  <c r="F7" i="14"/>
  <c r="F8" i="14" s="1"/>
  <c r="F10" i="14" s="1"/>
  <c r="E47" i="7"/>
  <c r="J11" i="46"/>
  <c r="K11" i="46" s="1"/>
  <c r="J274" i="47"/>
  <c r="G34" i="8"/>
  <c r="G40" i="8" s="1"/>
  <c r="G41" i="8" s="1"/>
  <c r="G340" i="47"/>
  <c r="G342" i="47" s="1"/>
  <c r="J32" i="8"/>
  <c r="I31" i="8"/>
  <c r="J31" i="8" s="1"/>
  <c r="K31" i="8" s="1"/>
  <c r="P30" i="28" s="1"/>
  <c r="N30" i="28" s="1"/>
  <c r="O30" i="28" s="1"/>
  <c r="K30" i="8"/>
  <c r="P29" i="28" s="1"/>
  <c r="N29" i="28" s="1"/>
  <c r="O29" i="28" s="1"/>
  <c r="K29" i="8"/>
  <c r="P28" i="28" s="1"/>
  <c r="N28" i="28" s="1"/>
  <c r="O28" i="28" s="1"/>
  <c r="J27" i="8"/>
  <c r="J285" i="47"/>
  <c r="K285" i="47" s="1"/>
  <c r="K35" i="8"/>
  <c r="P34" i="28" s="1"/>
  <c r="N34" i="28" s="1"/>
  <c r="O34" i="28" s="1"/>
  <c r="I340" i="47"/>
  <c r="K9" i="8"/>
  <c r="P8" i="28" s="1"/>
  <c r="N8" i="28" s="1"/>
  <c r="O8" i="28" s="1"/>
  <c r="K11" i="8"/>
  <c r="P10" i="28" s="1"/>
  <c r="N10" i="28" s="1"/>
  <c r="O10" i="28" s="1"/>
  <c r="I12" i="8"/>
  <c r="J12" i="8" s="1"/>
  <c r="K12" i="8" s="1"/>
  <c r="P11" i="28" s="1"/>
  <c r="N11" i="28" s="1"/>
  <c r="O11" i="28" s="1"/>
  <c r="I172" i="47"/>
  <c r="I17" i="9"/>
  <c r="I23" i="9"/>
  <c r="J105" i="46"/>
  <c r="K105" i="46" s="1"/>
  <c r="K19" i="9"/>
  <c r="P18" i="29" s="1"/>
  <c r="N18" i="29" s="1"/>
  <c r="O18" i="29" s="1"/>
  <c r="J18" i="9"/>
  <c r="J17" i="9" s="1"/>
  <c r="K76" i="46"/>
  <c r="H7" i="46"/>
  <c r="H126" i="46" s="1"/>
  <c r="J236" i="46"/>
  <c r="K236" i="46" s="1"/>
  <c r="I149" i="46"/>
  <c r="J149" i="46" s="1"/>
  <c r="K178" i="46"/>
  <c r="K33" i="9"/>
  <c r="P32" i="29" s="1"/>
  <c r="N32" i="29" s="1"/>
  <c r="O32" i="29" s="1"/>
  <c r="K38" i="9"/>
  <c r="P37" i="29" s="1"/>
  <c r="N37" i="29" s="1"/>
  <c r="O37" i="29" s="1"/>
  <c r="K39" i="9"/>
  <c r="P38" i="29" s="1"/>
  <c r="N38" i="29" s="1"/>
  <c r="I129" i="46"/>
  <c r="J129" i="46" s="1"/>
  <c r="K215" i="46"/>
  <c r="K43" i="9"/>
  <c r="P42" i="29" s="1"/>
  <c r="N42" i="29" s="1"/>
  <c r="K38" i="18"/>
  <c r="K40" i="18" s="1"/>
  <c r="K39" i="12"/>
  <c r="H11" i="20" s="1"/>
  <c r="I41" i="12"/>
  <c r="I33" i="7"/>
  <c r="J33" i="7" s="1"/>
  <c r="G65" i="11"/>
  <c r="K12" i="22" s="1"/>
  <c r="J139" i="15"/>
  <c r="K139" i="15" s="1"/>
  <c r="J141" i="15"/>
  <c r="K141" i="15" s="1"/>
  <c r="J55" i="11"/>
  <c r="J142" i="15"/>
  <c r="K142" i="15" s="1"/>
  <c r="J149" i="15"/>
  <c r="K149" i="15" s="1"/>
  <c r="I146" i="15"/>
  <c r="I136" i="15" s="1"/>
  <c r="I65" i="11"/>
  <c r="K34" i="13"/>
  <c r="J46" i="7"/>
  <c r="G34" i="25"/>
  <c r="G51" i="25" s="1"/>
  <c r="G54" i="25" s="1"/>
  <c r="H9" i="25"/>
  <c r="H10" i="25" s="1"/>
  <c r="H27" i="25" s="1"/>
  <c r="I40" i="22"/>
  <c r="F63" i="31"/>
  <c r="I23" i="10"/>
  <c r="I62" i="10" s="1"/>
  <c r="J22" i="17"/>
  <c r="H8" i="7"/>
  <c r="H12" i="7"/>
  <c r="J11" i="7"/>
  <c r="J158" i="17"/>
  <c r="H38" i="30"/>
  <c r="H42" i="30" s="1"/>
  <c r="G26" i="33"/>
  <c r="F38" i="30"/>
  <c r="F42" i="30" s="1"/>
  <c r="F49" i="29"/>
  <c r="F51" i="29" s="1"/>
  <c r="F26" i="29"/>
  <c r="F41" i="28"/>
  <c r="C26" i="33"/>
  <c r="C49" i="29"/>
  <c r="C26" i="29"/>
  <c r="D41" i="28"/>
  <c r="D38" i="30"/>
  <c r="D42" i="30" s="1"/>
  <c r="E40" i="32"/>
  <c r="E38" i="30"/>
  <c r="E42" i="30" s="1"/>
  <c r="E49" i="29"/>
  <c r="E26" i="29"/>
  <c r="E26" i="33"/>
  <c r="F26" i="33"/>
  <c r="D26" i="33"/>
  <c r="H26" i="33"/>
  <c r="E54" i="31"/>
  <c r="H52" i="31"/>
  <c r="H54" i="31" s="1"/>
  <c r="H64" i="31" s="1"/>
  <c r="C54" i="31"/>
  <c r="C56" i="31" s="1"/>
  <c r="D55" i="31" s="1"/>
  <c r="G54" i="31"/>
  <c r="G64" i="31" s="1"/>
  <c r="F54" i="31"/>
  <c r="F64" i="31" s="1"/>
  <c r="D54" i="31"/>
  <c r="C38" i="30"/>
  <c r="C42" i="30" s="1"/>
  <c r="G38" i="30"/>
  <c r="G42" i="30" s="1"/>
  <c r="G49" i="29"/>
  <c r="D49" i="29"/>
  <c r="H49" i="29"/>
  <c r="G26" i="29"/>
  <c r="D26" i="29"/>
  <c r="H26" i="29"/>
  <c r="E41" i="28"/>
  <c r="C103" i="27"/>
  <c r="D103" i="27"/>
  <c r="J46" i="27"/>
  <c r="J128" i="17"/>
  <c r="G53" i="18"/>
  <c r="G57" i="18" s="1"/>
  <c r="G49" i="10"/>
  <c r="F19" i="7"/>
  <c r="F20" i="7" s="1"/>
  <c r="F21" i="7" s="1"/>
  <c r="F24" i="7" s="1"/>
  <c r="F26" i="7" s="1"/>
  <c r="I16" i="7"/>
  <c r="J33" i="10"/>
  <c r="N42" i="31" s="1"/>
  <c r="H37" i="10"/>
  <c r="H19" i="13" s="1"/>
  <c r="G44" i="7" s="1"/>
  <c r="K99" i="17"/>
  <c r="K128" i="17" s="1"/>
  <c r="J16" i="7"/>
  <c r="K137" i="17"/>
  <c r="K158" i="17" s="1"/>
  <c r="K92" i="17"/>
  <c r="K94" i="17" s="1"/>
  <c r="J121" i="53"/>
  <c r="K120" i="53"/>
  <c r="H89" i="15"/>
  <c r="H107" i="15"/>
  <c r="J28" i="53"/>
  <c r="H81" i="15"/>
  <c r="H8" i="53"/>
  <c r="H169" i="53" s="1"/>
  <c r="K9" i="53"/>
  <c r="K72" i="15" s="1"/>
  <c r="J59" i="15"/>
  <c r="K121" i="37"/>
  <c r="K57" i="15" s="1"/>
  <c r="K59" i="15" s="1"/>
  <c r="I120" i="37"/>
  <c r="I59" i="15"/>
  <c r="J50" i="15"/>
  <c r="J52" i="15" s="1"/>
  <c r="H76" i="37"/>
  <c r="H116" i="15"/>
  <c r="K160" i="34"/>
  <c r="K35" i="15" s="1"/>
  <c r="K131" i="15" s="1"/>
  <c r="K154" i="34"/>
  <c r="K33" i="15" s="1"/>
  <c r="K129" i="15" s="1"/>
  <c r="J20" i="15"/>
  <c r="H114" i="15"/>
  <c r="H76" i="34"/>
  <c r="J76" i="34" s="1"/>
  <c r="K77" i="34"/>
  <c r="K18" i="15" s="1"/>
  <c r="K46" i="34"/>
  <c r="K13" i="15" s="1"/>
  <c r="K109" i="15" s="1"/>
  <c r="J11" i="15"/>
  <c r="H8" i="34"/>
  <c r="H169" i="34" s="1"/>
  <c r="I104" i="15"/>
  <c r="J104" i="15"/>
  <c r="H17" i="15"/>
  <c r="K9" i="34"/>
  <c r="K8" i="15" s="1"/>
  <c r="K254" i="48"/>
  <c r="D363" i="48"/>
  <c r="J35" i="10"/>
  <c r="K35" i="17"/>
  <c r="D62" i="16"/>
  <c r="C61" i="7" s="1"/>
  <c r="D22" i="17"/>
  <c r="D9" i="10" s="1"/>
  <c r="K9" i="10" s="1"/>
  <c r="P8" i="30" s="1"/>
  <c r="N8" i="30" s="1"/>
  <c r="O8" i="30" s="1"/>
  <c r="K22" i="17"/>
  <c r="K62" i="16"/>
  <c r="J61" i="7" s="1"/>
  <c r="D16" i="17"/>
  <c r="D8" i="10" s="1"/>
  <c r="D7" i="8"/>
  <c r="K7" i="8" s="1"/>
  <c r="P6" i="28" s="1"/>
  <c r="N6" i="28" s="1"/>
  <c r="O6" i="28" s="1"/>
  <c r="D48" i="9"/>
  <c r="K48" i="9" s="1"/>
  <c r="P47" i="29" s="1"/>
  <c r="N47" i="29" s="1"/>
  <c r="D30" i="9"/>
  <c r="K130" i="46"/>
  <c r="K10" i="9"/>
  <c r="P9" i="29" s="1"/>
  <c r="N9" i="29" s="1"/>
  <c r="O9" i="29" s="1"/>
  <c r="K25" i="46"/>
  <c r="D198" i="46"/>
  <c r="I41" i="11"/>
  <c r="I42" i="11" s="1"/>
  <c r="H29" i="7" s="1"/>
  <c r="I363" i="48"/>
  <c r="I364" i="48" s="1"/>
  <c r="H363" i="48"/>
  <c r="H364" i="48" s="1"/>
  <c r="J297" i="48"/>
  <c r="K297" i="48" s="1"/>
  <c r="H35" i="11"/>
  <c r="H65" i="11"/>
  <c r="J59" i="11"/>
  <c r="K60" i="11"/>
  <c r="O21" i="33" s="1"/>
  <c r="N21" i="33" s="1"/>
  <c r="J137" i="15"/>
  <c r="K137" i="15" s="1"/>
  <c r="K57" i="11"/>
  <c r="O18" i="33" s="1"/>
  <c r="N18" i="33" s="1"/>
  <c r="H146" i="15"/>
  <c r="J49" i="11"/>
  <c r="K47" i="11"/>
  <c r="I17" i="7"/>
  <c r="K32" i="10"/>
  <c r="P31" i="30" s="1"/>
  <c r="N31" i="30" s="1"/>
  <c r="O31" i="30" s="1"/>
  <c r="K27" i="8"/>
  <c r="P26" i="28" s="1"/>
  <c r="N26" i="28" s="1"/>
  <c r="O26" i="28" s="1"/>
  <c r="I40" i="8"/>
  <c r="K208" i="47"/>
  <c r="K28" i="8"/>
  <c r="P27" i="28" s="1"/>
  <c r="N27" i="28" s="1"/>
  <c r="O27" i="28" s="1"/>
  <c r="H340" i="47"/>
  <c r="K241" i="47"/>
  <c r="K32" i="8"/>
  <c r="P31" i="28" s="1"/>
  <c r="N31" i="28" s="1"/>
  <c r="O31" i="28" s="1"/>
  <c r="J263" i="47"/>
  <c r="K263" i="47" s="1"/>
  <c r="H33" i="8"/>
  <c r="H40" i="8" s="1"/>
  <c r="K274" i="47"/>
  <c r="I27" i="46"/>
  <c r="I11" i="9"/>
  <c r="K12" i="9"/>
  <c r="P11" i="29" s="1"/>
  <c r="N11" i="29" s="1"/>
  <c r="O11" i="29" s="1"/>
  <c r="K28" i="46"/>
  <c r="J13" i="9"/>
  <c r="J11" i="9" s="1"/>
  <c r="K50" i="46"/>
  <c r="I30" i="9"/>
  <c r="J133" i="46"/>
  <c r="K133" i="46" s="1"/>
  <c r="H222" i="46"/>
  <c r="H248" i="46" s="1"/>
  <c r="J46" i="9"/>
  <c r="K46" i="9" s="1"/>
  <c r="P45" i="29" s="1"/>
  <c r="N45" i="29" s="1"/>
  <c r="I222" i="46"/>
  <c r="I44" i="9"/>
  <c r="J223" i="46"/>
  <c r="K223" i="46" s="1"/>
  <c r="H45" i="9"/>
  <c r="I198" i="46"/>
  <c r="J198" i="46" s="1"/>
  <c r="J210" i="46"/>
  <c r="K210" i="46" s="1"/>
  <c r="I40" i="9"/>
  <c r="J150" i="46"/>
  <c r="K150" i="46" s="1"/>
  <c r="I35" i="9"/>
  <c r="J32" i="9"/>
  <c r="D89" i="15"/>
  <c r="D91" i="15" s="1"/>
  <c r="K84" i="15"/>
  <c r="K115" i="15"/>
  <c r="D82" i="15"/>
  <c r="D84" i="15" s="1"/>
  <c r="D76" i="53"/>
  <c r="D114" i="15"/>
  <c r="D76" i="15"/>
  <c r="D108" i="15"/>
  <c r="D107" i="15"/>
  <c r="D81" i="15"/>
  <c r="D8" i="53"/>
  <c r="D169" i="53" s="1"/>
  <c r="D8" i="52"/>
  <c r="D141" i="1"/>
  <c r="K141" i="1" s="1"/>
  <c r="K184" i="15"/>
  <c r="D182" i="15"/>
  <c r="D184" i="15" s="1"/>
  <c r="D177" i="15"/>
  <c r="D181" i="15"/>
  <c r="K181" i="15"/>
  <c r="D8" i="1"/>
  <c r="D120" i="37"/>
  <c r="D39" i="15"/>
  <c r="K8" i="37"/>
  <c r="D169" i="37"/>
  <c r="K143" i="34"/>
  <c r="K30" i="15" s="1"/>
  <c r="D126" i="15"/>
  <c r="K27" i="15"/>
  <c r="D25" i="15"/>
  <c r="D120" i="34"/>
  <c r="K120" i="34" s="1"/>
  <c r="D24" i="15"/>
  <c r="D120" i="15" s="1"/>
  <c r="D76" i="34"/>
  <c r="D20" i="15"/>
  <c r="D10" i="15"/>
  <c r="D106" i="15" s="1"/>
  <c r="D8" i="15"/>
  <c r="D8" i="34"/>
  <c r="K99" i="27"/>
  <c r="L99" i="27" s="1"/>
  <c r="L65" i="27"/>
  <c r="K31" i="27"/>
  <c r="L30" i="27"/>
  <c r="L29" i="27"/>
  <c r="D31" i="27"/>
  <c r="D48" i="27"/>
  <c r="D101" i="27" s="1"/>
  <c r="K14" i="27"/>
  <c r="D51" i="25"/>
  <c r="D54" i="25" s="1"/>
  <c r="I49" i="25"/>
  <c r="D50" i="24"/>
  <c r="D49" i="23"/>
  <c r="K41" i="12"/>
  <c r="D41" i="12"/>
  <c r="C40" i="7" s="1"/>
  <c r="D36" i="12"/>
  <c r="K36" i="12"/>
  <c r="D14" i="18"/>
  <c r="D10" i="12" s="1"/>
  <c r="K13" i="18"/>
  <c r="K31" i="10"/>
  <c r="P30" i="30" s="1"/>
  <c r="N30" i="30" s="1"/>
  <c r="O30" i="30" s="1"/>
  <c r="C17" i="7"/>
  <c r="J17" i="7" s="1"/>
  <c r="G8" i="20"/>
  <c r="C15" i="7"/>
  <c r="J15" i="7" s="1"/>
  <c r="K29" i="10"/>
  <c r="P28" i="30" s="1"/>
  <c r="N28" i="30" s="1"/>
  <c r="O28" i="30" s="1"/>
  <c r="D37" i="10"/>
  <c r="G7" i="20" s="1"/>
  <c r="C13" i="7"/>
  <c r="D81" i="16"/>
  <c r="C62" i="7" s="1"/>
  <c r="C8" i="7"/>
  <c r="C12" i="7" s="1"/>
  <c r="K81" i="16"/>
  <c r="J62" i="7" s="1"/>
  <c r="D23" i="10"/>
  <c r="G32" i="20" s="1"/>
  <c r="K7" i="10"/>
  <c r="K41" i="16"/>
  <c r="K33" i="16"/>
  <c r="K38" i="16" s="1"/>
  <c r="K24" i="16"/>
  <c r="K29" i="16" s="1"/>
  <c r="D17" i="16"/>
  <c r="D227" i="15"/>
  <c r="K38" i="13"/>
  <c r="H8" i="20" s="1"/>
  <c r="H34" i="25"/>
  <c r="H51" i="25" s="1"/>
  <c r="H54" i="25" s="1"/>
  <c r="I33" i="25"/>
  <c r="I34" i="25" s="1"/>
  <c r="I51" i="25" s="1"/>
  <c r="F54" i="25"/>
  <c r="I9" i="25"/>
  <c r="I10" i="25" s="1"/>
  <c r="I27" i="25" s="1"/>
  <c r="D40" i="13"/>
  <c r="D42" i="13" s="1"/>
  <c r="G15" i="20"/>
  <c r="D30" i="11"/>
  <c r="K30" i="11" s="1"/>
  <c r="P28" i="32" s="1"/>
  <c r="N28" i="32" s="1"/>
  <c r="N24" i="32"/>
  <c r="D65" i="11"/>
  <c r="H12" i="22" s="1"/>
  <c r="K49" i="11"/>
  <c r="O10" i="33" s="1"/>
  <c r="N10" i="33" s="1"/>
  <c r="G9" i="20"/>
  <c r="H13" i="22" s="1"/>
  <c r="J14" i="7"/>
  <c r="N12" i="30"/>
  <c r="P14" i="30"/>
  <c r="N14" i="30" s="1"/>
  <c r="O14" i="30" s="1"/>
  <c r="D33" i="8"/>
  <c r="D40" i="8" s="1"/>
  <c r="D340" i="47"/>
  <c r="K186" i="47"/>
  <c r="K117" i="47"/>
  <c r="K51" i="47"/>
  <c r="D172" i="47"/>
  <c r="D44" i="9"/>
  <c r="D222" i="46"/>
  <c r="D40" i="9"/>
  <c r="D36" i="9"/>
  <c r="K36" i="9" s="1"/>
  <c r="P35" i="29" s="1"/>
  <c r="N35" i="29" s="1"/>
  <c r="O35" i="29" s="1"/>
  <c r="D35" i="9"/>
  <c r="D149" i="46"/>
  <c r="D129" i="46"/>
  <c r="D25" i="9"/>
  <c r="K25" i="9" s="1"/>
  <c r="P24" i="29" s="1"/>
  <c r="N24" i="29" s="1"/>
  <c r="O24" i="29" s="1"/>
  <c r="D100" i="46"/>
  <c r="D17" i="9"/>
  <c r="K18" i="9"/>
  <c r="D14" i="9"/>
  <c r="K14" i="9" s="1"/>
  <c r="P13" i="29" s="1"/>
  <c r="N13" i="29" s="1"/>
  <c r="O13" i="29" s="1"/>
  <c r="D13" i="9"/>
  <c r="D27" i="46"/>
  <c r="D7" i="46"/>
  <c r="D7" i="9"/>
  <c r="P7" i="29"/>
  <c r="N7" i="29" s="1"/>
  <c r="O7" i="29" s="1"/>
  <c r="J103" i="27"/>
  <c r="J48" i="27"/>
  <c r="J101" i="27" s="1"/>
  <c r="K46" i="27"/>
  <c r="I48" i="27"/>
  <c r="I101" i="27" s="1"/>
  <c r="G14" i="12"/>
  <c r="G8" i="14"/>
  <c r="G10" i="14" s="1"/>
  <c r="K8" i="18"/>
  <c r="K10" i="18" s="1"/>
  <c r="J9" i="12"/>
  <c r="F14" i="12"/>
  <c r="D50" i="7"/>
  <c r="D52" i="7" s="1"/>
  <c r="E21" i="14"/>
  <c r="E14" i="12"/>
  <c r="K9" i="12"/>
  <c r="K35" i="10"/>
  <c r="P34" i="30" s="1"/>
  <c r="N34" i="30" s="1"/>
  <c r="O34" i="30" s="1"/>
  <c r="F55" i="8"/>
  <c r="E19" i="7"/>
  <c r="E20" i="7" s="1"/>
  <c r="E21" i="7" s="1"/>
  <c r="E24" i="7" s="1"/>
  <c r="E26" i="7" s="1"/>
  <c r="F39" i="10"/>
  <c r="F43" i="10" s="1"/>
  <c r="F45" i="10" s="1"/>
  <c r="F47" i="10" s="1"/>
  <c r="J66" i="17"/>
  <c r="J68" i="17" s="1"/>
  <c r="J26" i="10"/>
  <c r="H13" i="7"/>
  <c r="I37" i="10"/>
  <c r="J165" i="17"/>
  <c r="K165" i="17"/>
  <c r="J34" i="8" l="1"/>
  <c r="K34" i="8" s="1"/>
  <c r="P33" i="28" s="1"/>
  <c r="N33" i="28" s="1"/>
  <c r="O33" i="28" s="1"/>
  <c r="Q41" i="28"/>
  <c r="D22" i="8"/>
  <c r="R41" i="28"/>
  <c r="F342" i="47"/>
  <c r="K36" i="8"/>
  <c r="P35" i="28" s="1"/>
  <c r="N35" i="28" s="1"/>
  <c r="O35" i="28" s="1"/>
  <c r="E41" i="8"/>
  <c r="E54" i="8"/>
  <c r="J33" i="8"/>
  <c r="M41" i="8"/>
  <c r="M54" i="8"/>
  <c r="J8" i="8"/>
  <c r="K8" i="8" s="1"/>
  <c r="P7" i="28" s="1"/>
  <c r="L41" i="8"/>
  <c r="L54" i="8"/>
  <c r="K76" i="53"/>
  <c r="I114" i="15"/>
  <c r="K108" i="15"/>
  <c r="I169" i="53"/>
  <c r="J169" i="53" s="1"/>
  <c r="K169" i="53" s="1"/>
  <c r="I116" i="15"/>
  <c r="I71" i="15"/>
  <c r="K39" i="15"/>
  <c r="K118" i="15"/>
  <c r="I7" i="15"/>
  <c r="K76" i="34"/>
  <c r="K39" i="14"/>
  <c r="Q45" i="32"/>
  <c r="P6" i="32"/>
  <c r="K23" i="11"/>
  <c r="K198" i="46"/>
  <c r="J42" i="9"/>
  <c r="K42" i="9" s="1"/>
  <c r="P41" i="29" s="1"/>
  <c r="N41" i="29" s="1"/>
  <c r="C50" i="9"/>
  <c r="F249" i="46"/>
  <c r="E126" i="46"/>
  <c r="E249" i="46" s="1"/>
  <c r="Q42" i="29"/>
  <c r="L40" i="9"/>
  <c r="Q39" i="29" s="1"/>
  <c r="G27" i="9"/>
  <c r="G51" i="9" s="1"/>
  <c r="K100" i="46"/>
  <c r="J100" i="46"/>
  <c r="G249" i="46"/>
  <c r="M34" i="9"/>
  <c r="R33" i="29" s="1"/>
  <c r="R34" i="29"/>
  <c r="Q6" i="29"/>
  <c r="Q26" i="29" s="1"/>
  <c r="L27" i="9"/>
  <c r="L50" i="9"/>
  <c r="D21" i="9"/>
  <c r="R29" i="29"/>
  <c r="R49" i="29" s="1"/>
  <c r="R51" i="29" s="1"/>
  <c r="M50" i="9"/>
  <c r="M51" i="9"/>
  <c r="Q49" i="29"/>
  <c r="J9" i="9"/>
  <c r="C126" i="46"/>
  <c r="C249" i="46" s="1"/>
  <c r="C27" i="9"/>
  <c r="C51" i="9" s="1"/>
  <c r="J98" i="47"/>
  <c r="K98" i="47" s="1"/>
  <c r="H95" i="47"/>
  <c r="K129" i="46"/>
  <c r="E53" i="18"/>
  <c r="E57" i="18" s="1"/>
  <c r="E49" i="10"/>
  <c r="I49" i="23"/>
  <c r="I39" i="22" s="1"/>
  <c r="H72" i="11"/>
  <c r="G22" i="7"/>
  <c r="J40" i="10"/>
  <c r="K40" i="10" s="1"/>
  <c r="H22" i="7"/>
  <c r="H23" i="10"/>
  <c r="H62" i="10" s="1"/>
  <c r="J20" i="10"/>
  <c r="G10" i="7"/>
  <c r="H49" i="23"/>
  <c r="K18" i="34"/>
  <c r="K10" i="15" s="1"/>
  <c r="K17" i="15" s="1"/>
  <c r="G106" i="15"/>
  <c r="G17" i="15"/>
  <c r="J74" i="15"/>
  <c r="J106" i="15" s="1"/>
  <c r="K18" i="53"/>
  <c r="K74" i="15" s="1"/>
  <c r="L183" i="37"/>
  <c r="L183" i="34"/>
  <c r="L103" i="15"/>
  <c r="L134" i="15"/>
  <c r="M103" i="15"/>
  <c r="M134" i="15"/>
  <c r="K8" i="52"/>
  <c r="I113" i="15"/>
  <c r="I169" i="52"/>
  <c r="J169" i="52" s="1"/>
  <c r="J170" i="15" s="1"/>
  <c r="K12" i="16"/>
  <c r="K17" i="16" s="1"/>
  <c r="I50" i="24"/>
  <c r="J171" i="15"/>
  <c r="K171" i="15"/>
  <c r="K20" i="15"/>
  <c r="K116" i="15" s="1"/>
  <c r="J169" i="34"/>
  <c r="H50" i="24"/>
  <c r="F21" i="14"/>
  <c r="E50" i="7"/>
  <c r="E52" i="7" s="1"/>
  <c r="G55" i="8"/>
  <c r="I342" i="47"/>
  <c r="I22" i="8"/>
  <c r="I54" i="8" s="1"/>
  <c r="I21" i="9"/>
  <c r="I27" i="9" s="1"/>
  <c r="J23" i="9"/>
  <c r="J7" i="46"/>
  <c r="K7" i="46" s="1"/>
  <c r="K149" i="46"/>
  <c r="I42" i="12"/>
  <c r="H40" i="7"/>
  <c r="I40" i="7" s="1"/>
  <c r="J40" i="7" s="1"/>
  <c r="I167" i="15"/>
  <c r="D56" i="31"/>
  <c r="E55" i="31" s="1"/>
  <c r="E56" i="31" s="1"/>
  <c r="F55" i="31" s="1"/>
  <c r="F56" i="31" s="1"/>
  <c r="G55" i="31" s="1"/>
  <c r="G56" i="31" s="1"/>
  <c r="H55" i="31" s="1"/>
  <c r="H56" i="31" s="1"/>
  <c r="I55" i="31" s="1"/>
  <c r="I56" i="31" s="1"/>
  <c r="J55" i="31" s="1"/>
  <c r="J56" i="31" s="1"/>
  <c r="K55" i="31" s="1"/>
  <c r="K56" i="31" s="1"/>
  <c r="L55" i="31" s="1"/>
  <c r="L56" i="31" s="1"/>
  <c r="M55" i="31" s="1"/>
  <c r="M56" i="31" s="1"/>
  <c r="N55" i="31" s="1"/>
  <c r="G51" i="29"/>
  <c r="C51" i="29"/>
  <c r="D51" i="29"/>
  <c r="E51" i="29"/>
  <c r="H51" i="29"/>
  <c r="J37" i="10"/>
  <c r="G19" i="7"/>
  <c r="G20" i="7" s="1"/>
  <c r="H55" i="8"/>
  <c r="K33" i="10"/>
  <c r="P32" i="30" s="1"/>
  <c r="N32" i="30" s="1"/>
  <c r="O32" i="30" s="1"/>
  <c r="G65" i="18"/>
  <c r="G47" i="12"/>
  <c r="G50" i="12" s="1"/>
  <c r="F41" i="7" s="1"/>
  <c r="J89" i="15"/>
  <c r="K121" i="53"/>
  <c r="K89" i="15" s="1"/>
  <c r="H91" i="15"/>
  <c r="H123" i="15" s="1"/>
  <c r="H121" i="15"/>
  <c r="J75" i="15"/>
  <c r="K28" i="53"/>
  <c r="K75" i="15" s="1"/>
  <c r="J8" i="53"/>
  <c r="K8" i="53" s="1"/>
  <c r="J39" i="15"/>
  <c r="I39" i="15"/>
  <c r="I123" i="15"/>
  <c r="J120" i="37"/>
  <c r="K120" i="37" s="1"/>
  <c r="I169" i="37"/>
  <c r="J114" i="15"/>
  <c r="K114" i="15"/>
  <c r="J116" i="15"/>
  <c r="J76" i="37"/>
  <c r="K76" i="37" s="1"/>
  <c r="H169" i="37"/>
  <c r="J8" i="34"/>
  <c r="K8" i="34" s="1"/>
  <c r="J17" i="15"/>
  <c r="J7" i="15" s="1"/>
  <c r="K104" i="15"/>
  <c r="H113" i="15"/>
  <c r="H7" i="15"/>
  <c r="D364" i="48"/>
  <c r="D91" i="11"/>
  <c r="C19" i="7"/>
  <c r="C20" i="7" s="1"/>
  <c r="C21" i="7" s="1"/>
  <c r="C24" i="7" s="1"/>
  <c r="C26" i="7" s="1"/>
  <c r="H36" i="22"/>
  <c r="H9" i="22" s="1"/>
  <c r="H11" i="22"/>
  <c r="H41" i="22"/>
  <c r="H10" i="22" s="1"/>
  <c r="D44" i="14" s="1"/>
  <c r="D38" i="14" s="1"/>
  <c r="D40" i="14" s="1"/>
  <c r="D16" i="14" s="1"/>
  <c r="D20" i="14" s="1"/>
  <c r="C51" i="7" s="1"/>
  <c r="K8" i="10"/>
  <c r="I11" i="22"/>
  <c r="D11" i="9"/>
  <c r="D27" i="9" s="1"/>
  <c r="J364" i="48"/>
  <c r="J363" i="48"/>
  <c r="K363" i="48" s="1"/>
  <c r="J35" i="11"/>
  <c r="H41" i="11"/>
  <c r="H42" i="11" s="1"/>
  <c r="G29" i="7" s="1"/>
  <c r="I29" i="7" s="1"/>
  <c r="J65" i="11"/>
  <c r="K59" i="11"/>
  <c r="O20" i="33" s="1"/>
  <c r="N20" i="33" s="1"/>
  <c r="H55" i="7"/>
  <c r="J146" i="15"/>
  <c r="K146" i="15" s="1"/>
  <c r="K55" i="11"/>
  <c r="O16" i="33" s="1"/>
  <c r="N16" i="33" s="1"/>
  <c r="H167" i="15"/>
  <c r="H136" i="15"/>
  <c r="O8" i="33"/>
  <c r="N8" i="33" s="1"/>
  <c r="K45" i="11"/>
  <c r="O6" i="33" s="1"/>
  <c r="N6" i="33" s="1"/>
  <c r="J340" i="47"/>
  <c r="K340" i="47" s="1"/>
  <c r="J40" i="8"/>
  <c r="K33" i="8"/>
  <c r="P32" i="28" s="1"/>
  <c r="N32" i="28" s="1"/>
  <c r="O32" i="28" s="1"/>
  <c r="I126" i="46"/>
  <c r="J126" i="46" s="1"/>
  <c r="J27" i="46"/>
  <c r="K27" i="46" s="1"/>
  <c r="K13" i="9"/>
  <c r="P12" i="29" s="1"/>
  <c r="N12" i="29" s="1"/>
  <c r="O12" i="29" s="1"/>
  <c r="J222" i="46"/>
  <c r="K222" i="46" s="1"/>
  <c r="I248" i="46"/>
  <c r="J45" i="9"/>
  <c r="H44" i="9"/>
  <c r="H50" i="9" s="1"/>
  <c r="H51" i="9" s="1"/>
  <c r="K41" i="9"/>
  <c r="J35" i="9"/>
  <c r="J34" i="9" s="1"/>
  <c r="I34" i="9"/>
  <c r="I50" i="9" s="1"/>
  <c r="K32" i="9"/>
  <c r="J30" i="9"/>
  <c r="H249" i="46"/>
  <c r="K9" i="9"/>
  <c r="J7" i="9"/>
  <c r="D71" i="15"/>
  <c r="C57" i="7" s="1"/>
  <c r="D116" i="15"/>
  <c r="D169" i="52"/>
  <c r="D171" i="15"/>
  <c r="K8" i="1"/>
  <c r="D169" i="1"/>
  <c r="K169" i="1" s="1"/>
  <c r="K31" i="15"/>
  <c r="K127" i="15" s="1"/>
  <c r="K126" i="15"/>
  <c r="D27" i="15"/>
  <c r="D123" i="15" s="1"/>
  <c r="D121" i="15"/>
  <c r="D169" i="34"/>
  <c r="D17" i="15"/>
  <c r="D104" i="15"/>
  <c r="K15" i="27"/>
  <c r="L14" i="27"/>
  <c r="K42" i="12"/>
  <c r="C39" i="7"/>
  <c r="J39" i="7" s="1"/>
  <c r="D42" i="12"/>
  <c r="D43" i="14"/>
  <c r="K10" i="12"/>
  <c r="D14" i="12"/>
  <c r="C37" i="7" s="1"/>
  <c r="K19" i="18"/>
  <c r="L16" i="18" s="1"/>
  <c r="L19" i="18" s="1"/>
  <c r="K14" i="18"/>
  <c r="D39" i="10"/>
  <c r="D43" i="10" s="1"/>
  <c r="H8" i="22" s="1"/>
  <c r="D55" i="8"/>
  <c r="G37" i="20"/>
  <c r="G38" i="20"/>
  <c r="G35" i="20"/>
  <c r="G19" i="20"/>
  <c r="D62" i="10"/>
  <c r="D54" i="8" s="1"/>
  <c r="J8" i="7"/>
  <c r="P7" i="30"/>
  <c r="N7" i="30" s="1"/>
  <c r="O7" i="30" s="1"/>
  <c r="P6" i="30"/>
  <c r="I36" i="22"/>
  <c r="I41" i="22"/>
  <c r="I10" i="22" s="1"/>
  <c r="K44" i="14" s="1"/>
  <c r="I54" i="25"/>
  <c r="G23" i="20"/>
  <c r="C47" i="7"/>
  <c r="H5" i="22"/>
  <c r="D7" i="14"/>
  <c r="D8" i="14" s="1"/>
  <c r="D10" i="14" s="1"/>
  <c r="G39" i="20"/>
  <c r="H7" i="22" s="1"/>
  <c r="D41" i="11"/>
  <c r="D42" i="11" s="1"/>
  <c r="C29" i="7" s="1"/>
  <c r="O12" i="30"/>
  <c r="D41" i="8"/>
  <c r="N24" i="28"/>
  <c r="D342" i="47"/>
  <c r="D248" i="46"/>
  <c r="D34" i="9"/>
  <c r="D50" i="9" s="1"/>
  <c r="K35" i="9"/>
  <c r="K17" i="9"/>
  <c r="P16" i="29" s="1"/>
  <c r="N16" i="29" s="1"/>
  <c r="O16" i="29" s="1"/>
  <c r="P17" i="29"/>
  <c r="N17" i="29" s="1"/>
  <c r="O17" i="29" s="1"/>
  <c r="D126" i="46"/>
  <c r="K48" i="27"/>
  <c r="K103" i="27"/>
  <c r="L103" i="27" s="1"/>
  <c r="L46" i="27"/>
  <c r="J14" i="20"/>
  <c r="G27" i="12"/>
  <c r="G44" i="12" s="1"/>
  <c r="F37" i="7"/>
  <c r="G21" i="14"/>
  <c r="F50" i="7"/>
  <c r="F52" i="7" s="1"/>
  <c r="E37" i="7"/>
  <c r="I14" i="20"/>
  <c r="F27" i="12"/>
  <c r="F44" i="12" s="1"/>
  <c r="E27" i="12"/>
  <c r="E44" i="12" s="1"/>
  <c r="H14" i="20"/>
  <c r="D37" i="7"/>
  <c r="G14" i="20"/>
  <c r="G13" i="20"/>
  <c r="P46" i="31"/>
  <c r="N45" i="31"/>
  <c r="F49" i="10"/>
  <c r="F53" i="18"/>
  <c r="F57" i="18" s="1"/>
  <c r="H19" i="7"/>
  <c r="I55" i="8"/>
  <c r="I39" i="10"/>
  <c r="I43" i="10" s="1"/>
  <c r="I45" i="10" s="1"/>
  <c r="I47" i="10" s="1"/>
  <c r="I13" i="7"/>
  <c r="H57" i="7" l="1"/>
  <c r="K106" i="15"/>
  <c r="P21" i="32"/>
  <c r="P22" i="32" s="1"/>
  <c r="N6" i="32"/>
  <c r="N21" i="32" s="1"/>
  <c r="N22" i="32" s="1"/>
  <c r="K364" i="48"/>
  <c r="I22" i="7"/>
  <c r="J22" i="7" s="1"/>
  <c r="J40" i="9"/>
  <c r="Q51" i="29"/>
  <c r="L51" i="9"/>
  <c r="H15" i="8"/>
  <c r="J95" i="47"/>
  <c r="K95" i="47" s="1"/>
  <c r="H172" i="47"/>
  <c r="G63" i="12"/>
  <c r="E65" i="18"/>
  <c r="E47" i="12"/>
  <c r="E50" i="12" s="1"/>
  <c r="D41" i="7" s="1"/>
  <c r="H39" i="10"/>
  <c r="H43" i="10" s="1"/>
  <c r="H45" i="10" s="1"/>
  <c r="H47" i="10" s="1"/>
  <c r="H49" i="10" s="1"/>
  <c r="H76" i="11"/>
  <c r="G30" i="7"/>
  <c r="G34" i="7" s="1"/>
  <c r="N24" i="31"/>
  <c r="O24" i="31" s="1"/>
  <c r="P39" i="30"/>
  <c r="N39" i="30" s="1"/>
  <c r="I72" i="11"/>
  <c r="J68" i="11"/>
  <c r="G12" i="7"/>
  <c r="I12" i="7" s="1"/>
  <c r="J12" i="7" s="1"/>
  <c r="I10" i="7"/>
  <c r="J10" i="7" s="1"/>
  <c r="J23" i="10"/>
  <c r="J62" i="10" s="1"/>
  <c r="K20" i="10"/>
  <c r="K81" i="15"/>
  <c r="K113" i="15" s="1"/>
  <c r="G113" i="15"/>
  <c r="G7" i="15"/>
  <c r="J81" i="15"/>
  <c r="J113" i="15" s="1"/>
  <c r="K18" i="22"/>
  <c r="M204" i="15"/>
  <c r="J18" i="22"/>
  <c r="L204" i="15"/>
  <c r="J107" i="15"/>
  <c r="I170" i="15"/>
  <c r="H56" i="7" s="1"/>
  <c r="I56" i="7" s="1"/>
  <c r="K169" i="52"/>
  <c r="K170" i="15" s="1"/>
  <c r="J202" i="15"/>
  <c r="I103" i="15"/>
  <c r="J169" i="37"/>
  <c r="K169" i="37" s="1"/>
  <c r="K7" i="15"/>
  <c r="K169" i="34"/>
  <c r="D27" i="12"/>
  <c r="D44" i="12" s="1"/>
  <c r="I41" i="8"/>
  <c r="J21" i="9"/>
  <c r="J27" i="9" s="1"/>
  <c r="K23" i="9"/>
  <c r="I51" i="9"/>
  <c r="I19" i="7"/>
  <c r="I20" i="7" s="1"/>
  <c r="H71" i="15"/>
  <c r="G57" i="7" s="1"/>
  <c r="K91" i="15"/>
  <c r="K123" i="15" s="1"/>
  <c r="K121" i="15"/>
  <c r="J91" i="15"/>
  <c r="J123" i="15" s="1"/>
  <c r="J121" i="15"/>
  <c r="K107" i="15"/>
  <c r="I134" i="15"/>
  <c r="N26" i="33"/>
  <c r="D45" i="10"/>
  <c r="D47" i="10" s="1"/>
  <c r="D53" i="18" s="1"/>
  <c r="D57" i="18" s="1"/>
  <c r="D47" i="12" s="1"/>
  <c r="D50" i="12" s="1"/>
  <c r="C41" i="7" s="1"/>
  <c r="D51" i="9"/>
  <c r="J29" i="7"/>
  <c r="J41" i="11"/>
  <c r="J42" i="11" s="1"/>
  <c r="O45" i="32" s="1"/>
  <c r="K35" i="11"/>
  <c r="K65" i="11"/>
  <c r="H9" i="20" s="1"/>
  <c r="I13" i="22" s="1"/>
  <c r="O26" i="33"/>
  <c r="F163" i="15"/>
  <c r="F167" i="15" s="1"/>
  <c r="G55" i="7"/>
  <c r="J55" i="8"/>
  <c r="P39" i="28"/>
  <c r="K40" i="8"/>
  <c r="I249" i="46"/>
  <c r="J249" i="46" s="1"/>
  <c r="K11" i="9"/>
  <c r="P10" i="29" s="1"/>
  <c r="N10" i="29" s="1"/>
  <c r="O10" i="29" s="1"/>
  <c r="J248" i="46"/>
  <c r="K248" i="46" s="1"/>
  <c r="K45" i="9"/>
  <c r="J44" i="9"/>
  <c r="K40" i="9"/>
  <c r="P39" i="29" s="1"/>
  <c r="N39" i="29" s="1"/>
  <c r="P40" i="29"/>
  <c r="N40" i="29" s="1"/>
  <c r="P31" i="29"/>
  <c r="N31" i="29" s="1"/>
  <c r="O31" i="29" s="1"/>
  <c r="K30" i="9"/>
  <c r="P29" i="29" s="1"/>
  <c r="N29" i="29" s="1"/>
  <c r="O29" i="29" s="1"/>
  <c r="P8" i="29"/>
  <c r="N8" i="29" s="1"/>
  <c r="O8" i="29" s="1"/>
  <c r="K7" i="9"/>
  <c r="D170" i="15"/>
  <c r="D202" i="15"/>
  <c r="C56" i="7"/>
  <c r="D205" i="15"/>
  <c r="K202" i="15"/>
  <c r="C58" i="7"/>
  <c r="J58" i="7" s="1"/>
  <c r="G34" i="20"/>
  <c r="H17" i="22"/>
  <c r="D207" i="15"/>
  <c r="D206" i="15"/>
  <c r="D113" i="15"/>
  <c r="D7" i="15"/>
  <c r="K43" i="14"/>
  <c r="K38" i="14" s="1"/>
  <c r="K40" i="14" s="1"/>
  <c r="K16" i="14" s="1"/>
  <c r="K20" i="14" s="1"/>
  <c r="M16" i="18"/>
  <c r="M19" i="18" s="1"/>
  <c r="M13" i="18" s="1"/>
  <c r="M14" i="18" s="1"/>
  <c r="M10" i="12" s="1"/>
  <c r="L13" i="18"/>
  <c r="L14" i="18" s="1"/>
  <c r="L10" i="12" s="1"/>
  <c r="J42" i="22" s="1"/>
  <c r="D21" i="14"/>
  <c r="H6" i="22" s="1"/>
  <c r="I9" i="22"/>
  <c r="J37" i="22"/>
  <c r="J9" i="22" s="1"/>
  <c r="N6" i="30"/>
  <c r="C50" i="7"/>
  <c r="C52" i="7" s="1"/>
  <c r="N39" i="28"/>
  <c r="O24" i="28"/>
  <c r="O39" i="28" s="1"/>
  <c r="N7" i="28"/>
  <c r="D249" i="46"/>
  <c r="P34" i="29"/>
  <c r="N34" i="29" s="1"/>
  <c r="O34" i="29" s="1"/>
  <c r="K34" i="9"/>
  <c r="K126" i="46"/>
  <c r="L48" i="27"/>
  <c r="K101" i="27"/>
  <c r="L101" i="27" s="1"/>
  <c r="N46" i="31"/>
  <c r="O45" i="31"/>
  <c r="O46" i="31" s="1"/>
  <c r="P63" i="31"/>
  <c r="F47" i="12"/>
  <c r="F50" i="12" s="1"/>
  <c r="F65" i="18"/>
  <c r="H20" i="7"/>
  <c r="H21" i="7" s="1"/>
  <c r="H24" i="7" s="1"/>
  <c r="I49" i="10"/>
  <c r="I53" i="18"/>
  <c r="I57" i="18" s="1"/>
  <c r="I19" i="13"/>
  <c r="J16" i="13"/>
  <c r="I57" i="7" l="1"/>
  <c r="J57" i="7" s="1"/>
  <c r="J50" i="9"/>
  <c r="J51" i="9" s="1"/>
  <c r="J15" i="8"/>
  <c r="H22" i="8"/>
  <c r="J172" i="47"/>
  <c r="K172" i="47" s="1"/>
  <c r="H342" i="47"/>
  <c r="J342" i="47" s="1"/>
  <c r="K342" i="47" s="1"/>
  <c r="H53" i="18"/>
  <c r="H57" i="18" s="1"/>
  <c r="H65" i="18" s="1"/>
  <c r="E63" i="12"/>
  <c r="I21" i="7"/>
  <c r="H28" i="13"/>
  <c r="H29" i="13" s="1"/>
  <c r="H24" i="18"/>
  <c r="H21" i="12" s="1"/>
  <c r="H91" i="11"/>
  <c r="J72" i="11"/>
  <c r="J76" i="11" s="1"/>
  <c r="K68" i="11"/>
  <c r="I76" i="11"/>
  <c r="H30" i="7"/>
  <c r="J39" i="10"/>
  <c r="J43" i="10" s="1"/>
  <c r="J45" i="10" s="1"/>
  <c r="J47" i="10" s="1"/>
  <c r="J49" i="10" s="1"/>
  <c r="G21" i="7"/>
  <c r="G24" i="7" s="1"/>
  <c r="G26" i="7" s="1"/>
  <c r="I14" i="22"/>
  <c r="P19" i="30"/>
  <c r="K23" i="10"/>
  <c r="H47" i="12"/>
  <c r="H50" i="12" s="1"/>
  <c r="G41" i="7" s="1"/>
  <c r="G103" i="15"/>
  <c r="G134" i="15"/>
  <c r="H103" i="15"/>
  <c r="I202" i="15"/>
  <c r="J56" i="7"/>
  <c r="P22" i="29"/>
  <c r="N22" i="29" s="1"/>
  <c r="O22" i="29" s="1"/>
  <c r="K21" i="9"/>
  <c r="P20" i="29" s="1"/>
  <c r="N20" i="29" s="1"/>
  <c r="O20" i="29" s="1"/>
  <c r="J163" i="15"/>
  <c r="J167" i="15" s="1"/>
  <c r="F136" i="15"/>
  <c r="O31" i="33"/>
  <c r="H134" i="15"/>
  <c r="J71" i="15"/>
  <c r="K71" i="15"/>
  <c r="D49" i="10"/>
  <c r="D65" i="18"/>
  <c r="P33" i="32"/>
  <c r="K41" i="11"/>
  <c r="K42" i="11" s="1"/>
  <c r="K163" i="15"/>
  <c r="F227" i="15"/>
  <c r="E55" i="7"/>
  <c r="I55" i="7" s="1"/>
  <c r="J55" i="7" s="1"/>
  <c r="K249" i="46"/>
  <c r="K44" i="9"/>
  <c r="P43" i="29" s="1"/>
  <c r="N43" i="29" s="1"/>
  <c r="O43" i="29" s="1"/>
  <c r="P44" i="29"/>
  <c r="N44" i="29" s="1"/>
  <c r="O44" i="29" s="1"/>
  <c r="P6" i="29"/>
  <c r="D134" i="15"/>
  <c r="D103" i="15"/>
  <c r="L14" i="12"/>
  <c r="I19" i="20"/>
  <c r="L43" i="14"/>
  <c r="L38" i="14" s="1"/>
  <c r="L40" i="14" s="1"/>
  <c r="L16" i="14" s="1"/>
  <c r="L20" i="14" s="1"/>
  <c r="K51" i="7" s="1"/>
  <c r="I38" i="20"/>
  <c r="J15" i="22"/>
  <c r="I16" i="14"/>
  <c r="I20" i="14" s="1"/>
  <c r="H51" i="7" s="1"/>
  <c r="I51" i="7" s="1"/>
  <c r="J51" i="7" s="1"/>
  <c r="K15" i="22"/>
  <c r="J19" i="20"/>
  <c r="K42" i="22"/>
  <c r="J38" i="20"/>
  <c r="M14" i="12"/>
  <c r="M43" i="14"/>
  <c r="M38" i="14" s="1"/>
  <c r="M40" i="14" s="1"/>
  <c r="M16" i="14" s="1"/>
  <c r="M20" i="14" s="1"/>
  <c r="L51" i="7" s="1"/>
  <c r="O6" i="30"/>
  <c r="D63" i="12"/>
  <c r="O7" i="28"/>
  <c r="P33" i="29"/>
  <c r="O63" i="31"/>
  <c r="H26" i="7"/>
  <c r="N63" i="31"/>
  <c r="E41" i="7"/>
  <c r="F63" i="12"/>
  <c r="J19" i="13"/>
  <c r="K16" i="13"/>
  <c r="K19" i="13" s="1"/>
  <c r="I65" i="18"/>
  <c r="I47" i="12"/>
  <c r="H44" i="7"/>
  <c r="I44" i="7" s="1"/>
  <c r="J44" i="7" s="1"/>
  <c r="K27" i="9" l="1"/>
  <c r="K72" i="11"/>
  <c r="K76" i="11" s="1"/>
  <c r="H41" i="8"/>
  <c r="H54" i="8"/>
  <c r="K15" i="8"/>
  <c r="J22" i="8"/>
  <c r="H227" i="15"/>
  <c r="H26" i="12"/>
  <c r="G38" i="7" s="1"/>
  <c r="G45" i="7"/>
  <c r="H40" i="13"/>
  <c r="H42" i="13" s="1"/>
  <c r="J91" i="11"/>
  <c r="H34" i="7"/>
  <c r="I34" i="7" s="1"/>
  <c r="J34" i="7" s="1"/>
  <c r="I30" i="7"/>
  <c r="J30" i="7" s="1"/>
  <c r="J28" i="13"/>
  <c r="I91" i="11"/>
  <c r="J53" i="18"/>
  <c r="J57" i="18" s="1"/>
  <c r="J65" i="18" s="1"/>
  <c r="I24" i="7"/>
  <c r="I26" i="7" s="1"/>
  <c r="K62" i="10"/>
  <c r="H19" i="20"/>
  <c r="H35" i="20"/>
  <c r="H38" i="20"/>
  <c r="H34" i="20"/>
  <c r="H37" i="20"/>
  <c r="N19" i="30"/>
  <c r="P22" i="30"/>
  <c r="P21" i="31"/>
  <c r="P33" i="31" s="1"/>
  <c r="N19" i="31"/>
  <c r="J136" i="15"/>
  <c r="K205" i="15"/>
  <c r="K103" i="15"/>
  <c r="K134" i="15"/>
  <c r="J134" i="15"/>
  <c r="J103" i="15"/>
  <c r="N33" i="32"/>
  <c r="N39" i="32" s="1"/>
  <c r="N40" i="32" s="1"/>
  <c r="P39" i="32"/>
  <c r="P40" i="32" s="1"/>
  <c r="P45" i="32" s="1"/>
  <c r="H14" i="12"/>
  <c r="K167" i="15"/>
  <c r="K136" i="15"/>
  <c r="K50" i="9"/>
  <c r="N6" i="29"/>
  <c r="P26" i="29"/>
  <c r="H18" i="22"/>
  <c r="D204" i="15"/>
  <c r="J16" i="14"/>
  <c r="J20" i="14" s="1"/>
  <c r="L27" i="12"/>
  <c r="L44" i="12" s="1"/>
  <c r="L63" i="12" s="1"/>
  <c r="I13" i="20"/>
  <c r="K37" i="7"/>
  <c r="M27" i="12"/>
  <c r="M44" i="12" s="1"/>
  <c r="M63" i="12" s="1"/>
  <c r="J13" i="20"/>
  <c r="L37" i="7"/>
  <c r="N33" i="29"/>
  <c r="P49" i="29"/>
  <c r="I50" i="12"/>
  <c r="H41" i="7" s="1"/>
  <c r="I41" i="7" s="1"/>
  <c r="J47" i="12"/>
  <c r="J50" i="12" s="1"/>
  <c r="K54" i="17"/>
  <c r="K66" i="17" s="1"/>
  <c r="K68" i="17" s="1"/>
  <c r="C66" i="17"/>
  <c r="C68" i="17" s="1"/>
  <c r="K91" i="11" l="1"/>
  <c r="M91" i="11"/>
  <c r="K51" i="9"/>
  <c r="I29" i="13"/>
  <c r="I40" i="13" s="1"/>
  <c r="I42" i="13" s="1"/>
  <c r="P14" i="28"/>
  <c r="K22" i="8"/>
  <c r="K41" i="8" s="1"/>
  <c r="J41" i="8"/>
  <c r="J54" i="8"/>
  <c r="G47" i="7"/>
  <c r="H7" i="14"/>
  <c r="H8" i="14" s="1"/>
  <c r="H10" i="14" s="1"/>
  <c r="H21" i="14" s="1"/>
  <c r="I24" i="18"/>
  <c r="I21" i="12" s="1"/>
  <c r="J21" i="18"/>
  <c r="K28" i="13"/>
  <c r="K29" i="13" s="1"/>
  <c r="K40" i="13" s="1"/>
  <c r="K42" i="13" s="1"/>
  <c r="J29" i="13"/>
  <c r="J40" i="13" s="1"/>
  <c r="J42" i="13" s="1"/>
  <c r="N49" i="31"/>
  <c r="O19" i="30"/>
  <c r="O22" i="30" s="1"/>
  <c r="N22" i="30"/>
  <c r="O19" i="31"/>
  <c r="O21" i="31" s="1"/>
  <c r="O33" i="31" s="1"/>
  <c r="N21" i="31"/>
  <c r="N33" i="31" s="1"/>
  <c r="K204" i="15"/>
  <c r="I18" i="22"/>
  <c r="P51" i="29"/>
  <c r="H27" i="12"/>
  <c r="H44" i="12" s="1"/>
  <c r="H63" i="12" s="1"/>
  <c r="G37" i="7"/>
  <c r="K207" i="15"/>
  <c r="I17" i="22"/>
  <c r="K206" i="15"/>
  <c r="O6" i="29"/>
  <c r="O26" i="29" s="1"/>
  <c r="N26" i="29"/>
  <c r="O33" i="29"/>
  <c r="O49" i="29" s="1"/>
  <c r="N49" i="29"/>
  <c r="C26" i="10"/>
  <c r="K26" i="10" s="1"/>
  <c r="B13" i="7"/>
  <c r="C37" i="10"/>
  <c r="F32" i="20"/>
  <c r="G50" i="7" l="1"/>
  <c r="G52" i="7" s="1"/>
  <c r="H45" i="7"/>
  <c r="I45" i="7" s="1"/>
  <c r="J45" i="7" s="1"/>
  <c r="K54" i="8"/>
  <c r="N14" i="28"/>
  <c r="P21" i="28"/>
  <c r="P41" i="28" s="1"/>
  <c r="O49" i="31"/>
  <c r="I7" i="14"/>
  <c r="J7" i="14" s="1"/>
  <c r="K7" i="14" s="1"/>
  <c r="H47" i="7"/>
  <c r="I47" i="7" s="1"/>
  <c r="J47" i="7" s="1"/>
  <c r="K21" i="18"/>
  <c r="K24" i="18" s="1"/>
  <c r="J24" i="18"/>
  <c r="H23" i="20"/>
  <c r="I5" i="22"/>
  <c r="H39" i="20"/>
  <c r="I7" i="22" s="1"/>
  <c r="L41" i="13"/>
  <c r="L42" i="13" s="1"/>
  <c r="I26" i="12"/>
  <c r="H38" i="7" s="1"/>
  <c r="I38" i="7" s="1"/>
  <c r="J38" i="7" s="1"/>
  <c r="J21" i="12"/>
  <c r="I227" i="15"/>
  <c r="N51" i="29"/>
  <c r="O51" i="29"/>
  <c r="H32" i="20"/>
  <c r="K37" i="10"/>
  <c r="P25" i="30"/>
  <c r="F7" i="20"/>
  <c r="C39" i="10"/>
  <c r="C43" i="10" s="1"/>
  <c r="B19" i="7"/>
  <c r="J19" i="7" s="1"/>
  <c r="C55" i="8"/>
  <c r="J13" i="7"/>
  <c r="O14" i="28" l="1"/>
  <c r="O21" i="28" s="1"/>
  <c r="O41" i="28" s="1"/>
  <c r="N21" i="28"/>
  <c r="N41" i="28" s="1"/>
  <c r="L7" i="14"/>
  <c r="L8" i="14" s="1"/>
  <c r="L10" i="14" s="1"/>
  <c r="L21" i="14" s="1"/>
  <c r="J6" i="22" s="1"/>
  <c r="M41" i="13"/>
  <c r="M42" i="13" s="1"/>
  <c r="K47" i="7"/>
  <c r="J5" i="22"/>
  <c r="I39" i="20"/>
  <c r="J7" i="22" s="1"/>
  <c r="I23" i="20"/>
  <c r="I14" i="12"/>
  <c r="J8" i="12"/>
  <c r="I8" i="14"/>
  <c r="J26" i="12"/>
  <c r="K21" i="12"/>
  <c r="J227" i="15"/>
  <c r="B20" i="7"/>
  <c r="B21" i="7" s="1"/>
  <c r="B24" i="7" s="1"/>
  <c r="B26" i="7" s="1"/>
  <c r="J20" i="7"/>
  <c r="J21" i="7" s="1"/>
  <c r="N25" i="30"/>
  <c r="P36" i="30"/>
  <c r="P38" i="30" s="1"/>
  <c r="P42" i="30" s="1"/>
  <c r="K55" i="8"/>
  <c r="H7" i="20"/>
  <c r="K39" i="10"/>
  <c r="K43" i="10" s="1"/>
  <c r="J24" i="7"/>
  <c r="J26" i="7" s="1"/>
  <c r="G8" i="22"/>
  <c r="C45" i="10"/>
  <c r="C47" i="10" s="1"/>
  <c r="K50" i="7" l="1"/>
  <c r="K52" i="7" s="1"/>
  <c r="K5" i="22"/>
  <c r="J23" i="20"/>
  <c r="L47" i="7"/>
  <c r="J39" i="20"/>
  <c r="K7" i="22" s="1"/>
  <c r="M7" i="14"/>
  <c r="M8" i="14" s="1"/>
  <c r="M10" i="14" s="1"/>
  <c r="L50" i="7" s="1"/>
  <c r="L52" i="7" s="1"/>
  <c r="J8" i="14"/>
  <c r="I10" i="14"/>
  <c r="K26" i="12"/>
  <c r="K227" i="15"/>
  <c r="J14" i="12"/>
  <c r="J27" i="12" s="1"/>
  <c r="J44" i="12" s="1"/>
  <c r="J63" i="12" s="1"/>
  <c r="K8" i="12"/>
  <c r="H37" i="7"/>
  <c r="I37" i="7" s="1"/>
  <c r="J37" i="7" s="1"/>
  <c r="I27" i="12"/>
  <c r="I44" i="12" s="1"/>
  <c r="I63" i="12" s="1"/>
  <c r="P45" i="30"/>
  <c r="C53" i="18"/>
  <c r="C57" i="18" s="1"/>
  <c r="C49" i="10"/>
  <c r="I8" i="22"/>
  <c r="K45" i="10"/>
  <c r="K47" i="10" s="1"/>
  <c r="N36" i="30"/>
  <c r="N38" i="30" s="1"/>
  <c r="N42" i="30" s="1"/>
  <c r="O25" i="30"/>
  <c r="O36" i="30" s="1"/>
  <c r="O38" i="30" s="1"/>
  <c r="O42" i="30" s="1"/>
  <c r="M21" i="14" l="1"/>
  <c r="K6" i="22" s="1"/>
  <c r="H15" i="20"/>
  <c r="K14" i="12"/>
  <c r="I21" i="14"/>
  <c r="H50" i="7"/>
  <c r="K8" i="14"/>
  <c r="K10" i="14" s="1"/>
  <c r="K21" i="14" s="1"/>
  <c r="I6" i="22" s="1"/>
  <c r="J10" i="14"/>
  <c r="J21" i="14" s="1"/>
  <c r="C47" i="12"/>
  <c r="C65" i="18"/>
  <c r="K49" i="10"/>
  <c r="K53" i="18"/>
  <c r="K57" i="18" s="1"/>
  <c r="K65" i="18" s="1"/>
  <c r="H52" i="7" l="1"/>
  <c r="I50" i="7"/>
  <c r="H13" i="20"/>
  <c r="K27" i="12"/>
  <c r="K44" i="12" s="1"/>
  <c r="C50" i="12"/>
  <c r="K47" i="12"/>
  <c r="K50" i="12" s="1"/>
  <c r="K63" i="12" l="1"/>
  <c r="I52" i="7"/>
  <c r="J50" i="7"/>
  <c r="J52" i="7" s="1"/>
  <c r="M83" i="18"/>
  <c r="B41" i="7"/>
  <c r="J41" i="7" s="1"/>
  <c r="C63" i="12"/>
  <c r="C83" i="18"/>
  <c r="N51" i="31" l="1"/>
  <c r="N52" i="31" s="1"/>
  <c r="N54" i="31" s="1"/>
  <c r="P52" i="31"/>
  <c r="P54" i="31" s="1"/>
  <c r="P56" i="31" l="1"/>
  <c r="Q55" i="31" s="1"/>
  <c r="Q56" i="31" s="1"/>
  <c r="R55" i="31" s="1"/>
  <c r="R56" i="31" s="1"/>
  <c r="P64" i="31"/>
  <c r="N56" i="31"/>
  <c r="N64" i="31"/>
  <c r="O51" i="31"/>
  <c r="O52" i="31" s="1"/>
  <c r="O54" i="31" s="1"/>
  <c r="O64" i="31" s="1"/>
</calcChain>
</file>

<file path=xl/comments1.xml><?xml version="1.0" encoding="utf-8"?>
<comments xmlns="http://schemas.openxmlformats.org/spreadsheetml/2006/main">
  <authors>
    <author>1777</author>
  </authors>
  <commentList>
    <comment ref="F81" authorId="0" shapeId="0">
      <text>
        <r>
          <rPr>
            <b/>
            <sz val="8"/>
            <color indexed="81"/>
            <rFont val="Tahoma"/>
            <family val="2"/>
          </rPr>
          <t>1777:</t>
        </r>
        <r>
          <rPr>
            <sz val="8"/>
            <color indexed="81"/>
            <rFont val="Tahoma"/>
            <family val="2"/>
          </rPr>
          <t xml:space="preserve">
Consolidated word excluded from title - not applicable</t>
        </r>
      </text>
    </comment>
  </commentList>
</comments>
</file>

<file path=xl/sharedStrings.xml><?xml version="1.0" encoding="utf-8"?>
<sst xmlns="http://schemas.openxmlformats.org/spreadsheetml/2006/main" count="7004" uniqueCount="2385">
  <si>
    <t>1. Must reconcile with 'Financial Position' budget</t>
  </si>
  <si>
    <t>2. Leases treated as assets to be depreciated as the same as purchased/constructed assets.  Includes PPP asset element accounted for as finance leases</t>
  </si>
  <si>
    <t>3. Borrowing (original budget) must reconcile to Budget Table A16</t>
  </si>
  <si>
    <t>check</t>
  </si>
  <si>
    <t>Unit of measurement</t>
  </si>
  <si>
    <t>Insert measure/s description</t>
  </si>
  <si>
    <t>2. Additional cash-backed accumulated funds/unspent funds (MFMA section 18(1)(b) and section 28(2)(e)) identified after the Original Budget approved and after annual financial statements audited (note: only where underspending could not reasonably have been foreseen)</t>
  </si>
  <si>
    <t>3. Increases of funds approved under MFMA section 31</t>
  </si>
  <si>
    <t xml:space="preserve">4. Adjustments approved in accordance with MFMA section 29 </t>
  </si>
  <si>
    <t>5. Adjustments to transfers from National or Provincial Government</t>
  </si>
  <si>
    <t>6. Adjusts. = 'Other' Adjustments proposed to be approved; including revenue under-collection (MFMA section 28(2)(a)); additional revenue appropriation on existing programmes (section 28(2))(b); projected savings (section 28(2)(d)); error correction (section 28(2)(f))</t>
  </si>
  <si>
    <t>7. G = B + C + D + E + F</t>
  </si>
  <si>
    <t>8. Adjusted Budget H = (A or A1/2 etc) + G</t>
  </si>
  <si>
    <t>1. Include a measurable performance objective for each revenue source (within a relevant function) and each vote (MFMA s17(3)(b))</t>
  </si>
  <si>
    <t>2. Include the estimated effect on the target of each component of an adjustment budget (B to G)</t>
  </si>
  <si>
    <t>4. Total target adjustments G = B + C + D + E + F</t>
  </si>
  <si>
    <t>5. Total Adjusted Budget targets H = (A or A1/2 etc) + G</t>
  </si>
  <si>
    <t>6. NOTE - include adjustsment by 'exception' (only where amended)</t>
  </si>
  <si>
    <t>Basis of calculation</t>
  </si>
  <si>
    <t>Borrowing Management</t>
  </si>
  <si>
    <t>Credit Rating</t>
  </si>
  <si>
    <t>Short term/long term rating</t>
  </si>
  <si>
    <t>Capital Charges to Operating Expenditure</t>
  </si>
  <si>
    <t>Interest &amp; Principal Paid /Operating Expenditure</t>
  </si>
  <si>
    <t>Date of Adjustment</t>
  </si>
  <si>
    <t>Safety of Capital</t>
  </si>
  <si>
    <t>Gearing</t>
  </si>
  <si>
    <t>Long Term Borrowing/ Funds &amp; Reserves</t>
  </si>
  <si>
    <t>Liquidity</t>
  </si>
  <si>
    <t>Current Ratio</t>
  </si>
  <si>
    <t>Current assets/current liabilities</t>
  </si>
  <si>
    <t>Current Ratio adjusted for aged debtors</t>
  </si>
  <si>
    <t>Liquidity Ratio</t>
  </si>
  <si>
    <t>Monetary Assets/Current Liabilities</t>
  </si>
  <si>
    <t>Revenue Management</t>
  </si>
  <si>
    <t>Annual Debtors Collection Rate (Payment Level %)</t>
  </si>
  <si>
    <t>Last 12 Mths Receipts/ Last 12 Mths Billing</t>
  </si>
  <si>
    <t>Outstanding Debtors to Revenue</t>
  </si>
  <si>
    <t>Total Outstanding Debtors to Annual Revenue</t>
  </si>
  <si>
    <t>Longstanding Debtors Recovered</t>
  </si>
  <si>
    <t>Debtors &gt; 12 Mths Recovered/Total Debtors &gt; 12 Months Old</t>
  </si>
  <si>
    <t>Creditors Management</t>
  </si>
  <si>
    <t>Creditors System Efficiency</t>
  </si>
  <si>
    <t>% of Creditors Paid Within Terms (within MFMA s 65(e))</t>
  </si>
  <si>
    <t>Other Indicators</t>
  </si>
  <si>
    <t>Electricity Distribution Losses (2)</t>
  </si>
  <si>
    <t>Water Distribution Losses (2)</t>
  </si>
  <si>
    <t>Employee costs/(Total Revenue - capital revenue)</t>
  </si>
  <si>
    <t>Repairs &amp; Maintenance</t>
  </si>
  <si>
    <t>R&amp;M/(Total Revenue excluding capital revenue)</t>
  </si>
  <si>
    <t>Finance charges &amp; Depreciation</t>
  </si>
  <si>
    <t>FC&amp;D/(Total Revenue - capital revenue)</t>
  </si>
  <si>
    <t>IDP regulation financial viability indicators</t>
  </si>
  <si>
    <t>i. Debt coverage</t>
  </si>
  <si>
    <t>(Total Operating Revenue - Operating Grants)/Debt service payments due within financial year)</t>
  </si>
  <si>
    <t>ii. O/S Service Debtors to Revenue</t>
  </si>
  <si>
    <t>Total outstanding service debtors/annual revenue received for services</t>
  </si>
  <si>
    <t>iii. Cost coverage</t>
  </si>
  <si>
    <t>(Available cash + Investments)/monthly fixed operational expenditure</t>
  </si>
  <si>
    <t>1.  Consumer debtors &gt; 12 months old are excluded from current assets</t>
  </si>
  <si>
    <t>Calculation data</t>
  </si>
  <si>
    <t>Debtors &gt; 90 days</t>
  </si>
  <si>
    <t>Debtors &gt; 12 months recovered</t>
  </si>
  <si>
    <t>Monthly fixed operational expenditure</t>
  </si>
  <si>
    <t>Fixed operational expenditure % assumption</t>
  </si>
  <si>
    <t>Description of economic indicator</t>
  </si>
  <si>
    <t>2007 Survey</t>
  </si>
  <si>
    <t>Demographics</t>
  </si>
  <si>
    <t>Population</t>
  </si>
  <si>
    <t>Females aged 5 - 14</t>
  </si>
  <si>
    <t>Males aged 5 - 14</t>
  </si>
  <si>
    <t>Females aged 15 - 34</t>
  </si>
  <si>
    <t>Males aged 15 - 34</t>
  </si>
  <si>
    <t>Unemployment</t>
  </si>
  <si>
    <t>Parent Municipality</t>
  </si>
  <si>
    <t>Type of Entities Range:</t>
  </si>
  <si>
    <t>Consolidated Information</t>
  </si>
  <si>
    <t>MTREF Range:</t>
  </si>
  <si>
    <t>MTREF Linked:</t>
  </si>
  <si>
    <t>MTREF:</t>
  </si>
  <si>
    <t>Fin Year:</t>
  </si>
  <si>
    <t>None</t>
  </si>
  <si>
    <t>Household/demographics (000)</t>
  </si>
  <si>
    <t>Number of people in municipal area</t>
  </si>
  <si>
    <t>Number of poor people in municipal area</t>
  </si>
  <si>
    <t>Number of households in municipal area</t>
  </si>
  <si>
    <t>Number of poor households in municipal area</t>
  </si>
  <si>
    <t>Definition of poor household (R per month)</t>
  </si>
  <si>
    <t>Formal</t>
  </si>
  <si>
    <t>Informal</t>
  </si>
  <si>
    <t>Dwellings provided by province/s</t>
  </si>
  <si>
    <t>Total new housing dwellings</t>
  </si>
  <si>
    <t>Inflation/inflation outlook (CPIX)</t>
  </si>
  <si>
    <t>Interest rate - borrowing</t>
  </si>
  <si>
    <t>Interest rate - investment</t>
  </si>
  <si>
    <t>Remuneration increases</t>
  </si>
  <si>
    <t>Consumption growth (electricity)</t>
  </si>
  <si>
    <t>Consumption growth (water)</t>
  </si>
  <si>
    <t>Property tax/service charges</t>
  </si>
  <si>
    <t>%</t>
  </si>
  <si>
    <t>Rental of facilities &amp; equipment</t>
  </si>
  <si>
    <t>Interest - external investments</t>
  </si>
  <si>
    <t>Interest - debtors</t>
  </si>
  <si>
    <t>Revenue from agency services</t>
  </si>
  <si>
    <t>MFMA section</t>
  </si>
  <si>
    <t>Funding measures</t>
  </si>
  <si>
    <t>Cash/cash equivalents at the year end - R'000</t>
  </si>
  <si>
    <t>18(1)b</t>
  </si>
  <si>
    <t>Cash + investments at the yr end less applications - R'000</t>
  </si>
  <si>
    <t>Cash year end/monthly employee/supplier payments</t>
  </si>
  <si>
    <t>Surplus/(Deficit) excluding depreciation offsets: R'000</t>
  </si>
  <si>
    <t>18(1)</t>
  </si>
  <si>
    <t>Service charge rev % change - macro CPIX target exclusive</t>
  </si>
  <si>
    <t>18(1)a,(2)</t>
  </si>
  <si>
    <t>Cash receipts % of Ratepayer &amp; Other revenue</t>
  </si>
  <si>
    <t>Debt impairment expense as a % of total billable revenue</t>
  </si>
  <si>
    <t>Capital payments % of capital expenditure</t>
  </si>
  <si>
    <t>18(1)c;19</t>
  </si>
  <si>
    <t>Borrowing receipts % of capital expenditure (excl. transfers)</t>
  </si>
  <si>
    <t>18(1)c</t>
  </si>
  <si>
    <t>Grants % of Govt. legislated/gazetted allocations</t>
  </si>
  <si>
    <t>18(1)a</t>
  </si>
  <si>
    <t>Current consumer debtors % change - incr(decr)</t>
  </si>
  <si>
    <t>Long term receivables % change - incr(decr)</t>
  </si>
  <si>
    <t>R&amp;M % of Property Plant &amp; Equipment</t>
  </si>
  <si>
    <t>20(1)(vi)</t>
  </si>
  <si>
    <t>Asset renewal % of capital budget</t>
  </si>
  <si>
    <t>1. Positive cash balances indicative of minimum compliance - subject to 2</t>
  </si>
  <si>
    <t>2. Deduct applications (defined) from cash balances</t>
  </si>
  <si>
    <t>3. Indicative of sufficient liquidity to meet average monthly operating payments</t>
  </si>
  <si>
    <t>4. Indicative of funded operational requirements</t>
  </si>
  <si>
    <t>5. Indicative of adherence to macro-economic targets (prior to 2003/04 revenue not available for high capacity municipalities and later for other capacity classifications)</t>
  </si>
  <si>
    <t>6. Realistic average cash collection forecasts as % of annual billed revenue</t>
  </si>
  <si>
    <t>7. Realistic average increase in doubtful debt provision</t>
  </si>
  <si>
    <t>8. Indicative of planned capital expenditure level &amp; cash payment timing</t>
  </si>
  <si>
    <t>9. Indicative of compliance with borrowing 'only' for the capital budget - should not exceed 100% unless refinancing</t>
  </si>
  <si>
    <t>10. Substantiation of National/Province allocations included in budget</t>
  </si>
  <si>
    <t>11. Indicative of realistic current arrear debtor collection targets (prior to 2003/04 revenue not available for high cap municipalities and later for other capacity classifications)</t>
  </si>
  <si>
    <t>12. Indicative of realistic long term arrear debtor collection targets (prior to 2003/04 revenue not available for high cap municipalities and later for other capacity classifications)</t>
  </si>
  <si>
    <t>13. Indicative of a credible allowance for repairs &amp; maintenance of assets</t>
  </si>
  <si>
    <t>14. Indicative of a credible allowance for asset renewal (requires analysis of asset renewal projects as % of total capital projects - detailed capital plan)</t>
  </si>
  <si>
    <t>Macro CPIX target</t>
  </si>
  <si>
    <t>Total service charge revenue</t>
  </si>
  <si>
    <t>Total service charge revenue - previous year</t>
  </si>
  <si>
    <t>Provincial government gazetted allocations</t>
  </si>
  <si>
    <t>National government DoRA allocations</t>
  </si>
  <si>
    <t>Cash receipts from ratepayers</t>
  </si>
  <si>
    <t>Ratepayer &amp; Other revenue</t>
  </si>
  <si>
    <t>Change in debtors</t>
  </si>
  <si>
    <t>Average annual collection rate (arrears inclusive)</t>
  </si>
  <si>
    <t>RECEIPTS:</t>
  </si>
  <si>
    <t>1, 2</t>
  </si>
  <si>
    <t>National Government:</t>
  </si>
  <si>
    <t>Other transfers and grants [insert description]</t>
  </si>
  <si>
    <t>Provincial Government:</t>
  </si>
  <si>
    <t>District Municipality:</t>
  </si>
  <si>
    <t>[insert description]</t>
  </si>
  <si>
    <t>Other grant providers:</t>
  </si>
  <si>
    <t>1. Each grant is listed by name as gazetted together with the name of the transferring department or municipality, donor or other organisation</t>
  </si>
  <si>
    <t>3. Replacement of RSC levies</t>
  </si>
  <si>
    <t>6. Only complete if a previous adjusted budget has been approved in the same financial year. Reflect most recent adjusted budget.</t>
  </si>
  <si>
    <t>4. Housing subsidies for housing where ownership transferred to organisations or persons outside the control of the municipality</t>
  </si>
  <si>
    <t>5. Motor vehicle licensing refunds to be included under 'agency' services (Not shown here as Receipts)</t>
  </si>
  <si>
    <t>6. Total Grant Receipts original budget must reconcile to budget supporting table A18</t>
  </si>
  <si>
    <t>10. Adjusts. = 'Other' Adjustments proposed to be approved; including revenue under-collection (MFMA section 28(2)(a)); error correction (section 28(2)(f)); functional shifts and any adjustments made under delegation by the AO since the budget was approve</t>
  </si>
  <si>
    <t>11. E = B + C + D</t>
  </si>
  <si>
    <t>12. Adjusted Budget F = (A or A1/2 etc) + E</t>
  </si>
  <si>
    <t>EXPENDITURE ON TRANSFERS AND GRANT PROGRAM:</t>
  </si>
  <si>
    <t>1. Transfers/Grant expenditure must be separately listed for each allocation received</t>
  </si>
  <si>
    <t>3. Increases of funds approved under section 31 MFMA</t>
  </si>
  <si>
    <t>4. Adjustments to funding allocations from National or Provincial Government</t>
  </si>
  <si>
    <t xml:space="preserve">5. Adjusts. = 'Other' Adjustments proposed to be approved; error correction (section 28(2)(f)); functional shifts and any adjustments made under delegation by the AO since the budget was approved or since a previously 'approved' Adjustments Budget in the </t>
  </si>
  <si>
    <t>6. E = B + C + D</t>
  </si>
  <si>
    <t>7. Adjusted Budget F = (A or A1/2 etc) + E</t>
  </si>
  <si>
    <t>Balance unspent at beginning of the year</t>
  </si>
  <si>
    <t>Current year receipts</t>
  </si>
  <si>
    <t>Conditions met - transferred to revenue</t>
  </si>
  <si>
    <t>Conditions still to be met - transferred to liabilities</t>
  </si>
  <si>
    <t>1. Total capital grants revenue budget must reconcile to budget tables A4 and A5; total operating grants revenue must reconcile to budget table A4</t>
  </si>
  <si>
    <t>2. CTBM = conditions to be met</t>
  </si>
  <si>
    <t>5. Adjustments to funding allocations from National or Provincial Government</t>
  </si>
  <si>
    <t>5. Adjusts. = 'Other' Adjustments proposed to be approved; including revenue under-collection (MFMA section 28(2)(a)); additional revenue appropriation on existing programmes (section 28(2))(b); projected savings (section 28(2)(d)); error correction (sect</t>
  </si>
  <si>
    <t>TOTAL ALLOCATIONS TO MUNICIPALITIES:</t>
  </si>
  <si>
    <t>TOTAL ALLOCATIONS TO ENTITIES/EMs'</t>
  </si>
  <si>
    <t>TOTAL ALLOCATIONS TO OTHER ORGANS OF STATE:</t>
  </si>
  <si>
    <t>1. Insert description listed by municipal name and demarcation code of recipient</t>
  </si>
  <si>
    <t>2. Insert description of each entity or external mechanism (an external mechanism may be provided with resources to ensure a minimum level of service)</t>
  </si>
  <si>
    <t>3. Insert description of each Organ of State; e.g. Eskom</t>
  </si>
  <si>
    <t>4. Insert description of each 'other' organisation</t>
  </si>
  <si>
    <t>5. All descriptions should separate allocations for 'capital purposes' and 'operating purposes'</t>
  </si>
  <si>
    <t>12. G = B + C + D + E +  F</t>
  </si>
  <si>
    <t>Summary of remuneration</t>
  </si>
  <si>
    <t>% change</t>
  </si>
  <si>
    <t>Councillors (Political Office Bearers plus Other)</t>
  </si>
  <si>
    <t>Medical Aid Contributions</t>
  </si>
  <si>
    <t>Sub Total - Councillors</t>
  </si>
  <si>
    <t>% increase</t>
  </si>
  <si>
    <t>Senior Managers of the Municipality</t>
  </si>
  <si>
    <t>Performance Bonus</t>
  </si>
  <si>
    <t>Sub Total - Senior Managers of Municipality</t>
  </si>
  <si>
    <t>Other Municipal Staff</t>
  </si>
  <si>
    <t>Basic Salaries and Wages</t>
  </si>
  <si>
    <t>Sub Total - Other Municipal Staff</t>
  </si>
  <si>
    <t>Total Parent Municipality</t>
  </si>
  <si>
    <t>Board Members of Entities</t>
  </si>
  <si>
    <t>Board Fees</t>
  </si>
  <si>
    <t>Sub Total - Board Members of Entities</t>
  </si>
  <si>
    <t>Senior Managers of Entities</t>
  </si>
  <si>
    <t>Sub Total - Senior Managers of Entities</t>
  </si>
  <si>
    <t>Other Staff of Entities</t>
  </si>
  <si>
    <t>Sub Total - Other Staff of Entities</t>
  </si>
  <si>
    <t>Total Municipal Entities</t>
  </si>
  <si>
    <t>TOTAL MANAGERS AND STAFF</t>
  </si>
  <si>
    <t>1. Include 'Loans and advances' where applicable if any reportable amounts only until phased compliance with s164 of MFMA achieved</t>
  </si>
  <si>
    <t>2. If benefits in kind are provided (e.g. provision of living quarters) the full market value must be shown as the cost to the municipality</t>
  </si>
  <si>
    <t>3. s57 of the Systems Act</t>
  </si>
  <si>
    <t>4. Must agree to the sub-total appearing on Table C1 (Employee costs)</t>
  </si>
  <si>
    <t>Column Definitions:</t>
  </si>
  <si>
    <t>A. The original budget approved by council for the current year</t>
  </si>
  <si>
    <t>Municipal Entities</t>
  </si>
  <si>
    <t>Type of report:</t>
  </si>
  <si>
    <t>9. Adjustments caused by changes in funding allocations from National or Provincial Government</t>
  </si>
  <si>
    <t>11. G = B + C + D + E +  F</t>
  </si>
  <si>
    <t>Medium Term Revenue and Expenditure Framework</t>
  </si>
  <si>
    <t>July</t>
  </si>
  <si>
    <t>August</t>
  </si>
  <si>
    <t>Sept.</t>
  </si>
  <si>
    <t>October</t>
  </si>
  <si>
    <t>November</t>
  </si>
  <si>
    <t>December</t>
  </si>
  <si>
    <t>January</t>
  </si>
  <si>
    <t>February</t>
  </si>
  <si>
    <t>March</t>
  </si>
  <si>
    <t>April</t>
  </si>
  <si>
    <t>May</t>
  </si>
  <si>
    <t>June</t>
  </si>
  <si>
    <t>Full year budget</t>
  </si>
  <si>
    <t>Adjusted Budget</t>
  </si>
  <si>
    <t>Surplus/ (Deficit)</t>
  </si>
  <si>
    <t>1. Surplus (Deficit) must reconcile with budget table A2 and monthly budget statement table C2</t>
  </si>
  <si>
    <t>Surplus/ (Deficit) 1.</t>
  </si>
  <si>
    <t>1. Surplus (Deficit) must reconcile with budget table A3 and monthly budget statement table C3</t>
  </si>
  <si>
    <t>Service charges - refuse</t>
  </si>
  <si>
    <t>Total Revenue</t>
  </si>
  <si>
    <t>Description</t>
  </si>
  <si>
    <t>Grants:</t>
  </si>
  <si>
    <t>National - opex</t>
  </si>
  <si>
    <t>Provincial - opex</t>
  </si>
  <si>
    <t>National - capex</t>
  </si>
  <si>
    <t>Provincial - capex</t>
  </si>
  <si>
    <t>YESNO</t>
  </si>
  <si>
    <t>2006/07</t>
  </si>
  <si>
    <t>2007/08</t>
  </si>
  <si>
    <t>2008/09</t>
  </si>
  <si>
    <t>2009/10</t>
  </si>
  <si>
    <t>Yes</t>
  </si>
  <si>
    <t>2005/06</t>
  </si>
  <si>
    <t>Ambulance</t>
  </si>
  <si>
    <t>2004/05</t>
  </si>
  <si>
    <t>2007/08 Medium Term Revenue &amp; Expenditure Framework</t>
  </si>
  <si>
    <t>2008/09 Medium Term Revenue &amp; Expenditure Framework</t>
  </si>
  <si>
    <t>2009/10 Medium Term Revenue &amp; Expenditure Framework</t>
  </si>
  <si>
    <t>Municipal Systems Improvement</t>
  </si>
  <si>
    <t>Sport and Recreation</t>
  </si>
  <si>
    <t>Budget Year 2007/08</t>
  </si>
  <si>
    <t>Budget Year 2008/09</t>
  </si>
  <si>
    <t>Budget Year 2009/10</t>
  </si>
  <si>
    <t>Budget Year +1 2008/09</t>
  </si>
  <si>
    <t>Budget Year +1 2009/10</t>
  </si>
  <si>
    <t>Budget Year +1 2010/11</t>
  </si>
  <si>
    <t>Budget Year +2 2009/10</t>
  </si>
  <si>
    <t>Budget Year +2 2010/11</t>
  </si>
  <si>
    <t>Budget Year +2 2011/12</t>
  </si>
  <si>
    <t>Adjustments Budget</t>
  </si>
  <si>
    <t>Annual target 2007/08</t>
  </si>
  <si>
    <t>Annual target 2008/09</t>
  </si>
  <si>
    <t>Annual target 2009/10</t>
  </si>
  <si>
    <t>NOTE: This sheet should not be directly amended - select headings from sheet 'S'</t>
  </si>
  <si>
    <t>Common sheet headings</t>
  </si>
  <si>
    <t>Head1</t>
  </si>
  <si>
    <t>Prior year -1</t>
  </si>
  <si>
    <t>Head1A</t>
  </si>
  <si>
    <t>Prior year -2</t>
  </si>
  <si>
    <t>Head1B</t>
  </si>
  <si>
    <t>Prior year -3</t>
  </si>
  <si>
    <t>Head2</t>
  </si>
  <si>
    <t>Year of approved budget</t>
  </si>
  <si>
    <t>Head2A</t>
  </si>
  <si>
    <t>Approved budget year</t>
  </si>
  <si>
    <t>Head3</t>
  </si>
  <si>
    <t>MTREF header name</t>
  </si>
  <si>
    <t>Head3A</t>
  </si>
  <si>
    <t>Head4</t>
  </si>
  <si>
    <t>Current year</t>
  </si>
  <si>
    <t>Pit toilet (ventilated)</t>
  </si>
  <si>
    <t>Bucket toilet</t>
  </si>
  <si>
    <t>Other toilet provisions (&gt; min.service level)</t>
  </si>
  <si>
    <t>Other toilet provisions (&lt; min.service level)</t>
  </si>
  <si>
    <t>Electricity (at least min. service level)</t>
  </si>
  <si>
    <t>Electricity - prepaid (&gt; min.service level)</t>
  </si>
  <si>
    <t>Head5</t>
  </si>
  <si>
    <t>Audited Outcome</t>
  </si>
  <si>
    <t>Head5A</t>
  </si>
  <si>
    <t>Outcome</t>
  </si>
  <si>
    <t>Head5B</t>
  </si>
  <si>
    <t>Pre-audit outcome</t>
  </si>
  <si>
    <t>Head6</t>
  </si>
  <si>
    <t>Original Budget</t>
  </si>
  <si>
    <t>Head7</t>
  </si>
  <si>
    <t>Head8</t>
  </si>
  <si>
    <t>Full Year Forecast</t>
  </si>
  <si>
    <t>Head9</t>
  </si>
  <si>
    <t>1st year of MTREF</t>
  </si>
  <si>
    <t>Year1</t>
  </si>
  <si>
    <t>Head10</t>
  </si>
  <si>
    <t>2nd year of MTREF</t>
  </si>
  <si>
    <t>Year2</t>
  </si>
  <si>
    <t>Head11</t>
  </si>
  <si>
    <t>3rd year of MTREF</t>
  </si>
  <si>
    <t>Year3</t>
  </si>
  <si>
    <t>Head24</t>
  </si>
  <si>
    <t>Desc</t>
  </si>
  <si>
    <t>Head26</t>
  </si>
  <si>
    <t>Vote Description</t>
  </si>
  <si>
    <t>VDesc</t>
  </si>
  <si>
    <t>Head27</t>
  </si>
  <si>
    <t>Ref</t>
  </si>
  <si>
    <t>Head27a</t>
  </si>
  <si>
    <t>Head28</t>
  </si>
  <si>
    <t>Result</t>
  </si>
  <si>
    <t>Head29</t>
  </si>
  <si>
    <t>Head30</t>
  </si>
  <si>
    <t>Revised target 2007/08</t>
  </si>
  <si>
    <t>Head31</t>
  </si>
  <si>
    <t>Quarter ended 30 September</t>
  </si>
  <si>
    <t>Head32</t>
  </si>
  <si>
    <t>Quarter ended 31 December</t>
  </si>
  <si>
    <t>Head33</t>
  </si>
  <si>
    <t>Quarter ended 31 March</t>
  </si>
  <si>
    <t>Head34</t>
  </si>
  <si>
    <t>Quarter ended 30 June</t>
  </si>
  <si>
    <t>Head35</t>
  </si>
  <si>
    <t>Variance explanation</t>
  </si>
  <si>
    <t>Head36</t>
  </si>
  <si>
    <t>YTD  Actual 31 Dec</t>
  </si>
  <si>
    <t>Head37</t>
  </si>
  <si>
    <t>YTD  Budget 31 Dec</t>
  </si>
  <si>
    <t>Head38</t>
  </si>
  <si>
    <t>Monthly actual</t>
  </si>
  <si>
    <t>Head39</t>
  </si>
  <si>
    <t>YearTD actual</t>
  </si>
  <si>
    <t>Head40</t>
  </si>
  <si>
    <t>YearTD budget</t>
  </si>
  <si>
    <t>Head41</t>
  </si>
  <si>
    <t>YTD variance</t>
  </si>
  <si>
    <t>Head42</t>
  </si>
  <si>
    <t>Surplus/ (Deficit) for the yr/period</t>
  </si>
  <si>
    <t>Head43</t>
  </si>
  <si>
    <t>Head44</t>
  </si>
  <si>
    <t>Head45</t>
  </si>
  <si>
    <t>2001 Census</t>
  </si>
  <si>
    <t>Head46</t>
  </si>
  <si>
    <t>Head47</t>
  </si>
  <si>
    <t>Previous target year to complete</t>
  </si>
  <si>
    <t>Head48</t>
  </si>
  <si>
    <t>Present value</t>
  </si>
  <si>
    <t>Head49</t>
  </si>
  <si>
    <t>Head50</t>
  </si>
  <si>
    <t>Other Adjusts.</t>
  </si>
  <si>
    <t>Head51</t>
  </si>
  <si>
    <t>Accum. Funds</t>
  </si>
  <si>
    <t>Head52</t>
  </si>
  <si>
    <t>Multi-year capital</t>
  </si>
  <si>
    <t>Head53</t>
  </si>
  <si>
    <t>Unfore. Unavoid.</t>
  </si>
  <si>
    <t>Head54</t>
  </si>
  <si>
    <t>Prior Adjusted</t>
  </si>
  <si>
    <t>Head55</t>
  </si>
  <si>
    <t>Nat. or Prov. Govt</t>
  </si>
  <si>
    <t>Head56</t>
  </si>
  <si>
    <t>Total Adjusts.</t>
  </si>
  <si>
    <t>Head57</t>
  </si>
  <si>
    <t xml:space="preserve">Month DD, YYYY - </t>
  </si>
  <si>
    <t>Head58</t>
  </si>
  <si>
    <t>Parent muni.</t>
  </si>
  <si>
    <t>Head59</t>
  </si>
  <si>
    <t>Downward adjusts</t>
  </si>
  <si>
    <t>SFPerf1</t>
  </si>
  <si>
    <t>Budgeted Financial Performance</t>
  </si>
  <si>
    <t>SFPerf2</t>
  </si>
  <si>
    <t>Forecast Financial Performance</t>
  </si>
  <si>
    <t>SFPos1</t>
  </si>
  <si>
    <t>Budgeted Financial Position</t>
  </si>
  <si>
    <t>SFPos2</t>
  </si>
  <si>
    <t>Forecast Financial Position</t>
  </si>
  <si>
    <t>Cash1</t>
  </si>
  <si>
    <t>Budget Cash Flow</t>
  </si>
  <si>
    <t>Cash2</t>
  </si>
  <si>
    <t>Forecast Cash Flow</t>
  </si>
  <si>
    <t>RandM</t>
  </si>
  <si>
    <t>Expenditure includes repairs &amp; maintenance of R'000</t>
  </si>
  <si>
    <t>Standard nomenclature</t>
  </si>
  <si>
    <t>Muni</t>
  </si>
  <si>
    <t>Does this municipality have entities (consolidated budget and entity budgets required)? YES/NO</t>
  </si>
  <si>
    <t>Mid Year Review/Adjustment Budget schedules &amp; tables</t>
  </si>
  <si>
    <t>Consolidated header</t>
  </si>
  <si>
    <t>Parent municipality header</t>
  </si>
  <si>
    <t>ADJSum</t>
  </si>
  <si>
    <t xml:space="preserve">Table B1 </t>
  </si>
  <si>
    <t>ADJ2</t>
  </si>
  <si>
    <t xml:space="preserve">Table B2 </t>
  </si>
  <si>
    <t>ADJ3</t>
  </si>
  <si>
    <t xml:space="preserve">Table B3 </t>
  </si>
  <si>
    <t>ADJ4</t>
  </si>
  <si>
    <t xml:space="preserve">Table B4 </t>
  </si>
  <si>
    <t>ADJ5</t>
  </si>
  <si>
    <t xml:space="preserve">Table B5 </t>
  </si>
  <si>
    <t>ADJ6</t>
  </si>
  <si>
    <t xml:space="preserve">Table B6 </t>
  </si>
  <si>
    <t>ADJ7</t>
  </si>
  <si>
    <t xml:space="preserve">Table B7 </t>
  </si>
  <si>
    <t>ADJ8</t>
  </si>
  <si>
    <t xml:space="preserve">Table B8 </t>
  </si>
  <si>
    <t>ADJ9</t>
  </si>
  <si>
    <t xml:space="preserve">Table B9 </t>
  </si>
  <si>
    <t>ADJ10</t>
  </si>
  <si>
    <t xml:space="preserve">Table B10 </t>
  </si>
  <si>
    <t>ADJB1</t>
  </si>
  <si>
    <t>ADJB2</t>
  </si>
  <si>
    <t>ADJB3</t>
  </si>
  <si>
    <t>ADJB4</t>
  </si>
  <si>
    <t>ADJB5</t>
  </si>
  <si>
    <t>ADJB6</t>
  </si>
  <si>
    <t>ADJB7</t>
  </si>
  <si>
    <t>ADJB8</t>
  </si>
  <si>
    <t>ADJB9</t>
  </si>
  <si>
    <t>ADJB10</t>
  </si>
  <si>
    <t>ADJB11</t>
  </si>
  <si>
    <t>ADJB12</t>
  </si>
  <si>
    <t>ADJB13</t>
  </si>
  <si>
    <t>ADJB14</t>
  </si>
  <si>
    <t>ADJB15</t>
  </si>
  <si>
    <t>ADJB16</t>
  </si>
  <si>
    <t>ADJB17</t>
  </si>
  <si>
    <t>ADJB19</t>
  </si>
  <si>
    <t>ADJB20</t>
  </si>
  <si>
    <t>Not required</t>
  </si>
  <si>
    <t xml:space="preserve">Supporting </t>
  </si>
  <si>
    <t>Vote 1 - vote name</t>
  </si>
  <si>
    <t>Function 1 - (name)</t>
  </si>
  <si>
    <t>Sub-function 1 - (name)</t>
  </si>
  <si>
    <t>Sub-function 2 - (name)</t>
  </si>
  <si>
    <t>Sub-function 3 - (name)</t>
  </si>
  <si>
    <t>Function 2 - (name)</t>
  </si>
  <si>
    <t>Vote 2 - vote name</t>
  </si>
  <si>
    <t>Vote 3 - vote name</t>
  </si>
  <si>
    <t>And so on for the rest of the Votes</t>
  </si>
  <si>
    <t>3. Include all Basic Services performance targets from Table A10 to ensure Table SA7 represents all strategic responsibilities</t>
  </si>
  <si>
    <t>1. Surplus (Deficit) must reconcile with budget table A4 and monthly budget statement table C4</t>
  </si>
  <si>
    <t>Monthly cash flows</t>
  </si>
  <si>
    <t>Cash Receipts By Source</t>
  </si>
  <si>
    <t>Cash Receipts by Source</t>
  </si>
  <si>
    <t>Other Cash Flows by Source</t>
  </si>
  <si>
    <t>Total Cash Receipts by Source</t>
  </si>
  <si>
    <t>Cash Payments by Type</t>
  </si>
  <si>
    <t>Bulk purchases - Electricity</t>
  </si>
  <si>
    <t>Bulk purchases - Water &amp; Sewer</t>
  </si>
  <si>
    <t>Other Cash Flows/Payments by Type</t>
  </si>
  <si>
    <t>Other Cash Flows/Payments</t>
  </si>
  <si>
    <t>Total Cash Payments by Type</t>
  </si>
  <si>
    <t>NET INCREASE/(DECREASE) IN CASH HELD</t>
  </si>
  <si>
    <t>Cash/cash equivalents at the month/year beginning:</t>
  </si>
  <si>
    <t>Cash/cash equivalents at the month/year end:</t>
  </si>
  <si>
    <t>Capital Multi-year expenditure sub-total</t>
  </si>
  <si>
    <t>Total Capital Expenditure</t>
  </si>
  <si>
    <t>1. Table should be completed as either Multi-Year expenditure appropriation or Budget Year and Forward Year estimates</t>
  </si>
  <si>
    <t>2. Total Capital Expenditure must reconcile to budget table A5 and monthly budget statement table C5</t>
  </si>
  <si>
    <t>2. Total Capital Expenditure must reconcile to the 'Financial Position' budget and monthly budget statement</t>
  </si>
  <si>
    <t>Roads, Pavements &amp; Bridges</t>
  </si>
  <si>
    <t>Storm water</t>
  </si>
  <si>
    <t>Generation</t>
  </si>
  <si>
    <t>Transmission &amp; Reticulation</t>
  </si>
  <si>
    <t>Street Lighting</t>
  </si>
  <si>
    <t>Dams &amp; Reservoirs</t>
  </si>
  <si>
    <t>Water purification</t>
  </si>
  <si>
    <t>Reticulation</t>
  </si>
  <si>
    <t>Sewerage purification</t>
  </si>
  <si>
    <t>Transportation</t>
  </si>
  <si>
    <t>Gas</t>
  </si>
  <si>
    <t>Parks &amp; gardens</t>
  </si>
  <si>
    <t>Swimming pools</t>
  </si>
  <si>
    <t>Community halls</t>
  </si>
  <si>
    <t>Libraries</t>
  </si>
  <si>
    <t>Recreational facilities</t>
  </si>
  <si>
    <t>Fire, safety &amp; emergency</t>
  </si>
  <si>
    <t>Security and policing</t>
  </si>
  <si>
    <t>Buses</t>
  </si>
  <si>
    <t>Clinics</t>
  </si>
  <si>
    <t>Museums &amp; Art Galleries</t>
  </si>
  <si>
    <t>Cemeteries</t>
  </si>
  <si>
    <t>Social rental housing</t>
  </si>
  <si>
    <t>Buildings</t>
  </si>
  <si>
    <t>Housing development</t>
  </si>
  <si>
    <t>General vehicles</t>
  </si>
  <si>
    <t>Plant &amp; equipment</t>
  </si>
  <si>
    <t>Computers - hardware/equipment</t>
  </si>
  <si>
    <t>Furniture and other office equipment</t>
  </si>
  <si>
    <t>Abattoirs</t>
  </si>
  <si>
    <t>Markets</t>
  </si>
  <si>
    <t>Civic Land and Buildings</t>
  </si>
  <si>
    <t>Other Buildings</t>
  </si>
  <si>
    <t>Other Land</t>
  </si>
  <si>
    <t>Surplus Assets - (Investment or Inventory)</t>
  </si>
  <si>
    <t>Computers - software &amp; programming</t>
  </si>
  <si>
    <t>R thousand</t>
  </si>
  <si>
    <t>Parent municipality:</t>
  </si>
  <si>
    <t>Entities:</t>
  </si>
  <si>
    <t>Entity Name</t>
  </si>
  <si>
    <t>Project name</t>
  </si>
  <si>
    <t>References</t>
  </si>
  <si>
    <t>Revenue By Municipal Entity</t>
  </si>
  <si>
    <t>Entity 1 total revenue</t>
  </si>
  <si>
    <t>Entity 2 total revenue</t>
  </si>
  <si>
    <t>Entity 3 (etc) total revenue</t>
  </si>
  <si>
    <t>Total Operating Revenue</t>
  </si>
  <si>
    <t>Expenditure By Municipal Entity</t>
  </si>
  <si>
    <t>Entity 1 total operating expenditure</t>
  </si>
  <si>
    <t>Entity 2 total operating expenditure</t>
  </si>
  <si>
    <t>Entity 3 etc. total operating expenditure</t>
  </si>
  <si>
    <t>Total Operating Expenditure</t>
  </si>
  <si>
    <t>Capital Expenditure By Municipal Entity</t>
  </si>
  <si>
    <t>Entity 1 total capital expenditure</t>
  </si>
  <si>
    <t>Entity 2 total capital expenditure</t>
  </si>
  <si>
    <t>Entity 3 etc. total capital expenditure</t>
  </si>
  <si>
    <t>1. Must reconcile to the sum of all municipal entity monthly revenue reports</t>
  </si>
  <si>
    <t>2. Must reconcile to the sum of all municipal entity monthly expenditure reports</t>
  </si>
  <si>
    <t>4. Additional cash-backed accumulated funds/unspent funds identified after Original Budget approved and after annual financial statements audited (note: only where underspending could not reasonably be have foreseen)</t>
  </si>
  <si>
    <t>5. Increases of funds approved under section 87 MFMA</t>
  </si>
  <si>
    <t>6. Adjustments approved in accordance with section 87 MFMA</t>
  </si>
  <si>
    <t>7. Adjustments made under delegation by the AO since the budget was approved or since a previously 'approved' Adjustments Budget in the same financial year</t>
  </si>
  <si>
    <t>8. Adjustments to funding allocations by National or Provincial Government</t>
  </si>
  <si>
    <t>9. Adjusts. = 'Other' Adjustments approved by entity Board; including revenue under-collection ; additional revenue appropriation on existing programmes; projected savings; error correction</t>
  </si>
  <si>
    <t>10. H = B + C + D + E + F + G</t>
  </si>
  <si>
    <t>11. Adjusted Budget (I) = (A or A1/2 etc) + H</t>
  </si>
  <si>
    <r>
      <t xml:space="preserve">2. Amounts actually </t>
    </r>
    <r>
      <rPr>
        <b/>
        <i/>
        <sz val="8"/>
        <rFont val="Arial Narrow"/>
        <family val="2"/>
      </rPr>
      <t>RECEIVED</t>
    </r>
    <r>
      <rPr>
        <i/>
        <sz val="8"/>
        <rFont val="Arial Narrow"/>
        <family val="2"/>
      </rPr>
      <t>; not revenue earned (the objective is to confirm grants allocated)</t>
    </r>
  </si>
  <si>
    <t>5. Must reconcile to Adjustments Budget Financial Position (written down value)</t>
  </si>
  <si>
    <t>No</t>
  </si>
  <si>
    <t>A</t>
  </si>
  <si>
    <t>A1</t>
  </si>
  <si>
    <t>B</t>
  </si>
  <si>
    <t>C</t>
  </si>
  <si>
    <t>D</t>
  </si>
  <si>
    <t>E</t>
  </si>
  <si>
    <t>F</t>
  </si>
  <si>
    <t>G</t>
  </si>
  <si>
    <t>H</t>
  </si>
  <si>
    <t>Financial Performance</t>
  </si>
  <si>
    <t>Property rates</t>
  </si>
  <si>
    <t>Service charges</t>
  </si>
  <si>
    <t>Investment revenue</t>
  </si>
  <si>
    <t>Other own revenue</t>
  </si>
  <si>
    <t>Total Revenue (excluding capital transfers and contributions)</t>
  </si>
  <si>
    <t>Employee costs</t>
  </si>
  <si>
    <t>Remuneration of councillors</t>
  </si>
  <si>
    <t>Depreciation &amp; asset impairment</t>
  </si>
  <si>
    <t>Finance charges</t>
  </si>
  <si>
    <t>Materials and bulk purchases</t>
  </si>
  <si>
    <t>Other expenditure</t>
  </si>
  <si>
    <t>Total Expenditure</t>
  </si>
  <si>
    <t>Surplus/(Deficit)</t>
  </si>
  <si>
    <t>Transfers recognised - capital</t>
  </si>
  <si>
    <t>Surplus/(Deficit) after capital transfers &amp; contributions</t>
  </si>
  <si>
    <t>Share of surplus/ (deficit) of associate</t>
  </si>
  <si>
    <t>Surplus/ (Deficit) for the year</t>
  </si>
  <si>
    <t>Capital expenditure &amp; funds sources</t>
  </si>
  <si>
    <t>Capital expenditure</t>
  </si>
  <si>
    <t>Borrowing</t>
  </si>
  <si>
    <t>Internally generated funds</t>
  </si>
  <si>
    <t>Total sources of capital funds</t>
  </si>
  <si>
    <t>Financial position</t>
  </si>
  <si>
    <t>Total current assets</t>
  </si>
  <si>
    <t>Total non current assets</t>
  </si>
  <si>
    <t>Total current liabilities</t>
  </si>
  <si>
    <t>Total non current liabilities</t>
  </si>
  <si>
    <t>Cash flows</t>
  </si>
  <si>
    <t>Net cash from (used) operating</t>
  </si>
  <si>
    <t>Net cash from (used) investing</t>
  </si>
  <si>
    <t>Net cash from (used) financing</t>
  </si>
  <si>
    <t>Cash/cash equivalents at the year end</t>
  </si>
  <si>
    <t>Cash backing/surplus reconciliation</t>
  </si>
  <si>
    <t>Cash and investments available</t>
  </si>
  <si>
    <t>Application of cash and investments</t>
  </si>
  <si>
    <t>Balance - surplus (shortfall)</t>
  </si>
  <si>
    <t>Asset Management</t>
  </si>
  <si>
    <t>Asset register summary (WDV)</t>
  </si>
  <si>
    <t>Repairs and Maintenance</t>
  </si>
  <si>
    <t>Cost of Free Basic Services provided</t>
  </si>
  <si>
    <t>Revenue cost of free services provided</t>
  </si>
  <si>
    <t>Water:</t>
  </si>
  <si>
    <t>Sanitation/sewerage:</t>
  </si>
  <si>
    <t>Energy:</t>
  </si>
  <si>
    <t>Refuse:</t>
  </si>
  <si>
    <t>[Insert departmental structure etc]</t>
  </si>
  <si>
    <t>R thousands</t>
  </si>
  <si>
    <t>Revenue by Vote</t>
  </si>
  <si>
    <t>Total Revenue by Vote</t>
  </si>
  <si>
    <t>Expenditure by Vote</t>
  </si>
  <si>
    <t>Total Expenditure by Vote</t>
  </si>
  <si>
    <t>9. G = B + C + D + E + F</t>
  </si>
  <si>
    <t>10. Adjusted Budget H = (A or A1/2 etc) + G</t>
  </si>
  <si>
    <t>check revenue</t>
  </si>
  <si>
    <t>check expenditure</t>
  </si>
  <si>
    <t>1, 4</t>
  </si>
  <si>
    <t>Governance and administration</t>
  </si>
  <si>
    <t>Executive and council</t>
  </si>
  <si>
    <t>Community and public safety</t>
  </si>
  <si>
    <t>Community and social services</t>
  </si>
  <si>
    <t>Sport and recreation</t>
  </si>
  <si>
    <t>Public safety</t>
  </si>
  <si>
    <t>Housing</t>
  </si>
  <si>
    <t>Health</t>
  </si>
  <si>
    <t>Economic and environmental services</t>
  </si>
  <si>
    <t>Planning and development</t>
  </si>
  <si>
    <t>Road transport</t>
  </si>
  <si>
    <t>Environmental protection</t>
  </si>
  <si>
    <t>Trading services</t>
  </si>
  <si>
    <t>Electricity</t>
  </si>
  <si>
    <t>Water</t>
  </si>
  <si>
    <t>Waste water management</t>
  </si>
  <si>
    <t>Waste management</t>
  </si>
  <si>
    <t>Other</t>
  </si>
  <si>
    <t>1. Government Finance Statistics Functions and Sub-functions are standardised to assist the compilation of national and international accounts for comparison purposes</t>
  </si>
  <si>
    <t>7. Increases of funds approved under section 31 MFMA</t>
  </si>
  <si>
    <t>8. Adjustments approved in accordance with section 29 MFMA</t>
  </si>
  <si>
    <t>9. Adjustments to funding allocations from National or Provincial Government</t>
  </si>
  <si>
    <t>10. Adjusts. = 'Other' Adjustments proposed to be approved; including revenue under-collection (MFMA section 28(2)(a)); additional revenue appropriation on existing programmes (section 28(2))(b); projected savings (section 28(2)(d)); error correction (sec</t>
  </si>
  <si>
    <t>11. G = B + C + D + E + F</t>
  </si>
  <si>
    <t>12. Adjusted Budget H = (A or A1/2 etc) + G</t>
  </si>
  <si>
    <t>Revenue By Source</t>
  </si>
  <si>
    <t>Service charges - electricity revenue</t>
  </si>
  <si>
    <t>Service charges - water revenue</t>
  </si>
  <si>
    <t>Service charges - sanitation revenue</t>
  </si>
  <si>
    <t>Rental of facilities and equipment</t>
  </si>
  <si>
    <t>Interest earned - external investments</t>
  </si>
  <si>
    <t>Interest earned - outstanding debtors</t>
  </si>
  <si>
    <t>Dividends received</t>
  </si>
  <si>
    <t>Licences and permits</t>
  </si>
  <si>
    <t>Agency services</t>
  </si>
  <si>
    <t>Other revenue</t>
  </si>
  <si>
    <t>Expenditure By Type</t>
  </si>
  <si>
    <t>Employee related costs</t>
  </si>
  <si>
    <t>Debt impairment</t>
  </si>
  <si>
    <t>Bulk purchases</t>
  </si>
  <si>
    <t>Other materials</t>
  </si>
  <si>
    <t>Contracted services</t>
  </si>
  <si>
    <t>Transfers and grants</t>
  </si>
  <si>
    <t>Surplus/(Deficit) before taxation</t>
  </si>
  <si>
    <t>Taxation</t>
  </si>
  <si>
    <t>Surplus/(Deficit) after taxation</t>
  </si>
  <si>
    <t>Attributable to minorities</t>
  </si>
  <si>
    <t>1. Classifications are revenue sources and expenditure type</t>
  </si>
  <si>
    <t>Revenue total</t>
  </si>
  <si>
    <t>Capital expenditure - Vote</t>
  </si>
  <si>
    <t>Capital multi-year expenditure sub-total</t>
  </si>
  <si>
    <t>Capital single-year expenditure sub-total</t>
  </si>
  <si>
    <t>Funded by:</t>
  </si>
  <si>
    <t>National Government</t>
  </si>
  <si>
    <t>Provincial Government</t>
  </si>
  <si>
    <t>District Municipality</t>
  </si>
  <si>
    <t>Total Capital Funding</t>
  </si>
  <si>
    <t>6. Additional cash-backed accumulated funds/unspent funds (section 18(1)(b) and section 28(2)(e) MFMA) identified after Original Budget approved and after annual financial statements audited (note: only where underspending could not reasonably be have for</t>
  </si>
  <si>
    <t>check balance</t>
  </si>
  <si>
    <t>ASSETS</t>
  </si>
  <si>
    <t>Current assets</t>
  </si>
  <si>
    <t>Vote 1</t>
  </si>
  <si>
    <t>Vote 2</t>
  </si>
  <si>
    <t>Vote 3</t>
  </si>
  <si>
    <t>Vote 4</t>
  </si>
  <si>
    <t>Vote 5</t>
  </si>
  <si>
    <t>Vote 6</t>
  </si>
  <si>
    <t>Vote 7</t>
  </si>
  <si>
    <t>Vote 8</t>
  </si>
  <si>
    <t>Vote 9</t>
  </si>
  <si>
    <t>Vote 10</t>
  </si>
  <si>
    <t>Vote 11</t>
  </si>
  <si>
    <t>Vote 12</t>
  </si>
  <si>
    <t>Vote 13</t>
  </si>
  <si>
    <t>Vote 14</t>
  </si>
  <si>
    <t>Vote 15</t>
  </si>
  <si>
    <t>Cash</t>
  </si>
  <si>
    <t>Call investment deposits</t>
  </si>
  <si>
    <t>Consumer debtors</t>
  </si>
  <si>
    <t>Other debtors</t>
  </si>
  <si>
    <t>Current portion of long-term receivables</t>
  </si>
  <si>
    <t>Inventory</t>
  </si>
  <si>
    <t>Non current assets</t>
  </si>
  <si>
    <t>Long-term receivables</t>
  </si>
  <si>
    <t>Investments</t>
  </si>
  <si>
    <t>Investment property</t>
  </si>
  <si>
    <t>Property, plant and equipment</t>
  </si>
  <si>
    <t>Agricultural</t>
  </si>
  <si>
    <t>Biological</t>
  </si>
  <si>
    <t>Intangible</t>
  </si>
  <si>
    <t>Other non-current assets</t>
  </si>
  <si>
    <t>TOTAL ASSETS</t>
  </si>
  <si>
    <t>LIABILITIES</t>
  </si>
  <si>
    <t>Current liabilities</t>
  </si>
  <si>
    <t>Bank overdraft</t>
  </si>
  <si>
    <t>Consumer deposits</t>
  </si>
  <si>
    <t>Trade and other payables</t>
  </si>
  <si>
    <t>Provisions</t>
  </si>
  <si>
    <t>Non current liabilities</t>
  </si>
  <si>
    <t>TOTAL LIABILITIES</t>
  </si>
  <si>
    <t>NET ASSETS</t>
  </si>
  <si>
    <t>COMMUNITY WEALTH/EQUITY</t>
  </si>
  <si>
    <t>Accumulated Surplus/(Deficit)</t>
  </si>
  <si>
    <t>Reserves</t>
  </si>
  <si>
    <t>TOTAL COMMUNITY WEALTH/EQUITY</t>
  </si>
  <si>
    <t>2. Net assets must balance with Total Community Wealth/Equity</t>
  </si>
  <si>
    <t>CASH FLOW FROM OPERATING ACTIVITIES</t>
  </si>
  <si>
    <t>Receipts</t>
  </si>
  <si>
    <t>Interest</t>
  </si>
  <si>
    <t>Dividends</t>
  </si>
  <si>
    <t>Payments</t>
  </si>
  <si>
    <t>Suppliers and employees</t>
  </si>
  <si>
    <t>NET CASH FROM/(USED) OPERATING ACTIVITIES</t>
  </si>
  <si>
    <t>CASH FLOWS FROM INVESTING ACTIVITIES</t>
  </si>
  <si>
    <t>Proceeds on disposal of PPE</t>
  </si>
  <si>
    <t>Other current investments  &gt; 90 days</t>
  </si>
  <si>
    <t>Total refuse removal revenue</t>
  </si>
  <si>
    <t>Total landfill revenue</t>
  </si>
  <si>
    <t xml:space="preserve">1. Note that this section of Table SB15 is deliberately not linked to Table B4 because timing differences between the invoicing of clients and receiving the cash means that the cashflow will differ from budgeted revenue, and similarly for budgeted expenditure. </t>
  </si>
  <si>
    <t>Decrease (increase) in non-current investments</t>
  </si>
  <si>
    <t>Capital assets</t>
  </si>
  <si>
    <t>NET CASH FROM/(USED) INVESTING ACTIVITIES</t>
  </si>
  <si>
    <t>CASH FLOWS FROM FINANCING ACTIVITIES</t>
  </si>
  <si>
    <t>Short term loans</t>
  </si>
  <si>
    <t>Borrowing long term/refinancing</t>
  </si>
  <si>
    <t>Repayment of borrowing</t>
  </si>
  <si>
    <t>NET CASH FROM/(USED) FINANCING ACTIVITIES</t>
  </si>
  <si>
    <t>NET INCREASE/ (DECREASE) IN CASH HELD</t>
  </si>
  <si>
    <t>Cash/cash equivalents at the year begin:</t>
  </si>
  <si>
    <t>Cash/cash equivalents at the year end:</t>
  </si>
  <si>
    <t>4. Increases of funds approved under section 31 MFMA</t>
  </si>
  <si>
    <t>Non current assets - Investments</t>
  </si>
  <si>
    <t>Cash and investments available:</t>
  </si>
  <si>
    <t>Unspent conditional transfers</t>
  </si>
  <si>
    <t>Unspent borrowing</t>
  </si>
  <si>
    <t>Statutory requirements</t>
  </si>
  <si>
    <t>Other working capital requirements</t>
  </si>
  <si>
    <t>Other provisions</t>
  </si>
  <si>
    <t>Reserves to be backed by cash/investments</t>
  </si>
  <si>
    <t>Surplus(shortfall)</t>
  </si>
  <si>
    <t>5. Additional cash-backed accumulated funds/unspent funds (section 18(1)(b) and section 28(2)(e) MFMA) identified after Original Budget approved and after annual financial statements audited (note: only where underspending could not reasonably be have for</t>
  </si>
  <si>
    <t>6. Increases of funds approved under section 31 MFMA</t>
  </si>
  <si>
    <t>7. Adjustments approved in accordance with section 29 MFMA</t>
  </si>
  <si>
    <t>8. Adjustments to funding allocations from National or Provincial Government</t>
  </si>
  <si>
    <t>9. Adjusts. = 'Other' Adjustments proposed to be approved; including revenue under-collection (MFMA section 28(2)(a)); additional revenue appropriation on existing programmes (section 28(2))(b); projected savings (section 28(2)(d)); error correction (sect</t>
  </si>
  <si>
    <t>10. G = B + C + D + E + F</t>
  </si>
  <si>
    <t>11. Adjusted Budget H = (A or A1/2 etc) + G</t>
  </si>
  <si>
    <t>Total</t>
  </si>
  <si>
    <t>Debtors collection assumptions:</t>
  </si>
  <si>
    <t>(Insert description; eg sinking fund)</t>
  </si>
  <si>
    <t>CAPITAL EXPENDITURE</t>
  </si>
  <si>
    <t>Infrastructure</t>
  </si>
  <si>
    <t>Heritage assets</t>
  </si>
  <si>
    <t>Investment properties</t>
  </si>
  <si>
    <t>Other assets</t>
  </si>
  <si>
    <t>ASSET REGISTER SUMMARY - PPE (WDV)</t>
  </si>
  <si>
    <t>EXPENDITURE OTHER ITEMS</t>
  </si>
  <si>
    <t>Repairs and Maintenance by asset class</t>
  </si>
  <si>
    <t>Name link</t>
  </si>
  <si>
    <t>Name of Muni</t>
  </si>
  <si>
    <t>Choose name from list</t>
  </si>
  <si>
    <t>Set name on 'Instructions' sheet</t>
  </si>
  <si>
    <t>DC1 West Coast</t>
  </si>
  <si>
    <t>DC12 Amathole</t>
  </si>
  <si>
    <t>DC13 Chris Hani</t>
  </si>
  <si>
    <t>DC15 O .R. Tambo</t>
  </si>
  <si>
    <t>DC16 Xhariep</t>
  </si>
  <si>
    <t>DC18 Lejweleputswa</t>
  </si>
  <si>
    <t>DC19 Thabo Mofutsanyana</t>
  </si>
  <si>
    <t>DC20 Fezile Dabi</t>
  </si>
  <si>
    <t>DC21 Ugu</t>
  </si>
  <si>
    <t>DC22 uMgungundlovu</t>
  </si>
  <si>
    <t>DC23 Uthukela</t>
  </si>
  <si>
    <t>DC24 Umzinyathi</t>
  </si>
  <si>
    <t>DC25 Amajuba</t>
  </si>
  <si>
    <t>DC26 Zululand</t>
  </si>
  <si>
    <t>DC27 Umkhanyakude</t>
  </si>
  <si>
    <t>DC29 iLembe</t>
  </si>
  <si>
    <t>DC3 Overberg</t>
  </si>
  <si>
    <t>DC30 Gert Sibande</t>
  </si>
  <si>
    <t>DC31 Nkangala</t>
  </si>
  <si>
    <t>DC32 Ehlanzeni</t>
  </si>
  <si>
    <t>DC33 Mopani</t>
  </si>
  <si>
    <t>DC34 Vhembe</t>
  </si>
  <si>
    <t>DC35 Capricorn</t>
  </si>
  <si>
    <t>DC36 Waterberg</t>
  </si>
  <si>
    <t>DC37 Bojanala Platinum</t>
  </si>
  <si>
    <t>DC38 Ngaka Modiri Molema</t>
  </si>
  <si>
    <t>DC39 Dr Ruth Segomotsi Mompati</t>
  </si>
  <si>
    <t>DC40 Dr Kenneth Kaunda</t>
  </si>
  <si>
    <t>DC42 Sedibeng</t>
  </si>
  <si>
    <t>DC44 Alfred Nzo</t>
  </si>
  <si>
    <t>DC48 West Rand</t>
  </si>
  <si>
    <t>DC5 Central Karoo</t>
  </si>
  <si>
    <t>DC6 Namakwa</t>
  </si>
  <si>
    <t>DC9 Frances Baard</t>
  </si>
  <si>
    <t>EC102 Blue Crane Route</t>
  </si>
  <si>
    <t>EC104 Makana</t>
  </si>
  <si>
    <t>EC105 Ndlambe</t>
  </si>
  <si>
    <t>EC106 Sundays River Valley</t>
  </si>
  <si>
    <t>EC108 Kouga</t>
  </si>
  <si>
    <t>EC121 Mbhashe</t>
  </si>
  <si>
    <t>EC122 Mnquma</t>
  </si>
  <si>
    <t>EC123 Great Kei</t>
  </si>
  <si>
    <t>EC124 Amahlathi</t>
  </si>
  <si>
    <t>EC126 Ngqushwa</t>
  </si>
  <si>
    <t>EC131 Inxuba Yethemba</t>
  </si>
  <si>
    <t>EC135 Intsika Yethu</t>
  </si>
  <si>
    <t>EC136 Emalahleni (Ec)</t>
  </si>
  <si>
    <t>EC137 Engcobo</t>
  </si>
  <si>
    <t>EC138 Sakhisizwe</t>
  </si>
  <si>
    <t>EC141 Elundini</t>
  </si>
  <si>
    <t>EC142 Senqu</t>
  </si>
  <si>
    <t>EC153 Ngquza Hills</t>
  </si>
  <si>
    <t>EC154 Port St Johns</t>
  </si>
  <si>
    <t>EC155 Nyandeni</t>
  </si>
  <si>
    <t>EC156 Mhlontlo</t>
  </si>
  <si>
    <t>EC157 King Sabata Dalindyebo</t>
  </si>
  <si>
    <t>EC441 Matatiele</t>
  </si>
  <si>
    <t>EC442 Umzimvubu</t>
  </si>
  <si>
    <t>FS161 Letsemeng</t>
  </si>
  <si>
    <t>FS162 Kopanong</t>
  </si>
  <si>
    <t>FS163 Mohokare</t>
  </si>
  <si>
    <t>FS181 Masilonyana</t>
  </si>
  <si>
    <t>FS182 Tokologo</t>
  </si>
  <si>
    <t>FS183 Tswelopele</t>
  </si>
  <si>
    <t>FS184 Matjhabeng</t>
  </si>
  <si>
    <t>FS185 Nala</t>
  </si>
  <si>
    <t>FS191 Setsoto</t>
  </si>
  <si>
    <t>FS192 Dihlabeng</t>
  </si>
  <si>
    <t>FS193 Nketoana</t>
  </si>
  <si>
    <t>FS194 Maluti-a-Phofung</t>
  </si>
  <si>
    <t>FS195 Phumelela</t>
  </si>
  <si>
    <t>FS201 Moqhaka</t>
  </si>
  <si>
    <t>FS203 Ngwathe</t>
  </si>
  <si>
    <t>FS204 Metsimaholo</t>
  </si>
  <si>
    <t>FS205 Mafube</t>
  </si>
  <si>
    <t>GT421 Emfuleni</t>
  </si>
  <si>
    <t>GT422 Midvaal</t>
  </si>
  <si>
    <t>GT423 Lesedi</t>
  </si>
  <si>
    <t>GT481 Mogale City</t>
  </si>
  <si>
    <t>KZN212 Umdoni</t>
  </si>
  <si>
    <t>KZN213 Umzumbe</t>
  </si>
  <si>
    <t>KZN214 uMuziwabantu</t>
  </si>
  <si>
    <t>KZN221 uMshwathi</t>
  </si>
  <si>
    <t>KZN222 uMngeni</t>
  </si>
  <si>
    <t>KZN223 Mpofana</t>
  </si>
  <si>
    <t>KZN224 Impendle</t>
  </si>
  <si>
    <t>KZN225 Msunduzi</t>
  </si>
  <si>
    <t>KZN226 Mkhambathini</t>
  </si>
  <si>
    <t>KZN227 Richmond</t>
  </si>
  <si>
    <t>KZN235 Okhahlamba</t>
  </si>
  <si>
    <t>KZN241 Endumeni</t>
  </si>
  <si>
    <t>KZN242 Nquthu</t>
  </si>
  <si>
    <t>KZN244 Msinga</t>
  </si>
  <si>
    <t>KZN245 Umvoti</t>
  </si>
  <si>
    <t>KZN252 Newcastle</t>
  </si>
  <si>
    <t>KZN254 Dannhauser</t>
  </si>
  <si>
    <t>KZN261 eDumbe</t>
  </si>
  <si>
    <t>KZN262 uPhongolo</t>
  </si>
  <si>
    <t>KZN263 Abaqulusi</t>
  </si>
  <si>
    <t>KZN265 Nongoma</t>
  </si>
  <si>
    <t>KZN266 Ulundi</t>
  </si>
  <si>
    <t>KZN271 Umhlabuyalingana</t>
  </si>
  <si>
    <t>KZN272 Jozini</t>
  </si>
  <si>
    <t>KZN275 Mtubatuba</t>
  </si>
  <si>
    <t>KZN282 uMhlathuze</t>
  </si>
  <si>
    <t>KZN285 Mthonjaneni</t>
  </si>
  <si>
    <t>KZN286 Nkandla</t>
  </si>
  <si>
    <t>KZN291 Mandeni</t>
  </si>
  <si>
    <t>KZN292 KwaDukuza</t>
  </si>
  <si>
    <t>KZN293 Ndwedwe</t>
  </si>
  <si>
    <t>KZN294 Maphumulo</t>
  </si>
  <si>
    <t>KZN433 Greater Kokstad</t>
  </si>
  <si>
    <t>KZN434 Ubuhlebezwe</t>
  </si>
  <si>
    <t>KZN435 Umzimkhulu</t>
  </si>
  <si>
    <t>LIM331 Greater Giyani</t>
  </si>
  <si>
    <t>LIM332 Greater Letaba</t>
  </si>
  <si>
    <t>LIM333 Greater Tzaneen</t>
  </si>
  <si>
    <t>LIM334 Ba-Phalaborwa</t>
  </si>
  <si>
    <t>LIM335 Maruleng</t>
  </si>
  <si>
    <t>LIM341 Musina</t>
  </si>
  <si>
    <t>LIM343 Thulamela</t>
  </si>
  <si>
    <t>LIM344 Makhado</t>
  </si>
  <si>
    <t>LIM351 Blouberg</t>
  </si>
  <si>
    <t>LIM353 Molemole</t>
  </si>
  <si>
    <t>LIM354 Polokwane</t>
  </si>
  <si>
    <t>LIM355 Lepelle-Nkumpi</t>
  </si>
  <si>
    <t>LIM361 Thabazimbi</t>
  </si>
  <si>
    <t>LIM362 Lephalale</t>
  </si>
  <si>
    <t>LIM366 Bela Bela</t>
  </si>
  <si>
    <t>LIM367 Mogalakwena</t>
  </si>
  <si>
    <t>LIM472 Elias Motsoaledi</t>
  </si>
  <si>
    <t>MP301 Albert Luthuli</t>
  </si>
  <si>
    <t>MP302 Msukaligwa</t>
  </si>
  <si>
    <t>MP303 Mkhondo</t>
  </si>
  <si>
    <t>MP305 Lekwa</t>
  </si>
  <si>
    <t>MP306 Dipaleseng</t>
  </si>
  <si>
    <t>MP307 Govan Mbeki</t>
  </si>
  <si>
    <t>MP313 Steve Tshwete</t>
  </si>
  <si>
    <t>MP314 Emakhazeni</t>
  </si>
  <si>
    <t>MP316 Dr J.S. Moroka</t>
  </si>
  <si>
    <t>MP321 Thaba Chweu</t>
  </si>
  <si>
    <t>MP324 Nkomazi</t>
  </si>
  <si>
    <t>MP325 Bushbuckridge</t>
  </si>
  <si>
    <t>NC061 Richtersveld</t>
  </si>
  <si>
    <t>NC062 Nama Khoi</t>
  </si>
  <si>
    <t>NC064 Kamiesberg</t>
  </si>
  <si>
    <t>NC065 Hantam</t>
  </si>
  <si>
    <t>NC066 Karoo Hoogland</t>
  </si>
  <si>
    <t>NC067 Khai-Ma</t>
  </si>
  <si>
    <t>NC071 Ubuntu</t>
  </si>
  <si>
    <t>NC072 Umsobomvu</t>
  </si>
  <si>
    <t>NC073 Emthanjeni</t>
  </si>
  <si>
    <t>NC074 Kareeberg</t>
  </si>
  <si>
    <t>NC075 Renosterberg</t>
  </si>
  <si>
    <t>NC076 Thembelihle</t>
  </si>
  <si>
    <t>NC077 Siyathemba</t>
  </si>
  <si>
    <t>NC078 Siyancuma</t>
  </si>
  <si>
    <t>NC082 !Kai! Garib</t>
  </si>
  <si>
    <t>NC084 !Kheis</t>
  </si>
  <si>
    <t>NC085 Tsantsabane</t>
  </si>
  <si>
    <t>NC086 Kgatelopele</t>
  </si>
  <si>
    <t>NC091 Sol Plaatje</t>
  </si>
  <si>
    <t>NC092 Dikgatlong</t>
  </si>
  <si>
    <t>NC093 Magareng</t>
  </si>
  <si>
    <t>NC094 Phokwane</t>
  </si>
  <si>
    <t>NC452 Ga-Segonyana</t>
  </si>
  <si>
    <t>NC453 Gamagara</t>
  </si>
  <si>
    <t>NW371 Moretele</t>
  </si>
  <si>
    <t>NW372 Madibeng</t>
  </si>
  <si>
    <t>NW373 Rustenburg</t>
  </si>
  <si>
    <t>NW374 Kgetlengrivier</t>
  </si>
  <si>
    <t>NW375 Moses Kotane</t>
  </si>
  <si>
    <t>NW381 Ratlou</t>
  </si>
  <si>
    <t>NW382 Tswaing</t>
  </si>
  <si>
    <t>NW383 Mafikeng</t>
  </si>
  <si>
    <t>NW384 Ditsobotla</t>
  </si>
  <si>
    <t>NW385 Ramotshere Moiloa</t>
  </si>
  <si>
    <t>NW392 Naledi (Nw)</t>
  </si>
  <si>
    <t>NW393 Mamusa</t>
  </si>
  <si>
    <t>NW394 Greater Taung</t>
  </si>
  <si>
    <t>NW396 Lekwa-Teemane</t>
  </si>
  <si>
    <t>NW403 City Of Matlosana</t>
  </si>
  <si>
    <t>NW404 Maquassi Hills</t>
  </si>
  <si>
    <t>WC011 Matzikama</t>
  </si>
  <si>
    <t>WC012 Cederberg</t>
  </si>
  <si>
    <t>WC013 Bergrivier</t>
  </si>
  <si>
    <t>WC014 Saldanha Bay</t>
  </si>
  <si>
    <t>WC015 Swartland</t>
  </si>
  <si>
    <t>WC022 Witzenberg</t>
  </si>
  <si>
    <t>WC023 Drakenstein</t>
  </si>
  <si>
    <t>WC024 Stellenbosch</t>
  </si>
  <si>
    <t>WC025 Breede Valley</t>
  </si>
  <si>
    <t>WC031 Theewaterskloof</t>
  </si>
  <si>
    <t>WC032 Overstrand</t>
  </si>
  <si>
    <t>WC033 Cape Agulhas</t>
  </si>
  <si>
    <t>WC034 Swellendam</t>
  </si>
  <si>
    <t>WC041 Kannaland</t>
  </si>
  <si>
    <t>WC042 Hessequa</t>
  </si>
  <si>
    <t>WC043 Mossel Bay</t>
  </si>
  <si>
    <t>WC044 George</t>
  </si>
  <si>
    <t>WC045 Oudtshoorn</t>
  </si>
  <si>
    <t>WC047 Bitou</t>
  </si>
  <si>
    <t>WC048 Knysna</t>
  </si>
  <si>
    <t>WC051 Laingsburg</t>
  </si>
  <si>
    <t>WC052 Prince Albert</t>
  </si>
  <si>
    <t>WC053 Beaufort West</t>
  </si>
  <si>
    <t>TOTAL EXPENDITURE OTHER ITEMS to be adjusted</t>
  </si>
  <si>
    <t>R&amp;M as a % of PPE</t>
  </si>
  <si>
    <t>4. Only complete if a previous adjusted budget has been approved in the same financial year. Reflect most recent adjusted budget.</t>
  </si>
  <si>
    <t>7. Only complete if a previous adjusted budget has been approved in the same financial year. Reflect most recent adjusted budget.</t>
  </si>
  <si>
    <t>2. Only complete if a previous adjusted budget has been approved in the same financial year. Reflect most recent adjusted budget.</t>
  </si>
  <si>
    <t>3. Only complete if a previous adjusted budget has been approved in the same financial year. Reflect most recent adjusted budget.</t>
  </si>
  <si>
    <t>5. Only complete if a previous adjusted budget has been approved in the same financial year. Reflect most recent adjusted budget.</t>
  </si>
  <si>
    <t>1. Only complete if a previous adjusted budget has been approved in the same financial year. Reflect most recent adjusted budget.</t>
  </si>
  <si>
    <t>Investment in Associate</t>
  </si>
  <si>
    <t>8. Additional cash-backed accumulated funds/unspent funds (section 18(1)(b) and section 28(2)(e) MFMA) identified after Original Budget approved and after annual financial statements audited (note: only where underspending could not reasonably be have for</t>
  </si>
  <si>
    <t>9. Increases of funds approved under section 31 MFMA</t>
  </si>
  <si>
    <t>Municipal governance and administration</t>
  </si>
  <si>
    <t>Mayor and Council</t>
  </si>
  <si>
    <t>Human Resources</t>
  </si>
  <si>
    <t>Information Technology</t>
  </si>
  <si>
    <t>Property Services</t>
  </si>
  <si>
    <t>Libraries and Archives</t>
  </si>
  <si>
    <t>Aged Care</t>
  </si>
  <si>
    <t>Civil Defence</t>
  </si>
  <si>
    <t>Roads</t>
  </si>
  <si>
    <t>Pollution Control</t>
  </si>
  <si>
    <t>Water Distribution</t>
  </si>
  <si>
    <t>Water Storage</t>
  </si>
  <si>
    <t>Sewerage</t>
  </si>
  <si>
    <t>Storm Water Management</t>
  </si>
  <si>
    <t>Public Toilets</t>
  </si>
  <si>
    <t>Air Transport</t>
  </si>
  <si>
    <t>Tourism</t>
  </si>
  <si>
    <t>1. Government Finance Statistics Functions and Sub-functions are standardised to assist national and international accounts and comparison</t>
  </si>
  <si>
    <t>1. Insert 'Vote'; e.g. Department, if different to standard structure</t>
  </si>
  <si>
    <t>2. Must reconcile to Financial Performance ('Revenue and Expenditure by Standard Classification' and 'Revenue and Expenditure')</t>
  </si>
  <si>
    <t>3. Assign share in 'associate' to relevant Vote</t>
  </si>
  <si>
    <t>Capital expenditure - Municipal Vote</t>
  </si>
  <si>
    <t>10. Adjustments approved in accordance with section 29 MFMA</t>
  </si>
  <si>
    <t>11. Adjustments to funding allocations from National or Provincial Government</t>
  </si>
  <si>
    <t>12. Adjusts. = 'Other' Adjustments proposed to be approved; including revenue under-collection (MFMA section 28(2)(a)); additional revenue appropriation on existing programmes (section 28(2))(b); projected savings (section 28(2)(d)); error correction (sec</t>
  </si>
  <si>
    <t>13. G = B + C + D + E + F</t>
  </si>
  <si>
    <t>14. Adjusted Budget H = (A or A1/2 etc) + G</t>
  </si>
  <si>
    <t>Asset register balance check</t>
  </si>
  <si>
    <t>Households below minimum service level</t>
  </si>
  <si>
    <t>Free services</t>
  </si>
  <si>
    <t>2. Total Revenue by standard classification must reconcile to Total Operating Revenue shown in the Adjustments Budget Financial Performance (revenue and expenditure)</t>
  </si>
  <si>
    <t>3. Total Operating Expenditure by standard classification must reconcile to Total Operating Expenditure shown in the Adjustments Budget Financial Performance (revenue and expenditure)</t>
  </si>
  <si>
    <t>4. All amounts must be classified under a standard classification (modified GFS). The GFS function 'Other' is only for Abbatoirs, Air Transport, Markets and Tourism - and if used must be supported by footnotes. Nothing else may be placed under 'Other'. Assign associate share to relevant classification</t>
  </si>
  <si>
    <t>9. Adjustments to transfers from National or Provincial Government</t>
  </si>
  <si>
    <t>10. Adjusts. = 'Other' Adjustments proposed to be approved; including revenue under-collection (MFMA section 28(2)(a)); additional revenue appropriation on existing programmes (section 28(2))(b); projected savings (section 28(2)(d)); error correction (section 28(2)(f))</t>
  </si>
  <si>
    <t>6. Additional cash-backed accumulated funds/unspent funds (MFMA section 18(1)(b) and section 28(2)(e)) identified after the Original Budget approved and after annual financial statements audited (note: only where underspending could not reasonably have been foreseen)</t>
  </si>
  <si>
    <t>7. Increases of funds approved under MFMA section 31</t>
  </si>
  <si>
    <t xml:space="preserve">8. Adjustments approved in accordance with MFMA section 29 </t>
  </si>
  <si>
    <t>4. Additional cash-backed accumulated funds/unspent funds (MFMA section 18(1)(b) and section 28(2)(e)) identified after the Original Budget approved and after annual financial statements audited (note: only where underspending could not reasonably have been foreseen)</t>
  </si>
  <si>
    <t>5. Increases of funds approved under MFMA section 31</t>
  </si>
  <si>
    <t xml:space="preserve">6. Adjustments approved in accordance with MFMA section 29 </t>
  </si>
  <si>
    <t>7. Adjustments to transfers from National or Provincial Government</t>
  </si>
  <si>
    <t>8. Adjusts. = 'Other' Adjustments proposed to be approved; including revenue under-collection (MFMA section 28(2)(a)); additional revenue appropriation on existing programmes (section 28(2))(b); projected savings (section 28(2)(d)); error correction (section 28(2)(f))</t>
  </si>
  <si>
    <t>1. Insert 'Vote'; e.g. Department, if different to standard classification structure</t>
  </si>
  <si>
    <t>2. Must reconcile to Budgeted Financial Performance (revenue and expenditure)</t>
  </si>
  <si>
    <t>Surplus/(Deficit) attributable to municipality</t>
  </si>
  <si>
    <t>2. Detail to be provided in Table SB1</t>
  </si>
  <si>
    <t>1. Municipalities may choose to appropriate for capital expenditure for three years or for one year (if one year appropriation projected expenditure required for yr2 and yr3).</t>
  </si>
  <si>
    <t>2. Include capital component of PPP unitary payment. Note that capital transfers are only appropriated to municipalities for the budget year</t>
  </si>
  <si>
    <t>1. Detail to be provided in Table SA3</t>
  </si>
  <si>
    <t>1. Local/District municipalities to include transfers from/to District/Local Municipalities</t>
  </si>
  <si>
    <t>2. Cash equivalents includes investments with maturities of 3 months or less</t>
  </si>
  <si>
    <t>1. Must reconcile with the Adjustments Budget Cash Flow and Adjustements Budget Financial Position</t>
  </si>
  <si>
    <t>2. Council approval for policy required - include sufficient working capital (e.g. allowing for a % of current debtors &gt; 90 days as uncollectable)</t>
  </si>
  <si>
    <t>4. Must reconcile to total capital expenditure on Budgeted Capital Expenditure</t>
  </si>
  <si>
    <t>6. Donated/contributed and assets funded by finance leases to be allocated to the respective category</t>
  </si>
  <si>
    <t>8. Additional cash-backed accumulated funds/unspent funds (MFMA section 18(1)(b) and section 28(2)(e)) identified after the Original Budget approved and after annual financial statements audited (note: only where underspending could not reasonably have been foreseen)</t>
  </si>
  <si>
    <t>9. Increases of funds approved under MFMA section 31</t>
  </si>
  <si>
    <t xml:space="preserve">10. Adjustments approved in accordance with MFMA section 29 </t>
  </si>
  <si>
    <t>11. Adjustments to transfers from National or Provincial Government</t>
  </si>
  <si>
    <t>12. Adjusts. = 'Other' Adjustments proposed to be approved; including revenue under-collection (MFMA section 28(2)(a)); additional revenue appropriation on existing programmes (section 28(2))(b); projected savings (section 28(2)(d)); error correction (section 28(2)(f))</t>
  </si>
  <si>
    <t>Piped water inside dwelling</t>
  </si>
  <si>
    <t>Piped water inside yard (but not in dwelling)</t>
  </si>
  <si>
    <t>Using public tap (at least min.service level)</t>
  </si>
  <si>
    <t>Other water supply (at least min.service level)</t>
  </si>
  <si>
    <t>Using public tap (&lt; min.service level)</t>
  </si>
  <si>
    <t>Other water supply (&lt; min.service level)</t>
  </si>
  <si>
    <t>3,4</t>
  </si>
  <si>
    <t>No water supply</t>
  </si>
  <si>
    <t>Total number of households</t>
  </si>
  <si>
    <t>Flush toilet (connected to sewerage)</t>
  </si>
  <si>
    <t>Flush toilet (with septic tank)</t>
  </si>
  <si>
    <t>Chemical toilet</t>
  </si>
  <si>
    <t>No toilet provisions</t>
  </si>
  <si>
    <t>Electricity (&lt; min.service level)</t>
  </si>
  <si>
    <t>Electricity - prepaid (&lt; min. service level)</t>
  </si>
  <si>
    <t>Other energy sources</t>
  </si>
  <si>
    <t>Removed at least once a week (min.service)</t>
  </si>
  <si>
    <t>Removed less frequently than once a week</t>
  </si>
  <si>
    <t>Using communal refuse dump</t>
  </si>
  <si>
    <t>Using own refuse dump</t>
  </si>
  <si>
    <t>Other rubbish disposal</t>
  </si>
  <si>
    <t>No rubbish disposal</t>
  </si>
  <si>
    <t>Households receiving Free Basic Service</t>
  </si>
  <si>
    <t>Cost of Free Basic Services provided (R'000)</t>
  </si>
  <si>
    <t>Water (6 kilolitres per household per month)</t>
  </si>
  <si>
    <t>Electricity/other energy (50kwh per household per month)</t>
  </si>
  <si>
    <t>Highest level of free service provided</t>
  </si>
  <si>
    <t>Property rates (R'000 value threshold)</t>
  </si>
  <si>
    <t>Water (kilolitres per household per month)</t>
  </si>
  <si>
    <t>Sanitation (kilolitres per household per month)</t>
  </si>
  <si>
    <t>Sanitation (Rand per household per month)</t>
  </si>
  <si>
    <t>Electricity (kw per household per month)</t>
  </si>
  <si>
    <t>Refuse (average litres per week)</t>
  </si>
  <si>
    <t>Sanitation</t>
  </si>
  <si>
    <t>1. Include services provided by another entity; e.g. Eskom</t>
  </si>
  <si>
    <t>2. Stand distance &gt; 200m from dwelling</t>
  </si>
  <si>
    <t>3. Stand distance &lt;= 200m from dwelling</t>
  </si>
  <si>
    <t>4. Borehole, spring, rain-water tank etc.</t>
  </si>
  <si>
    <t>5. Must agree to total number of households in municipal area</t>
  </si>
  <si>
    <t>6. Include value of subsidy provided by municipality above provincial subsidy level</t>
  </si>
  <si>
    <t>15. Show number of households receiving at least these levels of services completely free</t>
  </si>
  <si>
    <t>Multi-year expenditure appropriation</t>
  </si>
  <si>
    <t>Single-year expenditure appropriation</t>
  </si>
  <si>
    <t>Transfers recognised - operational</t>
  </si>
  <si>
    <t>Operating transfers and grants:</t>
  </si>
  <si>
    <t>Total operating transfers and grants revenue</t>
  </si>
  <si>
    <t>Total operating transfers and grants - CTBM</t>
  </si>
  <si>
    <t>Capital transfers and grants:</t>
  </si>
  <si>
    <t>Total capital transfers and grants revenue</t>
  </si>
  <si>
    <t>Total capital transfers and grants - CTBM</t>
  </si>
  <si>
    <t>TOTAL TRANSFERS AND GRANTS REVENUE</t>
  </si>
  <si>
    <t>TOTAL TRANSFERS AND GRANTS -  CTBM</t>
  </si>
  <si>
    <t>Operating expenditure of Transfers and Grants</t>
  </si>
  <si>
    <t>Total operating expenditure of Transfers and Grants:</t>
  </si>
  <si>
    <t>Capital expenditure of Transfers and Grants</t>
  </si>
  <si>
    <t>Total capital expenditure of Transfers and Grants</t>
  </si>
  <si>
    <t>Operating Transfers and Grants</t>
  </si>
  <si>
    <t>Total Operating Transfers and Grants</t>
  </si>
  <si>
    <t>Capital Transfers and Grants</t>
  </si>
  <si>
    <t>Total Capital Transfers and Grants</t>
  </si>
  <si>
    <t>TOTAL RECEIPTS OF TRANSFERS &amp; GRANTS</t>
  </si>
  <si>
    <t>Borrowed funding of 'own' capital expenditure</t>
  </si>
  <si>
    <t>Borrowing/Capital expenditure excl. transfers and grants</t>
  </si>
  <si>
    <t>Current assets/current liabilities less debtors &gt; 90 days/current liabilities</t>
  </si>
  <si>
    <t>Minimum Service Level and Above sub-total</t>
  </si>
  <si>
    <t>Below Minimum Servic Level sub-total</t>
  </si>
  <si>
    <t>Sanitation (free minimum level service)</t>
  </si>
  <si>
    <t>Refuse (removed at least once a week)</t>
  </si>
  <si>
    <t>Revenue cost of free services provided (R'000)</t>
  </si>
  <si>
    <t>Municipal Housing - rental rebates</t>
  </si>
  <si>
    <t>Housing - top structure subsidies</t>
  </si>
  <si>
    <r>
      <t xml:space="preserve">Total New Assets </t>
    </r>
    <r>
      <rPr>
        <b/>
        <i/>
        <sz val="8"/>
        <rFont val="Arial Narrow"/>
        <family val="2"/>
      </rPr>
      <t>to be adjusted</t>
    </r>
  </si>
  <si>
    <r>
      <t>Total Renewal of Existing Assets</t>
    </r>
    <r>
      <rPr>
        <b/>
        <i/>
        <sz val="8"/>
        <rFont val="Arial Narrow"/>
        <family val="2"/>
      </rPr>
      <t xml:space="preserve"> to be adjusted</t>
    </r>
  </si>
  <si>
    <r>
      <t xml:space="preserve">Total Capital Expenditure </t>
    </r>
    <r>
      <rPr>
        <b/>
        <i/>
        <sz val="8"/>
        <rFont val="Arial Narrow"/>
        <family val="2"/>
      </rPr>
      <t>to be adjusted</t>
    </r>
  </si>
  <si>
    <r>
      <t xml:space="preserve">TOTAL CAPITAL EXPENDITURE </t>
    </r>
    <r>
      <rPr>
        <b/>
        <i/>
        <sz val="8"/>
        <rFont val="Arial Narrow"/>
        <family val="2"/>
      </rPr>
      <t>to be adjusted</t>
    </r>
  </si>
  <si>
    <t>TOTAL ASSET REGISTER SUMMARY - PPE (WDV)</t>
  </si>
  <si>
    <t>Applications of cash and investments</t>
  </si>
  <si>
    <t>Long term investments committed</t>
  </si>
  <si>
    <t>Transfers and Grants</t>
  </si>
  <si>
    <t>Increase (decrease) in consumer deposits</t>
  </si>
  <si>
    <r>
      <t>Multi-year expenditure</t>
    </r>
    <r>
      <rPr>
        <b/>
        <i/>
        <sz val="8"/>
        <rFont val="Arial Narrow"/>
        <family val="2"/>
      </rPr>
      <t xml:space="preserve"> to be adjusted</t>
    </r>
  </si>
  <si>
    <r>
      <t>Single-year expenditure</t>
    </r>
    <r>
      <rPr>
        <b/>
        <i/>
        <sz val="8"/>
        <rFont val="Arial Narrow"/>
        <family val="2"/>
      </rPr>
      <t xml:space="preserve"> to be adjusted</t>
    </r>
  </si>
  <si>
    <t>Total Capital Expenditure - Vote</t>
  </si>
  <si>
    <t>3. Capital expenditure by standard classification must reconcile to the appropriations by vote</t>
  </si>
  <si>
    <t>4. Must reconcile to supporting table SB7 and to Adjustments Budget Financial Performance (revenue and expenditure)</t>
  </si>
  <si>
    <r>
      <t>Community wealth</t>
    </r>
    <r>
      <rPr>
        <sz val="8"/>
        <rFont val="Arial Narrow"/>
        <family val="2"/>
      </rPr>
      <t>/Equity</t>
    </r>
  </si>
  <si>
    <t>16. Must reflect the cost to the municipality of providing the Free Basic Service</t>
  </si>
  <si>
    <t>17. Reflect the cost to the municipality in terms of 'revenue foregone' of providing free services (note this will not equal 'Revenue Foregone' on SA1)</t>
  </si>
  <si>
    <t>REVENUE ITEMS</t>
  </si>
  <si>
    <t>Total Property Rates</t>
  </si>
  <si>
    <t>Net Property Rates</t>
  </si>
  <si>
    <t>Total Service charges - electricity revenue</t>
  </si>
  <si>
    <t>Net Service charges - electricity revenue</t>
  </si>
  <si>
    <t>Total Service charges - water revenue</t>
  </si>
  <si>
    <t>Net Service charges - water revenue</t>
  </si>
  <si>
    <t>Total Service charges - sanitation revenue</t>
  </si>
  <si>
    <t>Net Service charges - sanitation revenue</t>
  </si>
  <si>
    <t>Service charges - refuse revenue</t>
  </si>
  <si>
    <t>Net Service charges - refuse revenue</t>
  </si>
  <si>
    <t>Other Revenue By Source</t>
  </si>
  <si>
    <t>Total 'Other' Revenue</t>
  </si>
  <si>
    <t>EXPENDITURE ITEMS</t>
  </si>
  <si>
    <t>Overtime</t>
  </si>
  <si>
    <t>Long service awards</t>
  </si>
  <si>
    <t>Payments in lieu of leave</t>
  </si>
  <si>
    <t>Post-retirement benefit obligations</t>
  </si>
  <si>
    <t>sub-total</t>
  </si>
  <si>
    <t>Less: Employees costs capitalised to PPE</t>
  </si>
  <si>
    <t>Depreciation of Property, Plant &amp; Equipment</t>
  </si>
  <si>
    <t>Lease amortisation</t>
  </si>
  <si>
    <t>Capital asset impairment</t>
  </si>
  <si>
    <t>Total bulk purchases</t>
  </si>
  <si>
    <t>Other Expenditure By Type</t>
  </si>
  <si>
    <t>Collection costs</t>
  </si>
  <si>
    <t>Contributions to 'other' provisions</t>
  </si>
  <si>
    <t>Audit fees</t>
  </si>
  <si>
    <t>Total Other Expenditure</t>
  </si>
  <si>
    <t>ADJB18a</t>
  </si>
  <si>
    <t>ADJB18b</t>
  </si>
  <si>
    <t>ADJB18c</t>
  </si>
  <si>
    <t>develop own assumption as appropriate</t>
  </si>
  <si>
    <t>1. Must reconcile with relevant line on the 'Financial Performance' budget</t>
  </si>
  <si>
    <t>2. Must reconcile to supporting documentation on staff salaries</t>
  </si>
  <si>
    <t>3. Insert other categories where revenue or expenditure is of a material nature</t>
  </si>
  <si>
    <t>4. Expenditure to meet any unfunded obligations</t>
  </si>
  <si>
    <t>5. Special consideration may have to be given to including 'goodwill arising' or 'joint venture' budgets where circumstances require this (include separately under relevant notes)</t>
  </si>
  <si>
    <t>7. Additional cash-backed accumulated funds/unspent funds (section 18(1)(b) and section 28(2)(e) MFMA) identified after Original Budget approved and after annual financial statements audited (note: only where underspending could not reasonably be have for</t>
  </si>
  <si>
    <t>8. Increases of funds approved under section 31 MFMA</t>
  </si>
  <si>
    <t>9. Adjustments approved in accordance with section 29 MFMA</t>
  </si>
  <si>
    <t>10. Adjustments to funding allocations from National or Provincial Government</t>
  </si>
  <si>
    <t>Other benefits and allowances</t>
  </si>
  <si>
    <t>Capital expenditure on new assets by Asset Class/Sub-class</t>
  </si>
  <si>
    <r>
      <t>Total Capital Expenditure on new assets</t>
    </r>
    <r>
      <rPr>
        <b/>
        <i/>
        <sz val="8"/>
        <rFont val="Arial Narrow"/>
        <family val="2"/>
      </rPr>
      <t xml:space="preserve"> to be adjusted</t>
    </r>
  </si>
  <si>
    <t>Capital expenditure on renewal of existing assets by Asset Class/Sub-class</t>
  </si>
  <si>
    <r>
      <t xml:space="preserve">Total Capital Expenditure on renewal of existing assets </t>
    </r>
    <r>
      <rPr>
        <b/>
        <i/>
        <sz val="8"/>
        <rFont val="Arial Narrow"/>
        <family val="2"/>
      </rPr>
      <t>to be adjusted</t>
    </r>
  </si>
  <si>
    <t>Repairs and maintenance expenditure by Asset Class/Sub-class</t>
  </si>
  <si>
    <t>Total Repairs and Maintenance Expenditure to be adjusted</t>
  </si>
  <si>
    <t>1. Total Repairs and Maintenance Expenditure by Asset Category must reconcile to total repairs and maintenance expenditure on Table SB1</t>
  </si>
  <si>
    <t>11. Adjusts. = 'Other' Adjustments proposed to be approved; including revenue under-collection (MFMA section 28(2)(a)); additional revenue appropriation on existing programmes (section 28(2))(b); projected savings (section 28(2)(d)); error correction (sec</t>
  </si>
  <si>
    <t>12. G = B + C + D + E + F</t>
  </si>
  <si>
    <t>13. Adjusted Budget H = (A or A1/2 etc) + G</t>
  </si>
  <si>
    <t>Less: provision for debt impairment</t>
  </si>
  <si>
    <t>Debt impairment provision</t>
  </si>
  <si>
    <t>Balance at the beginning of the year</t>
  </si>
  <si>
    <t>Contributions to the provision</t>
  </si>
  <si>
    <t>Bad debts written off</t>
  </si>
  <si>
    <t>Balance at end of year</t>
  </si>
  <si>
    <t>Property, plant &amp; equipment</t>
  </si>
  <si>
    <t>PPE at cost/valuation (excl. finance leases)</t>
  </si>
  <si>
    <t>Leases recognised as PPE</t>
  </si>
  <si>
    <t>Less: Accumulated depreciation</t>
  </si>
  <si>
    <t>Current liabilities - Borrowing</t>
  </si>
  <si>
    <t>Short term loans (other than bank overdraft)</t>
  </si>
  <si>
    <t>Current portion of long-term liabilities</t>
  </si>
  <si>
    <t>VAT</t>
  </si>
  <si>
    <t>Non current liabilities - Borrowing</t>
  </si>
  <si>
    <t>Finance leases (including PPP asset element)</t>
  </si>
  <si>
    <t>Provisions - non current</t>
  </si>
  <si>
    <t>Retirement benefits</t>
  </si>
  <si>
    <t>Refuse landfill site rehabilitation</t>
  </si>
  <si>
    <t>CHANGES IN NET ASSETS</t>
  </si>
  <si>
    <t>Accumulated surplus/(Deficit)</t>
  </si>
  <si>
    <t>Depreciation offsets</t>
  </si>
  <si>
    <t>Other adjustments</t>
  </si>
  <si>
    <t>Housing Development Fund</t>
  </si>
  <si>
    <t>Capital replacement</t>
  </si>
  <si>
    <t>Self-insurance</t>
  </si>
  <si>
    <t>Revaluation</t>
  </si>
  <si>
    <t>Total Reserves</t>
  </si>
  <si>
    <t>A. GENERAL INFORMATION</t>
  </si>
  <si>
    <t>Municipality</t>
  </si>
  <si>
    <t>Grade</t>
  </si>
  <si>
    <t>1 Grade in terms of the Remuneration of Public Office Bearers Act.</t>
  </si>
  <si>
    <t>Province</t>
  </si>
  <si>
    <t>Web Address</t>
  </si>
  <si>
    <t>e-mail Address</t>
  </si>
  <si>
    <t>B. CONTACT INFORMATION</t>
  </si>
  <si>
    <t>Postal address:</t>
  </si>
  <si>
    <t>P.O. Box</t>
  </si>
  <si>
    <t>City / Town</t>
  </si>
  <si>
    <t>Postal Code</t>
  </si>
  <si>
    <t>Street address</t>
  </si>
  <si>
    <t>Building</t>
  </si>
  <si>
    <t>Street No. &amp; Name</t>
  </si>
  <si>
    <t>General Contacts</t>
  </si>
  <si>
    <t>Telephone number</t>
  </si>
  <si>
    <t>Fax number</t>
  </si>
  <si>
    <t>C. POLITICAL LEADERSHIP</t>
  </si>
  <si>
    <t>Speaker:</t>
  </si>
  <si>
    <t>Secretary/PA to the Speaker:</t>
  </si>
  <si>
    <t>Name</t>
  </si>
  <si>
    <t>Cell number</t>
  </si>
  <si>
    <t>E-mail address</t>
  </si>
  <si>
    <t>Mayor/Executive Mayor:</t>
  </si>
  <si>
    <t>Secretary/PA to the Mayor/Executive Mayor:</t>
  </si>
  <si>
    <t>Deputy Mayor/Executive Mayor:</t>
  </si>
  <si>
    <t>Secretary/PA to the Deputy Mayor/Executive Mayor:</t>
  </si>
  <si>
    <t>D. MANAGEMENT LEADERSHIP</t>
  </si>
  <si>
    <t>Municipal Manager:</t>
  </si>
  <si>
    <t>Secretary/PA to the Municipal Manager:</t>
  </si>
  <si>
    <t>Chief Financial Officer</t>
  </si>
  <si>
    <t>Secretary/PA to the Chief Financial Officer</t>
  </si>
  <si>
    <t>Official responsible for submitting financial information</t>
  </si>
  <si>
    <t>DC14 Joe Gqabi</t>
  </si>
  <si>
    <t>DC45 John Taolo Gaetsewe</t>
  </si>
  <si>
    <t>EC109 Kou-Kamma</t>
  </si>
  <si>
    <t>GT484 Merafong City</t>
  </si>
  <si>
    <t>KZN281 Mfolozi</t>
  </si>
  <si>
    <t>KZN284 uMlalazi</t>
  </si>
  <si>
    <t>LIM471 Ephraim Mogale</t>
  </si>
  <si>
    <t>LIM473 Makhuduthamaga</t>
  </si>
  <si>
    <t>MP304 Pixley Ka Seme (MP)</t>
  </si>
  <si>
    <t>MP311 Victor Khanye</t>
  </si>
  <si>
    <t>NC451 Joe Morolong</t>
  </si>
  <si>
    <t>WC026 Langeberg</t>
  </si>
  <si>
    <t>.</t>
  </si>
  <si>
    <t>`</t>
  </si>
  <si>
    <t>Local Government Equitable Share</t>
  </si>
  <si>
    <t xml:space="preserve">RSC Levy Replacement </t>
  </si>
  <si>
    <t xml:space="preserve">Finance Management </t>
  </si>
  <si>
    <t xml:space="preserve">Water Services Operating Subsidy </t>
  </si>
  <si>
    <t>Energy Efficiency  and Demand Management</t>
  </si>
  <si>
    <t>Integrated National Electrification Programme</t>
  </si>
  <si>
    <t xml:space="preserve">Municipal Drought Relief </t>
  </si>
  <si>
    <t>2010 FIFA World Cup Operating</t>
  </si>
  <si>
    <t>Electricity Demand Side Management</t>
  </si>
  <si>
    <t>EPWP Incentive</t>
  </si>
  <si>
    <t>Health subsidy</t>
  </si>
  <si>
    <t>Ambulance subsidy</t>
  </si>
  <si>
    <t xml:space="preserve"> Municipal Infrastructure Grant (MIG)</t>
  </si>
  <si>
    <t xml:space="preserve"> Public Transport and Systems</t>
  </si>
  <si>
    <t>Rural Transport Services and Infrastructure</t>
  </si>
  <si>
    <t>Regional Bulk Infrastructure</t>
  </si>
  <si>
    <t xml:space="preserve">Rural Households Infrastructure </t>
  </si>
  <si>
    <t>Neighbourhood Development Partnership</t>
  </si>
  <si>
    <t>2010 FIFA World Cup Stadiums Development</t>
  </si>
  <si>
    <t>Agriculture</t>
  </si>
  <si>
    <t>Education</t>
  </si>
  <si>
    <t xml:space="preserve">Housing and Local Government </t>
  </si>
  <si>
    <t>Other Departments</t>
  </si>
  <si>
    <t xml:space="preserve">Public Works, Roads, Transport </t>
  </si>
  <si>
    <t>Organisational Structure Votes</t>
  </si>
  <si>
    <t>Organisational Structure Sub-Votes</t>
  </si>
  <si>
    <t>Display Sub-Votes</t>
  </si>
  <si>
    <t>[Name of sub-vote]</t>
  </si>
  <si>
    <t>1.1 - [Name of sub-vote]</t>
  </si>
  <si>
    <t>1.10</t>
  </si>
  <si>
    <t>2.1 - [Name of sub-vote]</t>
  </si>
  <si>
    <t>2.10</t>
  </si>
  <si>
    <t>3.1 - [Name of sub-vote]</t>
  </si>
  <si>
    <t>3.10</t>
  </si>
  <si>
    <t>4.1 - [Name of sub-vote]</t>
  </si>
  <si>
    <t>4.10</t>
  </si>
  <si>
    <t>5.1 - [Name of sub-vote]</t>
  </si>
  <si>
    <t>5.10</t>
  </si>
  <si>
    <t>6.1 - [Name of sub-vote]</t>
  </si>
  <si>
    <t>6.10</t>
  </si>
  <si>
    <t>7.1 - [Name of sub-vote]</t>
  </si>
  <si>
    <t>7.10</t>
  </si>
  <si>
    <t>8.1 - [Name of sub-vote]</t>
  </si>
  <si>
    <t>8.10</t>
  </si>
  <si>
    <t>9.1 - [Name of sub-vote]</t>
  </si>
  <si>
    <t>9.10</t>
  </si>
  <si>
    <t>10.1 - [Name of sub-vote]</t>
  </si>
  <si>
    <t>10.10</t>
  </si>
  <si>
    <t>11.1 - [Name of sub-vote]</t>
  </si>
  <si>
    <t>11.10</t>
  </si>
  <si>
    <t>[NAME OF VOTE 12]</t>
  </si>
  <si>
    <t>12.1 - [Name of sub-vote]</t>
  </si>
  <si>
    <t>12.10</t>
  </si>
  <si>
    <t>[NAME OF VOTE 13]</t>
  </si>
  <si>
    <t>13.1 - [Name of sub-vote]</t>
  </si>
  <si>
    <t>13.10</t>
  </si>
  <si>
    <t>[NAME OF VOTE 14]</t>
  </si>
  <si>
    <t>14.1 - [Name of sub-vote]</t>
  </si>
  <si>
    <t>14.10</t>
  </si>
  <si>
    <t>[NAME OF VOTE 15]</t>
  </si>
  <si>
    <t>15.1 - [Name of sub-vote]</t>
  </si>
  <si>
    <t>15.10</t>
  </si>
  <si>
    <t>ADJB18d</t>
  </si>
  <si>
    <t>R1 - R1 600</t>
  </si>
  <si>
    <t>R1 601 - R3 200</t>
  </si>
  <si>
    <t>R3 201 - R6 400</t>
  </si>
  <si>
    <t>R6 401 - R12 800</t>
  </si>
  <si>
    <t>R12 801 - R25 600</t>
  </si>
  <si>
    <t>R25 601 - R51 200</t>
  </si>
  <si>
    <t>R52 201 - R102 400</t>
  </si>
  <si>
    <t>R102 401 - R204 800</t>
  </si>
  <si>
    <t>R204 801 - R409 600</t>
  </si>
  <si>
    <t>R409 601 - R819 200</t>
  </si>
  <si>
    <t xml:space="preserve"> &gt; R819 200</t>
  </si>
  <si>
    <t>Ref.</t>
  </si>
  <si>
    <t>&lt; R2 060 per household per month</t>
  </si>
  <si>
    <t>Housing statistics</t>
  </si>
  <si>
    <t>Dwellings provided by municipality</t>
  </si>
  <si>
    <t>Dwellings provided by private sector</t>
  </si>
  <si>
    <t>Economic</t>
  </si>
  <si>
    <t>Collection rates</t>
  </si>
  <si>
    <t>1, 12</t>
  </si>
  <si>
    <t>1. Monthly household income threshold. Should include all sources of income.</t>
  </si>
  <si>
    <t>2. Show the poverty analysis the municipality uses to determine its indigents policy and the provision of services</t>
  </si>
  <si>
    <t>3. Include total of all housing units within the municipality</t>
  </si>
  <si>
    <t>4. Number of subsidised dwellings to be constructed by the municipality under agency agreement with province</t>
  </si>
  <si>
    <t>5. Provide estimate based on building approval information. Include any non-subsidised dwellings constructed by the municipality</t>
  </si>
  <si>
    <t>6. Insert actual or estimated % increases assumed as a basis for budget calculations</t>
  </si>
  <si>
    <t>7. Insert actual or estimated % collection rate assumed as a basis for budget calculations for each revenue group</t>
  </si>
  <si>
    <t>8. Stand distance &lt;= 200m from dwelling</t>
  </si>
  <si>
    <t>9. Stand distance &gt; 200m from dwelling</t>
  </si>
  <si>
    <t>10. Borehole, spring, rain-water tank etc.</t>
  </si>
  <si>
    <t>11. Must agree to total number of households in municipal area</t>
  </si>
  <si>
    <t>12. Household income categories assume an average 4 person household. Stats SA - Census 2011 Questionnaire</t>
  </si>
  <si>
    <t>13. Based on National poverty line of R515 per capita per month (2008 prices), assuming an average household size of 4 persons</t>
  </si>
  <si>
    <t>Monthly Household income ( no. of households)</t>
  </si>
  <si>
    <t>Poverty profiles (no. of households)</t>
  </si>
  <si>
    <t>Asset Class</t>
  </si>
  <si>
    <t>Asset sub-class</t>
  </si>
  <si>
    <t>Heritage Assets</t>
  </si>
  <si>
    <t>Other Assets</t>
  </si>
  <si>
    <t>Waste Management</t>
  </si>
  <si>
    <t>Sportsfields &amp; stadia</t>
  </si>
  <si>
    <t>Specialised vehicles - Refuse</t>
  </si>
  <si>
    <t>Specialised vehicles - Fire</t>
  </si>
  <si>
    <t>Specialised vehicles - Conservancy</t>
  </si>
  <si>
    <t>Specialised vehicles - Ambulances</t>
  </si>
  <si>
    <t>Pension and UIF Contributions</t>
  </si>
  <si>
    <t>Motor Vehicle Allowance</t>
  </si>
  <si>
    <t>Cellphone Allowance</t>
  </si>
  <si>
    <t>Housing Allowances</t>
  </si>
  <si>
    <t>5. Includes pension payments and employer contributions to medical aid</t>
  </si>
  <si>
    <t>SB 19</t>
  </si>
  <si>
    <t xml:space="preserve">Asset Sub-Class </t>
  </si>
  <si>
    <t>Total Application of cash and investments:</t>
  </si>
  <si>
    <t>DC2 Cape Winelands DM</t>
  </si>
  <si>
    <t>DC47 Sekhukhune</t>
  </si>
  <si>
    <t>DC7 Pixley Ka Seme (Nc)</t>
  </si>
  <si>
    <t>EC443 Mbizana</t>
  </si>
  <si>
    <t>EC444 Ntabankulu</t>
  </si>
  <si>
    <t>FS196 Mantsopa</t>
  </si>
  <si>
    <t>MP312 Emalahleni (Mp)</t>
  </si>
  <si>
    <t>MP315 Thembisile Hani</t>
  </si>
  <si>
    <t>BUF Buffalo City</t>
  </si>
  <si>
    <t>NMA Nelson Mandela Bay</t>
  </si>
  <si>
    <t>MAN Mangaung</t>
  </si>
  <si>
    <t>JHB City Of Johannesburg</t>
  </si>
  <si>
    <t>TSH City Of Tshwane</t>
  </si>
  <si>
    <t>ETH eThekwini</t>
  </si>
  <si>
    <t>CPT Cape Town</t>
  </si>
  <si>
    <t>Balance outstanding - debtors</t>
  </si>
  <si>
    <t>Debtors</t>
  </si>
  <si>
    <t>Creditors due</t>
  </si>
  <si>
    <t>Estimate of debtors collection rate</t>
  </si>
  <si>
    <t>Cash transfers to other municipalities</t>
  </si>
  <si>
    <t>Cash transfers to Entities/Other External Mechanisms</t>
  </si>
  <si>
    <t>Cash transfers to other Organs of State</t>
  </si>
  <si>
    <t>Cash transfers to other Organisations</t>
  </si>
  <si>
    <t>TOTAL CASH TRANSFERS TO OTHER ORGANISATIONS:</t>
  </si>
  <si>
    <t>TOTAL CASH TRANSFERS</t>
  </si>
  <si>
    <t>Non-cash transfers to other municipalities</t>
  </si>
  <si>
    <t>Non-cash transfers to Entities/Other External Mechanisms</t>
  </si>
  <si>
    <t>Non-cash transfers to other Organs of State</t>
  </si>
  <si>
    <t>Non-cash transfers to other Organisations</t>
  </si>
  <si>
    <t>TOTAL NON-CASH TRANSFERS TO OTHER ORGANISATIONS:</t>
  </si>
  <si>
    <t>TOTAL NON-CASH TRANSFERS</t>
  </si>
  <si>
    <t>TOTAL TRANSFERS</t>
  </si>
  <si>
    <t>Depreciation by Asset Class/Sub-class</t>
  </si>
  <si>
    <t>Total Depreciation to be adjusted</t>
  </si>
  <si>
    <t>2. Only include if services provided by the municipality</t>
  </si>
  <si>
    <r>
      <t>Total Volume Losses (kW</t>
    </r>
    <r>
      <rPr>
        <sz val="8"/>
        <rFont val="Arial Narrow"/>
        <family val="2"/>
      </rPr>
      <t>)</t>
    </r>
  </si>
  <si>
    <t>Total Cost of Losses (Rand '000)</t>
  </si>
  <si>
    <t>Total Volume Losses (kℓ)</t>
  </si>
  <si>
    <t>Household service targets</t>
  </si>
  <si>
    <t>DC43 Harry Gwala</t>
  </si>
  <si>
    <t>DC10 Sarah Baartman</t>
  </si>
  <si>
    <t>NW397 Kagisano-Molopo</t>
  </si>
  <si>
    <t>Electricity Bulk Purchases</t>
  </si>
  <si>
    <t>Water Bulk Purchases</t>
  </si>
  <si>
    <t>Cash transfers and grants</t>
  </si>
  <si>
    <t>Non-cash transfers and grants</t>
  </si>
  <si>
    <t>Total transfers and grants</t>
  </si>
  <si>
    <t>Repairs and Maintenance 
by Expenditure Item</t>
  </si>
  <si>
    <t>Contracted Services</t>
  </si>
  <si>
    <t>Other Expenditure</t>
  </si>
  <si>
    <t>Total Repairs and Maintenance Expenditure</t>
  </si>
  <si>
    <t>14. Repairs and Maintenance is not a GRAP item. However to facilitate transparency, municipalities must provide a breakdown of the amounts included in the relevant GRAP items that will be spent on Repairs and Maintenance.</t>
  </si>
  <si>
    <t>15. Must reconcile with Repairs and Maintenance by Asset Class (Total Repairs and Maintenance) on Table SA34c.</t>
  </si>
  <si>
    <t>Capital Charges to Own Revenue</t>
  </si>
  <si>
    <t>Finance charges &amp; Repayment of borrowing /Own Revenue</t>
  </si>
  <si>
    <t>Current Debtors Collection Rate (Cash receipts % of Ratepayer &amp; Other revenue)</t>
  </si>
  <si>
    <t>Creditors to Cash and Investments</t>
  </si>
  <si>
    <t>% Volume (units purchased and generated less units sold)/units purchased and generated</t>
  </si>
  <si>
    <t>Remuneration</t>
  </si>
  <si>
    <t>Total remuneration/(Total Revenue - capital revenue)</t>
  </si>
  <si>
    <t>Own capex</t>
  </si>
  <si>
    <t>Total municipal services</t>
  </si>
  <si>
    <t>Household service targets (000)</t>
  </si>
  <si>
    <t>Below Minimum Service Level sub-total</t>
  </si>
  <si>
    <t>Electricity (at least min.service level)</t>
  </si>
  <si>
    <t>Electricity - prepaid (min.service level)</t>
  </si>
  <si>
    <t>Removed at least once a week</t>
  </si>
  <si>
    <t>Municipal in-house services</t>
  </si>
  <si>
    <t>Municipal entity services</t>
  </si>
  <si>
    <t>Name of municipal entity</t>
  </si>
  <si>
    <t>Services provided by 'external mechanisms'</t>
  </si>
  <si>
    <t>Names of service providers</t>
  </si>
  <si>
    <t>Detail on the provision of municipal services for B10</t>
  </si>
  <si>
    <t>2011 Census</t>
  </si>
  <si>
    <t xml:space="preserve"> - Adjustments Budget - January 2007</t>
  </si>
  <si>
    <t>TOTAL SALARY, ALLOWANCES &amp; BENEFITS</t>
  </si>
  <si>
    <t>Transfers and grants - other municipalities</t>
  </si>
  <si>
    <t>Transfers and grants - other</t>
  </si>
  <si>
    <t>DC8 Z F Mgcawu</t>
  </si>
  <si>
    <t>EC129 Raymond Mhlaba</t>
  </si>
  <si>
    <t>EC139 Enoch Mgijima</t>
  </si>
  <si>
    <t>EC145 Walter Sisulu</t>
  </si>
  <si>
    <t>KZN237 Inkosi Langalibalele</t>
  </si>
  <si>
    <t>KZN238 Alfred Duma</t>
  </si>
  <si>
    <t>DC28 King Cetshwayo</t>
  </si>
  <si>
    <t>KZN436 Dr Nkosazana Dlamini Zuma</t>
  </si>
  <si>
    <t>MP326 City of Mbombela</t>
  </si>
  <si>
    <t>KZN216 Ray Nkonyeni</t>
  </si>
  <si>
    <t>ID Number</t>
  </si>
  <si>
    <t>Title</t>
  </si>
  <si>
    <t>Transfers and subsidies - capital (monetary allocations) (National / Provincial and District)</t>
  </si>
  <si>
    <t>Transfers and subsidies - capital (monetary allocations) (National / Provincial Departmental Agencies, Households, Non-profit Institutions, Private Enterprises, Public Corporatons, Higher Educational Institutions)</t>
  </si>
  <si>
    <t xml:space="preserve">Transfers and subsidies - capital (in-kind - all) </t>
  </si>
  <si>
    <t>Transfers and subsidies</t>
  </si>
  <si>
    <t>Fines, penalties and forfeits</t>
  </si>
  <si>
    <t>Capital Expenditure - Functional</t>
  </si>
  <si>
    <t>Finance and administration</t>
  </si>
  <si>
    <t>Internal audit</t>
  </si>
  <si>
    <t>Energy sources</t>
  </si>
  <si>
    <t>Water management</t>
  </si>
  <si>
    <t>Total Capital Expenditure - Functional</t>
  </si>
  <si>
    <t>Municipal Manager, Town Secretary and Chief Executive</t>
  </si>
  <si>
    <t>Administrative and Corporate Support</t>
  </si>
  <si>
    <t>Finance</t>
  </si>
  <si>
    <t>Fleet Management</t>
  </si>
  <si>
    <t>Legal Services</t>
  </si>
  <si>
    <t>Marketing, Customer Relations, Publicity and Media Co-ordination</t>
  </si>
  <si>
    <t>Risk Management</t>
  </si>
  <si>
    <t>Security Services</t>
  </si>
  <si>
    <t xml:space="preserve">Supply Chain Management </t>
  </si>
  <si>
    <t>Valuation Service</t>
  </si>
  <si>
    <t>Governance Function</t>
  </si>
  <si>
    <t>Animal Care and Diseases</t>
  </si>
  <si>
    <t>Cemeteries, Funeral Parlours and Crematoriums</t>
  </si>
  <si>
    <t>Child Care Facilities</t>
  </si>
  <si>
    <t>Community Halls and Facilities</t>
  </si>
  <si>
    <t>Consumer Protection</t>
  </si>
  <si>
    <t>Cultural Matters</t>
  </si>
  <si>
    <t>Disaster Management</t>
  </si>
  <si>
    <t>Indigenous and Customary Law</t>
  </si>
  <si>
    <t>Industrial Promotion</t>
  </si>
  <si>
    <t>Language Policy</t>
  </si>
  <si>
    <t>Literacy Programmes</t>
  </si>
  <si>
    <t>Media Services</t>
  </si>
  <si>
    <t>Museums and Art Galleries</t>
  </si>
  <si>
    <t>Population Development</t>
  </si>
  <si>
    <t>Provincial Cultural Matters</t>
  </si>
  <si>
    <t>Theatres</t>
  </si>
  <si>
    <t>Zoo's</t>
  </si>
  <si>
    <t xml:space="preserve">Beaches and Jetties </t>
  </si>
  <si>
    <t>Casinos, Racing, Gambling, Wagering</t>
  </si>
  <si>
    <t>Community Parks (including Nurseries)</t>
  </si>
  <si>
    <t>Recreational Facilities</t>
  </si>
  <si>
    <t>Sports Grounds and Stadiums</t>
  </si>
  <si>
    <t>Cleansing</t>
  </si>
  <si>
    <t>Control of Public Nuisances</t>
  </si>
  <si>
    <t xml:space="preserve">Fencing and Fences </t>
  </si>
  <si>
    <t>Fire Fighting and Protection</t>
  </si>
  <si>
    <t>Licensing and Control of Animals</t>
  </si>
  <si>
    <t>Informal Settlements</t>
  </si>
  <si>
    <t>Health Services</t>
  </si>
  <si>
    <t>Laboratory Services</t>
  </si>
  <si>
    <t>Food Control</t>
  </si>
  <si>
    <t>Health Surveillance and Prevention of Communicable Diseases including immunizations</t>
  </si>
  <si>
    <t>Vector Control</t>
  </si>
  <si>
    <t>Chemical Safety</t>
  </si>
  <si>
    <t>Billboards</t>
  </si>
  <si>
    <t>Corporate Wide Strategic Planning (IDPs, LEDs)</t>
  </si>
  <si>
    <t>Central City Improvement District</t>
  </si>
  <si>
    <t>Development Facilitation</t>
  </si>
  <si>
    <t>Economic Development/Planning</t>
  </si>
  <si>
    <t>Regional Planning and Development</t>
  </si>
  <si>
    <t>Town Planning, Building Regulations and Enforcement, and City Engineer</t>
  </si>
  <si>
    <t>Project Management Unit</t>
  </si>
  <si>
    <t>Provincial Planning</t>
  </si>
  <si>
    <t>Support to Local Municipalities</t>
  </si>
  <si>
    <t>Police Forces, Traffic and Street Parking Control</t>
  </si>
  <si>
    <t>Pounds</t>
  </si>
  <si>
    <t>Public Transport</t>
  </si>
  <si>
    <t>Road and Traffic Regulation</t>
  </si>
  <si>
    <t>Taxi Ranks</t>
  </si>
  <si>
    <t>Biodiversity and Landscape</t>
  </si>
  <si>
    <t>Coastal Protection</t>
  </si>
  <si>
    <t>Indigenous Forests</t>
  </si>
  <si>
    <t>Nature Conservation</t>
  </si>
  <si>
    <t>Soil Conservation</t>
  </si>
  <si>
    <t xml:space="preserve">Electricity </t>
  </si>
  <si>
    <t>Street Lighting and Signal Systems</t>
  </si>
  <si>
    <t>Nonelectric Energy</t>
  </si>
  <si>
    <t>Water Treatment</t>
  </si>
  <si>
    <t>Waste Water Treatment</t>
  </si>
  <si>
    <t>Recycling</t>
  </si>
  <si>
    <t>Solid Waste Disposal (Landfill Sites)</t>
  </si>
  <si>
    <t>Solid Waste Removal</t>
  </si>
  <si>
    <t>Street Cleaning</t>
  </si>
  <si>
    <t xml:space="preserve">Forestry </t>
  </si>
  <si>
    <t>Licensing and Regulation</t>
  </si>
  <si>
    <t>Revenue - Functional</t>
  </si>
  <si>
    <t>Expenditure - Functional</t>
  </si>
  <si>
    <t>2. Total Revenue by Functional Classification must reconcile to total operating revenue shown in Financial Performance (revenue and expenditure)</t>
  </si>
  <si>
    <t>3. Total Expenditure by Functional Classification must reconcile to total operating expenditure shown in Financial Performance (revenue and expenditure)</t>
  </si>
  <si>
    <t>4. All amounts must be classified under a Functional classification. The GFS function 'Other' is only for Abbatoirs, Air Transport, Licensing and Regulation, Markets and Tourism - and if used must be supported by footnotes. Nothing else may be placed under 'Other'. Assign associate share to relevant classification</t>
  </si>
  <si>
    <t>Total Revenue - Functional</t>
  </si>
  <si>
    <t>Total Expenditure - Functional</t>
  </si>
  <si>
    <t>Roads Infrastructure</t>
  </si>
  <si>
    <t>Road Structures</t>
  </si>
  <si>
    <t>Road Furniture</t>
  </si>
  <si>
    <t>Capital Spares</t>
  </si>
  <si>
    <t>Storm water Infrastructure</t>
  </si>
  <si>
    <t>Drainage Collection</t>
  </si>
  <si>
    <t>Storm water Conveyance</t>
  </si>
  <si>
    <t>Attenuation</t>
  </si>
  <si>
    <t>Electrical Infrastructure</t>
  </si>
  <si>
    <t>Power Plants</t>
  </si>
  <si>
    <t>HV Substations</t>
  </si>
  <si>
    <t>HV Switching Station</t>
  </si>
  <si>
    <t>HV Transmission Conductors</t>
  </si>
  <si>
    <t>MV Substations</t>
  </si>
  <si>
    <t>MV Switching Stations</t>
  </si>
  <si>
    <t>MV Networks</t>
  </si>
  <si>
    <t>LV Networks</t>
  </si>
  <si>
    <t>Water Supply Infrastructure</t>
  </si>
  <si>
    <t>Dams and Weirs</t>
  </si>
  <si>
    <t>Boreholes</t>
  </si>
  <si>
    <t>Reservoirs</t>
  </si>
  <si>
    <t>Pump Stations</t>
  </si>
  <si>
    <t>Water Treatment Works</t>
  </si>
  <si>
    <t>Bulk Mains</t>
  </si>
  <si>
    <t>Distribution</t>
  </si>
  <si>
    <t>Distribution Points</t>
  </si>
  <si>
    <t>PRV Stations</t>
  </si>
  <si>
    <t>Sanitation Infrastructure</t>
  </si>
  <si>
    <t>Pump Station</t>
  </si>
  <si>
    <t>Waste Water Treatment Works</t>
  </si>
  <si>
    <t>Outfall Sewers</t>
  </si>
  <si>
    <t>Toilet Facilities</t>
  </si>
  <si>
    <t>Solid Waste Infrastructure</t>
  </si>
  <si>
    <t>Landfill Sites</t>
  </si>
  <si>
    <t>Waste Transfer Stations</t>
  </si>
  <si>
    <t>Waste Processing Facilities</t>
  </si>
  <si>
    <t>Waste Drop-off Points</t>
  </si>
  <si>
    <t>Waste Separation Facilities</t>
  </si>
  <si>
    <t>Electricity Generation Facilities</t>
  </si>
  <si>
    <t>Rail Infrastructure</t>
  </si>
  <si>
    <t>Rail Lines</t>
  </si>
  <si>
    <t>Rail Structures</t>
  </si>
  <si>
    <t>Rail Furniture</t>
  </si>
  <si>
    <t>Coastal Infrastructure</t>
  </si>
  <si>
    <t>Sand Pumps</t>
  </si>
  <si>
    <t>Piers</t>
  </si>
  <si>
    <t>Revetments</t>
  </si>
  <si>
    <t>Promenades</t>
  </si>
  <si>
    <t>Information and Communication Infrastructure</t>
  </si>
  <si>
    <t>Data Centres</t>
  </si>
  <si>
    <t>Core Layers</t>
  </si>
  <si>
    <t>Distribution Layers</t>
  </si>
  <si>
    <t>Community Assets</t>
  </si>
  <si>
    <t>Community Facilities</t>
  </si>
  <si>
    <t>Halls</t>
  </si>
  <si>
    <t>Centres</t>
  </si>
  <si>
    <t>Crèches</t>
  </si>
  <si>
    <t>Clinics/Care Centres</t>
  </si>
  <si>
    <t>Fire/Ambulance Stations</t>
  </si>
  <si>
    <t>Testing Stations</t>
  </si>
  <si>
    <t>Museums</t>
  </si>
  <si>
    <t>Galleries</t>
  </si>
  <si>
    <t>Cemeteries/Crematoria</t>
  </si>
  <si>
    <t>Police</t>
  </si>
  <si>
    <t>Purls</t>
  </si>
  <si>
    <t>Public Open Space</t>
  </si>
  <si>
    <t>Nature Reserves</t>
  </si>
  <si>
    <t>Public Ablution Facilities</t>
  </si>
  <si>
    <t>Stalls</t>
  </si>
  <si>
    <t>Airports</t>
  </si>
  <si>
    <t>Taxi Ranks/Bus Terminals</t>
  </si>
  <si>
    <t>Sport and Recreation Facilities</t>
  </si>
  <si>
    <t>Indoor Facilities</t>
  </si>
  <si>
    <t>Outdoor Facilities</t>
  </si>
  <si>
    <t>Monuments</t>
  </si>
  <si>
    <t>Historic Buildings</t>
  </si>
  <si>
    <t>Works of Art</t>
  </si>
  <si>
    <t>Conservation Areas</t>
  </si>
  <si>
    <t>Other Heritage</t>
  </si>
  <si>
    <t>Revenue Generating</t>
  </si>
  <si>
    <t>Improved Property</t>
  </si>
  <si>
    <t>Unimproved Property</t>
  </si>
  <si>
    <t>Non-revenue Generating</t>
  </si>
  <si>
    <t>Operational Buildings</t>
  </si>
  <si>
    <t>Municipal Offices</t>
  </si>
  <si>
    <t>Pay/Enquiry Points</t>
  </si>
  <si>
    <t>Building Plan Offices</t>
  </si>
  <si>
    <t>Workshops</t>
  </si>
  <si>
    <t>Yards</t>
  </si>
  <si>
    <t>Stores</t>
  </si>
  <si>
    <t>Laboratories</t>
  </si>
  <si>
    <t>Training Centres</t>
  </si>
  <si>
    <t>Manufacturing Plant</t>
  </si>
  <si>
    <t>Depots</t>
  </si>
  <si>
    <t>Staff Housing</t>
  </si>
  <si>
    <t>Social Housing</t>
  </si>
  <si>
    <t>Biological or Cultivated Assets</t>
  </si>
  <si>
    <t>Intangible Assets</t>
  </si>
  <si>
    <t>Servitudes</t>
  </si>
  <si>
    <t>Licences and Rights</t>
  </si>
  <si>
    <t>Water Rights</t>
  </si>
  <si>
    <t>Effluent Licenses</t>
  </si>
  <si>
    <t>Solid Waste Licenses</t>
  </si>
  <si>
    <t>Computer Software and Applications</t>
  </si>
  <si>
    <t>Load Settlement Software Applications</t>
  </si>
  <si>
    <t>Unspecified</t>
  </si>
  <si>
    <t>Computer Equipment</t>
  </si>
  <si>
    <t>Furniture and Office Equipment</t>
  </si>
  <si>
    <t>Machinery and Equipment</t>
  </si>
  <si>
    <t>Transport Assets</t>
  </si>
  <si>
    <t>Zoo's, Marine and Non-biological Animals</t>
  </si>
  <si>
    <t>Capital expenditure on upgrading of existing assets by Asset Class/Sub-class</t>
  </si>
  <si>
    <r>
      <t xml:space="preserve">Total Capital Expenditure on upgrading of existing assets </t>
    </r>
    <r>
      <rPr>
        <b/>
        <i/>
        <sz val="8"/>
        <rFont val="Arial Narrow"/>
        <family val="2"/>
      </rPr>
      <t>to be adjusted</t>
    </r>
  </si>
  <si>
    <t>1. Total Capital Expenditure  on renewal of existing assets (SB18b) plus Total Capital Expenditure on new assets (SB18a) plus Total Capital Expenditure on upgrading of existing assets (SB18e) must reconcile to total capital expenditure in Budgeted Capital Expenditure</t>
  </si>
  <si>
    <t>1. Total Capital Expenditure  on renewal of existing assets (SB18b) plus Total Capital Expenditure on new assets (SB18a) plus Total Capital Expenditure  on upgrading of existing assets (SB18e) must reconcile to total capital expenditure in Budgeted Capital Expenditure</t>
  </si>
  <si>
    <t>1. Total Capital Expenditure on new assets (SB18a) plus Total Capital Expenditure on renewal of existing assets (SB18b) plus Total Capital Expenditure on upgrading of existing assets (SB18e) must reconcile to total capital expenditure in Budgeted Capital Expenditure</t>
  </si>
  <si>
    <t>ADJB18e</t>
  </si>
  <si>
    <r>
      <t>Total Upgrading of Existing Assets</t>
    </r>
    <r>
      <rPr>
        <b/>
        <i/>
        <sz val="8"/>
        <rFont val="Arial Narrow"/>
        <family val="2"/>
      </rPr>
      <t xml:space="preserve"> to be adjusted</t>
    </r>
  </si>
  <si>
    <t>2a</t>
  </si>
  <si>
    <t>Renewal and upgrading of Existing Assets as % of total capex</t>
  </si>
  <si>
    <t>Renewal and upgrading of Existing Assets as % of deprecn"</t>
  </si>
  <si>
    <t>Renewal and upgrading and R&amp;M as a % of PPE</t>
  </si>
  <si>
    <t>1. Detail of new assets provided in Table SB18a</t>
  </si>
  <si>
    <t>2. Detail of renewal of existing assets provided in Table SB18b</t>
  </si>
  <si>
    <t>2a. Detail of upgrading of existing assets provided in Table SB18e</t>
  </si>
  <si>
    <t>3. Detail of Repairs and Maintenance by Asset Class provided in Table SB18c</t>
  </si>
  <si>
    <t>Detail of Free Basic Services (FBS) provided</t>
  </si>
  <si>
    <t>Location of households for each type of FBS</t>
  </si>
  <si>
    <t>List type of FBS service</t>
  </si>
  <si>
    <t>Number of HH receiving this type of FBS</t>
  </si>
  <si>
    <t>Total cost of FBS - Electricity for informal settlements</t>
  </si>
  <si>
    <t>Total cost of FBS - Water  for informal settlements</t>
  </si>
  <si>
    <t>Total cost of FBS - Sanitation for informal settlements</t>
  </si>
  <si>
    <t>Refuse Removal</t>
  </si>
  <si>
    <t>Total cost of FBS - Refuse Removal for informal settlements</t>
  </si>
  <si>
    <r>
      <t xml:space="preserve">less Revenue Foregone </t>
    </r>
    <r>
      <rPr>
        <b/>
        <i/>
        <sz val="8"/>
        <rFont val="Arial Narrow"/>
        <family val="2"/>
      </rPr>
      <t>(exemptions, reductions and rebates and impermissable values in excess of section 17 of MPRA)</t>
    </r>
  </si>
  <si>
    <r>
      <t>less Revenue Foregone</t>
    </r>
    <r>
      <rPr>
        <b/>
        <i/>
        <sz val="8"/>
        <rFont val="Arial Narrow"/>
        <family val="2"/>
      </rPr>
      <t xml:space="preserve"> (in excess of 50 kwh per indigent household per month)</t>
    </r>
  </si>
  <si>
    <t>less Cost of Free Basis Services (50 kwh per indigent household per month)</t>
  </si>
  <si>
    <r>
      <t xml:space="preserve">less Revenue Foregone </t>
    </r>
    <r>
      <rPr>
        <b/>
        <sz val="8"/>
        <rFont val="Arial Narrow"/>
        <family val="2"/>
      </rPr>
      <t>(in excess of 6 kilolitres per indigent household per month)</t>
    </r>
  </si>
  <si>
    <r>
      <t xml:space="preserve">less Cost of Free Basis Services </t>
    </r>
    <r>
      <rPr>
        <b/>
        <i/>
        <sz val="8"/>
        <rFont val="Arial Narrow"/>
        <family val="2"/>
      </rPr>
      <t>(6 kilolitres per indigent household per month)</t>
    </r>
  </si>
  <si>
    <r>
      <t xml:space="preserve">less Revenue Foregone </t>
    </r>
    <r>
      <rPr>
        <b/>
        <i/>
        <sz val="8"/>
        <rFont val="Arial Narrow"/>
        <family val="2"/>
      </rPr>
      <t>(in excess of free sanitation service to indigent households)</t>
    </r>
  </si>
  <si>
    <r>
      <rPr>
        <i/>
        <sz val="8"/>
        <rFont val="Arial Narrow"/>
        <family val="2"/>
      </rPr>
      <t xml:space="preserve">less Cost of Free Basis Services </t>
    </r>
    <r>
      <rPr>
        <b/>
        <i/>
        <sz val="8"/>
        <rFont val="Arial Narrow"/>
        <family val="2"/>
      </rPr>
      <t>(free sanitation service to indigent households)</t>
    </r>
  </si>
  <si>
    <t>less Revenue Foregone (in excess of one removal a week to indigent households)</t>
  </si>
  <si>
    <r>
      <rPr>
        <i/>
        <sz val="8"/>
        <rFont val="Arial Narrow"/>
        <family val="2"/>
      </rPr>
      <t xml:space="preserve">less Cost of Free Basis Services </t>
    </r>
    <r>
      <rPr>
        <b/>
        <i/>
        <sz val="8"/>
        <rFont val="Arial Narrow"/>
        <family val="2"/>
      </rPr>
      <t xml:space="preserve"> (removed once a week to indigent households)</t>
    </r>
  </si>
  <si>
    <t>Water (6 kilolitres per indigent household per month)</t>
  </si>
  <si>
    <t>Sanitation (free sanitation service to indigent households)</t>
  </si>
  <si>
    <t>Electricity/other energy (50kwh per indigent household per month)</t>
  </si>
  <si>
    <t>Refuse (removed once a week for indigent households)</t>
  </si>
  <si>
    <t>Cost of Free Basic Services provided - Informal Formal Settlements (R'000)</t>
  </si>
  <si>
    <t xml:space="preserve">Total cost of FBS provided  </t>
  </si>
  <si>
    <t>Property rates (tariff adjustment) ( impermissable values per section 17 of MPRA)</t>
  </si>
  <si>
    <t>Property rates  exemptions, reductions and rebates and impermissable values in excess of section 17 of MPRA)</t>
  </si>
  <si>
    <t>Water (in excess of 6 kilolitres per indigent household per month)</t>
  </si>
  <si>
    <t>Sanitation (in excess of free sanitation service to indigent households)</t>
  </si>
  <si>
    <t>Electricity/other energy (in excess of 50 kwh per indigent household per month)</t>
  </si>
  <si>
    <t>Refuse (in excess of one removal a week for indigent households)</t>
  </si>
  <si>
    <t xml:space="preserve">Total revenue cost of subsidised services provided </t>
  </si>
  <si>
    <t>Formal settlements -  (50 kwh per indigent household per month R '000)</t>
  </si>
  <si>
    <t>Formal settlements -  (6 kilolitre per indigent household per month R '000)</t>
  </si>
  <si>
    <t>Informal settlements (R '000)</t>
  </si>
  <si>
    <t>Living in informal backyard rental agreement (R '000)</t>
  </si>
  <si>
    <t>Other (R '000)</t>
  </si>
  <si>
    <t>Informal settlements targeted for upgrading (R '000)</t>
  </si>
  <si>
    <t>Formal settlements -  (free sanitation service to indigent households R '000)</t>
  </si>
  <si>
    <t>Formal settlements -  (removed once a week to indigent households R '000)</t>
  </si>
  <si>
    <t xml:space="preserve"> </t>
  </si>
  <si>
    <t>Land</t>
  </si>
  <si>
    <t>Asset sub-class Old</t>
  </si>
  <si>
    <t>IUDF</t>
  </si>
  <si>
    <t>MTSF</t>
  </si>
  <si>
    <t>Spatial integration</t>
  </si>
  <si>
    <t>Quality basic education</t>
  </si>
  <si>
    <t>Inclusion and access</t>
  </si>
  <si>
    <t>A long and healthy life for all South Africans</t>
  </si>
  <si>
    <t>Growth</t>
  </si>
  <si>
    <t>All people in South Africa are and feel safe</t>
  </si>
  <si>
    <t>Governance</t>
  </si>
  <si>
    <t>Decent employment through inclusive growth</t>
  </si>
  <si>
    <t>A skilled and capable workforce to support an inclusive growth path</t>
  </si>
  <si>
    <t>An efficient, competitive and responsive economic infrastructure network</t>
  </si>
  <si>
    <t>Vibrant, equitable, sustainable rural communities contributing towards food security for all</t>
  </si>
  <si>
    <t>Sustainable human settlements and improved quality of household life</t>
  </si>
  <si>
    <t>Responsive, accountable, effective and efficient local government</t>
  </si>
  <si>
    <t>Protect and enhance our environmental assets and natural resources</t>
  </si>
  <si>
    <t>Create a better South Africa and contribute to a better Africa and a better world</t>
  </si>
  <si>
    <t>An efficient, effective and development-oriented public service</t>
  </si>
  <si>
    <t>A comprehensive, responsive and sustainable social protection system</t>
  </si>
  <si>
    <t>A diverse, socially cohesive society with a common national identity</t>
  </si>
  <si>
    <t>Function</t>
  </si>
  <si>
    <t>Project Description</t>
  </si>
  <si>
    <t>Project Number</t>
  </si>
  <si>
    <t>Type</t>
  </si>
  <si>
    <t>MTSF Service Outcome</t>
  </si>
  <si>
    <t>Own Strategic Objectives</t>
  </si>
  <si>
    <t>Ward Location</t>
  </si>
  <si>
    <t>GPS Longitude</t>
  </si>
  <si>
    <t>GPS Lattitude</t>
  </si>
  <si>
    <t>List all capital projects grouped by Function</t>
  </si>
  <si>
    <t>List all capital projects grouped by Municipal Entity</t>
  </si>
  <si>
    <t>List all projects where approved budgets have been adjusted</t>
  </si>
  <si>
    <t>Refer MFMA s30</t>
  </si>
  <si>
    <t>Asset class as per table B9 and asset sub-class as per table SB18</t>
  </si>
  <si>
    <t>Project Number consists of MSCOA Project Longcode and seq No (sample PC001002006002_00002)</t>
  </si>
  <si>
    <t>Distinguish projects approved in terms of MFMA section 19(1)(b) and MRRR Regulation 13</t>
  </si>
  <si>
    <t>GPS coordinates correct to seconds. Provide a logical starting point on networked infrastructure.</t>
  </si>
  <si>
    <t>Renewal and Upgrading of Existing Assets</t>
  </si>
  <si>
    <t>EC EASTERN CAPE</t>
  </si>
  <si>
    <t>EC101 Dr Beyers Naude</t>
  </si>
  <si>
    <t>FS FREE STATE</t>
  </si>
  <si>
    <t>EKU City of Ekurhuleni</t>
  </si>
  <si>
    <t>GT GAUTENG</t>
  </si>
  <si>
    <t>GT485 Rand West City</t>
  </si>
  <si>
    <t>KZN KWAZULU-NATAL</t>
  </si>
  <si>
    <t>KZN253 Emadlangeni</t>
  </si>
  <si>
    <t>KZN276 Hlabisa Big Five</t>
  </si>
  <si>
    <t>LIM LIMPOPO</t>
  </si>
  <si>
    <t>LIM345 Collins Chabane</t>
  </si>
  <si>
    <t>LIM368 Modimolle-Mookgopong</t>
  </si>
  <si>
    <t>LIM476 Tubatse Fetakgomo</t>
  </si>
  <si>
    <t>MP MPUMALANGA</t>
  </si>
  <si>
    <t>NC NORTHERN CAPE</t>
  </si>
  <si>
    <t>NC087 Dawid Kruiper</t>
  </si>
  <si>
    <t>NW NORTH WEST</t>
  </si>
  <si>
    <t>NW405 J B Marks</t>
  </si>
  <si>
    <t>WC WESTERN CAPE</t>
  </si>
  <si>
    <t>DC4 Garden Route</t>
  </si>
  <si>
    <t>Gains</t>
  </si>
  <si>
    <t>Losses</t>
  </si>
  <si>
    <t>Transfers and Subsidies - Operational</t>
  </si>
  <si>
    <t>Transfers and Subsidies - Capital</t>
  </si>
  <si>
    <t>Decrease (increase) in non-current receivables</t>
  </si>
  <si>
    <t>Fuel Levy</t>
  </si>
  <si>
    <t>Other Revenue</t>
  </si>
  <si>
    <t>Outsourced Services</t>
  </si>
  <si>
    <t>Consultants and Professional Services</t>
  </si>
  <si>
    <t>Contractors</t>
  </si>
  <si>
    <t>Total contracted services</t>
  </si>
  <si>
    <t>Trade Payables</t>
  </si>
  <si>
    <t xml:space="preserve"> Other creditors</t>
  </si>
  <si>
    <t>GRAP adjustments</t>
  </si>
  <si>
    <t>Restated balance</t>
  </si>
  <si>
    <t>Transfers to/from Reserves</t>
  </si>
  <si>
    <t>Other reserves</t>
  </si>
  <si>
    <t>Proceeds on Disposal of Fixed and Intangible Assets</t>
  </si>
  <si>
    <t>2020</t>
  </si>
  <si>
    <t>CHIEF OPERATIONS OFFICE(ADMINISTRATION)</t>
  </si>
  <si>
    <t>LEGISLATIVE SUPPORT</t>
  </si>
  <si>
    <t>LEGAL SERVICES</t>
  </si>
  <si>
    <t xml:space="preserve">INTERGRATED DEVELOPMENT PLAN </t>
  </si>
  <si>
    <t>COMMUNICATIONS AND MARKETING</t>
  </si>
  <si>
    <t>PROJECT MANAGEMENT UNIT</t>
  </si>
  <si>
    <t>PERFORMANCE MANAGEMENT</t>
  </si>
  <si>
    <t>CLUSTER</t>
  </si>
  <si>
    <t>EXECUTIVE SUPPORT</t>
  </si>
  <si>
    <t>CHIEF OPERATION OFFICE</t>
  </si>
  <si>
    <t>MUNICIPAL MANAGER'S OFFICE</t>
  </si>
  <si>
    <t>COUNCILLORS</t>
  </si>
  <si>
    <t>MUNICIPAL MANAGER</t>
  </si>
  <si>
    <t>RISK MANAGEMENT</t>
  </si>
  <si>
    <t xml:space="preserve">INTERNAL AUDIT </t>
  </si>
  <si>
    <t>WATER AND SANITATION</t>
  </si>
  <si>
    <t>WATER AND SANITATION ADMIN</t>
  </si>
  <si>
    <t>RETICULATION, DISTRIBUTIION AND MAITENANCE, WATER DEMAND AND COSERVATION</t>
  </si>
  <si>
    <t>OPERATIONS, WATER AND WASTE WATER, QUALITY MANAGEMENT AND LABORATORY SERVICES</t>
  </si>
  <si>
    <t>QUALITY MONITORING SERVICES</t>
  </si>
  <si>
    <t>INFRASTRUCTURE DEVELOPMENT, PLANNING AND RETICULATION DESIGN</t>
  </si>
  <si>
    <t>ENERGY</t>
  </si>
  <si>
    <t>ENERGY SERVICES ADMIN</t>
  </si>
  <si>
    <t>ENERGY OPERATIONS AND MAITENANCE ADMINISTRATION</t>
  </si>
  <si>
    <t>ENERGY SERVICES: 66KV OPERATIONS, MAITENANCE. SCADA AND PROTECTION</t>
  </si>
  <si>
    <t>ENERGY SERVICES: 11KV OPERATIONS, MAITENANCE. AND CONSTRUCTION</t>
  </si>
  <si>
    <t>ENERGY SERVICES : PLANNING AND DEVELOPMENT</t>
  </si>
  <si>
    <t>DIRECTORATE COMMUNITY SERVICES</t>
  </si>
  <si>
    <t>SPORT AND RECREATION (ADMINISTRATION)</t>
  </si>
  <si>
    <t>SPORTS FACILITIES MAINTENANCE(NEW)</t>
  </si>
  <si>
    <t>RECREATION SERVICES (SWIMMING POOLS)</t>
  </si>
  <si>
    <t>SPORTS FACILITIES MAINTENANCE(HORTICULTURAL SERVICES)</t>
  </si>
  <si>
    <t>CULTURAL SERVICES (ADMINISTRATION)</t>
  </si>
  <si>
    <t>CULTURAL SERVICES (ART GALLERY)</t>
  </si>
  <si>
    <t>CULTURAL SERVICES (LIBRARIES)</t>
  </si>
  <si>
    <t>CULTURAL SERVICES (MUSEUMS)</t>
  </si>
  <si>
    <t>CULTURAL SERVICES : CULTURAL DESK</t>
  </si>
  <si>
    <t>5.11 ENVIRONMENTAL MANAGEMENT (ADMINISTRATION)</t>
  </si>
  <si>
    <t>5.12 ENVIRONMENTAL MANAGEMENT (CEMETRIES)</t>
  </si>
  <si>
    <t>5.13 ENVIRONMENTAL MANAGEMENT (NATURAL RESOURCES)</t>
  </si>
  <si>
    <t>5.14 ENVIRONMENTAL MANAGEMENT (OPEN SPACES AND PARKS/RECREATION MANAGEMENT)</t>
  </si>
  <si>
    <t>5.15 WASTE MANAGEMENT (ADMINISTRATION AND OPERATIONS)</t>
  </si>
  <si>
    <t>5.16 WASTE MANAGEMENT (EDUCATION AND AWARENESS)</t>
  </si>
  <si>
    <t>PUBLIC SAFETY(ADMINISTRATION)</t>
  </si>
  <si>
    <t>TRAFFIC AND LICENSING (ADMINISTRATION)</t>
  </si>
  <si>
    <t>TRAFFIC AND LICENCES (LICENSING)</t>
  </si>
  <si>
    <t>TRAFFIC AND LICENSING(VEHICLE TESTING AND DRIVERS LICENSE TESTING)</t>
  </si>
  <si>
    <t>TRAFFIC AND LICENSING (TRAFFIC SERVICES)</t>
  </si>
  <si>
    <t>DISASTER MANAGEMENT ADMINISTRATION</t>
  </si>
  <si>
    <t>DISASTER MANAGEMENT (FIRE FIGHTING)</t>
  </si>
  <si>
    <t>BY-LAW ENFORCEMENT AND SECURITY(ADMINISTRATION)</t>
  </si>
  <si>
    <t>SECURITY SERVICES</t>
  </si>
  <si>
    <t>MUNICIPAL CONTROL CENTRE</t>
  </si>
  <si>
    <t>6.11 ENVIRONMENTAL HEALTH SERVICES (ADMINISTRATION)</t>
  </si>
  <si>
    <t>6.12 ENVIRONMENTAL HEALTH SERVICES (AIR POLUTION CONTROL)</t>
  </si>
  <si>
    <t>6.13 ENVIRONMENTAL HEALTH SERVICES (HEALTH INSPECTION)</t>
  </si>
  <si>
    <t>CORPORATE AND SHARED SERVICES</t>
  </si>
  <si>
    <t>CORPORATE SERVICES - INFORMATION COMMUNICATION TECHNOLOGY</t>
  </si>
  <si>
    <t>HUMAN RESOURCE DEVELOPMENT (ADMINISTRATION)</t>
  </si>
  <si>
    <t>HUMAN RESOURCES DEVELOPMENT (ORGANISATION DEVELOPMENT)</t>
  </si>
  <si>
    <t>HUMAN RESOURCES DEVELOPMENT (LEARNING AND DEVELOPMENT)</t>
  </si>
  <si>
    <t>HUMAN RESOURCES DEVELOPMENT (EAP)</t>
  </si>
  <si>
    <t>HUMAN RESOURCES (ADMINISTRATION)</t>
  </si>
  <si>
    <t>HUMAN RESOURCES (PERSONNEL ADMINISTRATION)</t>
  </si>
  <si>
    <t>HUMAN RESOURCES MANAGEMENT (LABOUR RELATIONS )</t>
  </si>
  <si>
    <t>7.11 OCCUPATIONAL HEALTH AND SAFETY</t>
  </si>
  <si>
    <t>7.12 FACILITY MAINTANANCE (ADMINISTRATION)</t>
  </si>
  <si>
    <t>7.13 FACILITY MAINTENANCE (CLEANING SERVICES)</t>
  </si>
  <si>
    <t>7.14 FLEET MANAGEMENT SERVICES (ADMINISTRATION)</t>
  </si>
  <si>
    <t>7.15 FLEET MANAGEMENT SERVICES</t>
  </si>
  <si>
    <t>DIRECTORATE PLANNING AND DEVELOPMENT</t>
  </si>
  <si>
    <t>PROPERTY MANAGEMENT</t>
  </si>
  <si>
    <t xml:space="preserve">CITY AND REGIONAL PLANNING </t>
  </si>
  <si>
    <t>CORPORATE GEO-INFORMATICS</t>
  </si>
  <si>
    <t>BUILDING INSPECTIONS (ADMINISTRATION)</t>
  </si>
  <si>
    <t>ECONOMIC DEVELOPMENT AND TOURISM</t>
  </si>
  <si>
    <t>LOCAL ECONOMIC DEVELOPMENT</t>
  </si>
  <si>
    <t>INVESTMENT PROMOTION</t>
  </si>
  <si>
    <t>LED (ECONOMIC PLANNING)</t>
  </si>
  <si>
    <t>BUDGET AND TREASURY OFFICE (ADMINISTRATION)</t>
  </si>
  <si>
    <t>EXPENDITURE MANAGEMENT</t>
  </si>
  <si>
    <t>REVENUE MANAGEMENTAND CUSTOMER CARE</t>
  </si>
  <si>
    <t>SUPPLY CHAIN MANAGEMENT</t>
  </si>
  <si>
    <t>ASSETS MANAGEMENT</t>
  </si>
  <si>
    <t>BUDGET AND FINANCIAL REPORTING</t>
  </si>
  <si>
    <t>BUSINESS AND FINANCIAL PLANNING</t>
  </si>
  <si>
    <t>TRANSPORT SERVICES</t>
  </si>
  <si>
    <t>TRANSPORT SERVICES (PLANNING AND OPERATIONS)</t>
  </si>
  <si>
    <t xml:space="preserve">TRANSPORT SERVICES(INTELLIGENT TRANSPORT SYSTEM MODELLING) </t>
  </si>
  <si>
    <t>TRANSPORT SERVICES (PUBLIC TRANSPORT REGULATION AND MONITIRING)</t>
  </si>
  <si>
    <t>ROADS AND STORMWATER (ADMINISTRATION)</t>
  </si>
  <si>
    <t xml:space="preserve">STORM WATER MANAGEMENT AND TRAFFIC ENGINEERING  </t>
  </si>
  <si>
    <t>ROADS AND STORMWATER (ROADS AND STREETS)</t>
  </si>
  <si>
    <t>ROADS AND STORMWATER (STORMWATER)</t>
  </si>
  <si>
    <t>HUMAN SETTLEMENT</t>
  </si>
  <si>
    <t>HUMAN SETTLEMENT - HOUSING ADMINISTRATION</t>
  </si>
  <si>
    <t>HUMAN SETTLEMENT RENTAL HOUSING AND PROGRAMME IMPLEMANTATION</t>
  </si>
  <si>
    <t>Naazim Essa</t>
  </si>
  <si>
    <t>NazzimE@polokwane.gov.za</t>
  </si>
  <si>
    <t>1.1 - CHIEF OPERATIONS OFFICE(ADMINISTRATION)</t>
  </si>
  <si>
    <t>1.2 - LEGISLATIVE SUPPORT</t>
  </si>
  <si>
    <t>1.3 - LEGAL SERVICES</t>
  </si>
  <si>
    <t xml:space="preserve">1.4 - INTERGRATED DEVELOPMENT PLAN </t>
  </si>
  <si>
    <t>1.5 - COMMUNICATIONS AND MARKETING</t>
  </si>
  <si>
    <t>1.6 - PROJECT MANAGEMENT UNIT</t>
  </si>
  <si>
    <t>1.7 - PERFORMANCE MANAGEMENT</t>
  </si>
  <si>
    <t>1.8 - CLUSTER</t>
  </si>
  <si>
    <t>1.9 - EXECUTIVE SUPPORT</t>
  </si>
  <si>
    <t>2.1 - COUNCILLORS</t>
  </si>
  <si>
    <t>2.2 - MUNICIPAL MANAGER</t>
  </si>
  <si>
    <t>2.3 - RISK MANAGEMENT</t>
  </si>
  <si>
    <t xml:space="preserve">2.4 - INTERNAL AUDIT </t>
  </si>
  <si>
    <t>3.1 - WATER AND SANITATION ADMIN</t>
  </si>
  <si>
    <t>3.2 - RETICULATION, DISTRIBUTIION AND MAITENANCE, WATER DEMAND AND COSERVATION</t>
  </si>
  <si>
    <t>3.3 - OPERATIONS, WATER AND WASTE WATER, QUALITY MANAGEMENT AND LABORATORY SERVICES</t>
  </si>
  <si>
    <t>3.4 - QUALITY MONITORING SERVICES</t>
  </si>
  <si>
    <t>3.5 - RETICULATION, DISTRIBUTIION AND MAITENANCE, WATER DEMAND AND COSERVATION</t>
  </si>
  <si>
    <t>3.6 - RETICULATION, DISTRIBUTIION AND MAITENANCE, WATER DEMAND AND COSERVATION</t>
  </si>
  <si>
    <t>3.7 - INFRASTRUCTURE DEVELOPMENT, PLANNING AND RETICULATION DESIGN</t>
  </si>
  <si>
    <t>4.1 - ENERGY SERVICES ADMIN</t>
  </si>
  <si>
    <t>4.2 - ENERGY OPERATIONS AND MAITENANCE ADMINISTRATION</t>
  </si>
  <si>
    <t>4.3 - ENERGY SERVICES: 66KV OPERATIONS, MAITENANCE. SCADA AND PROTECTION</t>
  </si>
  <si>
    <t>4.4 - ENERGY SERVICES: 11KV OPERATIONS, MAITENANCE. AND CONSTRUCTION</t>
  </si>
  <si>
    <t>4.5 - ENERGY SERVICES : PLANNING AND DEVELOPMENT</t>
  </si>
  <si>
    <t>Vote 5 - COMMUNITY SERVICES</t>
  </si>
  <si>
    <t>5.1 - DIRECTORATE COMMUNITY SERVICES</t>
  </si>
  <si>
    <t>5.2 - SPORT AND RECREATION (ADMINISTRATION)</t>
  </si>
  <si>
    <t>5.3 - SPORTS FACILITIES MAINTENANCE(NEW)</t>
  </si>
  <si>
    <t>5.4 - RECREATION SERVICES (SWIMMING POOLS)</t>
  </si>
  <si>
    <t>5.5 - SPORTS FACILITIES MAINTENANCE(HORTICULTURAL SERVICES)</t>
  </si>
  <si>
    <t>5.6 - CULTURAL SERVICES (ADMINISTRATION)</t>
  </si>
  <si>
    <t>5.7 - CULTURAL SERVICES (ART GALLERY)</t>
  </si>
  <si>
    <t>5.8 - CULTURAL SERVICES (LIBRARIES)</t>
  </si>
  <si>
    <t>5.9 - CULTURAL SERVICES (MUSEUMS)</t>
  </si>
  <si>
    <t>5.10 - CULTURAL SERVICES : CULTURAL DESK</t>
  </si>
  <si>
    <t>Vote 6 - PUBLIC SAFETY</t>
  </si>
  <si>
    <t>6.1 - PUBLIC SAFETY(ADMINISTRATION)</t>
  </si>
  <si>
    <t>6.2 - TRAFFIC AND LICENSING (ADMINISTRATION)</t>
  </si>
  <si>
    <t>6.3 - TRAFFIC AND LICENCES (LICENSING)</t>
  </si>
  <si>
    <t>6.4 - TRAFFIC AND LICENSING(VEHICLE TESTING AND DRIVERS LICENSE TESTING)</t>
  </si>
  <si>
    <t>6.5 - TRAFFIC AND LICENSING (TRAFFIC SERVICES)</t>
  </si>
  <si>
    <t>6.6 - DISASTER MANAGEMENT ADMINISTRATION</t>
  </si>
  <si>
    <t>6.7 - DISASTER MANAGEMENT (FIRE FIGHTING)</t>
  </si>
  <si>
    <t>6.8 - BY-LAW ENFORCEMENT AND SECURITY(ADMINISTRATION)</t>
  </si>
  <si>
    <t>6.9 - SECURITY SERVICES</t>
  </si>
  <si>
    <t>6.10 - MUNICIPAL CONTROL CENTRE</t>
  </si>
  <si>
    <t>Vote 7 - CORPORATE AND SHARED SERVICES</t>
  </si>
  <si>
    <t>7.1 - CORPORATE AND SHARED SERVICES</t>
  </si>
  <si>
    <t>7.2 - CORPORATE SERVICES - INFORMATION COMMUNICATION TECHNOLOGY</t>
  </si>
  <si>
    <t>7.3 - HUMAN RESOURCE DEVELOPMENT (ADMINISTRATION)</t>
  </si>
  <si>
    <t>7.4 - HUMAN RESOURCES DEVELOPMENT (ORGANISATION DEVELOPMENT)</t>
  </si>
  <si>
    <t>7.5 - HUMAN RESOURCES DEVELOPMENT (LEARNING AND DEVELOPMENT)</t>
  </si>
  <si>
    <t>7.6 - HUMAN RESOURCES DEVELOPMENT (EAP)</t>
  </si>
  <si>
    <t>7.7 - HUMAN RESOURCES (ADMINISTRATION)</t>
  </si>
  <si>
    <t>7.8 - HUMAN RESOURCES (PERSONNEL ADMINISTRATION)</t>
  </si>
  <si>
    <t>7.9 - HUMAN RESOURCES MANAGEMENT (LABOUR RELATIONS )</t>
  </si>
  <si>
    <t>7.10 - HUMAN RESOURCES (PERSONNEL ADMINISTRATION)</t>
  </si>
  <si>
    <t xml:space="preserve">Vote 8 - PLANNING AND ECONOMIC DEVELOPMENT </t>
  </si>
  <si>
    <t>8.1 - DIRECTORATE PLANNING AND DEVELOPMENT</t>
  </si>
  <si>
    <t>8.2 - PROPERTY MANAGEMENT</t>
  </si>
  <si>
    <t xml:space="preserve">8.3 - CITY AND REGIONAL PLANNING </t>
  </si>
  <si>
    <t>8.4 - CORPORATE GEO-INFORMATICS</t>
  </si>
  <si>
    <t>8.5 - BUILDING INSPECTIONS (ADMINISTRATION)</t>
  </si>
  <si>
    <t>8.6 - ECONOMIC DEVELOPMENT AND TOURISM</t>
  </si>
  <si>
    <t>8.7 - LOCAL ECONOMIC DEVELOPMENT</t>
  </si>
  <si>
    <t>8.8 - INVESTMENT PROMOTION</t>
  </si>
  <si>
    <t>8.9 - LED (ECONOMIC PLANNING)</t>
  </si>
  <si>
    <t>8.10 - LOCAL ECONOMIC DEVELOPMENT</t>
  </si>
  <si>
    <t>Vote 9 - BUDGET AND TREASURY OFFICE</t>
  </si>
  <si>
    <t>9.1 - BUDGET AND TREASURY OFFICE (ADMINISTRATION)</t>
  </si>
  <si>
    <t>9.2 - EXPENDITURE MANAGEMENT</t>
  </si>
  <si>
    <t>9.3 - REVENUE MANAGEMENTAND CUSTOMER CARE</t>
  </si>
  <si>
    <t>9.4 - SUPPLY CHAIN MANAGEMENT</t>
  </si>
  <si>
    <t>9.5 - ASSETS MANAGEMENT</t>
  </si>
  <si>
    <t>9.6 - BUDGET AND FINANCIAL REPORTING</t>
  </si>
  <si>
    <t>9.7 - BUSINESS AND FINANCIAL PLANNING</t>
  </si>
  <si>
    <t xml:space="preserve">Vote 10 - TRANSPORT SERVICES </t>
  </si>
  <si>
    <t>10.1 - TRANSPORT SERVICES</t>
  </si>
  <si>
    <t>10.2 - TRANSPORT SERVICES (PLANNING AND OPERATIONS)</t>
  </si>
  <si>
    <t xml:space="preserve">10.3 - TRANSPORT SERVICES(INTELLIGENT TRANSPORT SYSTEM MODELLING) </t>
  </si>
  <si>
    <t>10.4 - TRANSPORT SERVICES (PUBLIC TRANSPORT REGULATION AND MONITIRING)</t>
  </si>
  <si>
    <t>10.5 - ROADS AND STORMWATER (ADMINISTRATION)</t>
  </si>
  <si>
    <t xml:space="preserve">10.6 - STORM WATER MANAGEMENT AND TRAFFIC ENGINEERING  </t>
  </si>
  <si>
    <t>10.7 - ROADS AND STORMWATER (ROADS AND STREETS)</t>
  </si>
  <si>
    <t>10.8 - ROADS AND STORMWATER (STORMWATER)</t>
  </si>
  <si>
    <t>Vote 11 - HUMAN SETTLEMENT</t>
  </si>
  <si>
    <t>11.1 - HUMAN SETTLEMENT</t>
  </si>
  <si>
    <t>11.2 - HUMAN SETTLEMENT - HOUSING ADMINISTRATION</t>
  </si>
  <si>
    <t>11.3 - HUMAN SETTLEMENT RENTAL HOUSING AND PROGRAMME IMPLEMANTATION</t>
  </si>
  <si>
    <t>Vote 1 - CHIEF OPERATIONS OFFICE</t>
  </si>
  <si>
    <t xml:space="preserve">Intergrated Urban Development  Grant (IUDG) </t>
  </si>
  <si>
    <t>Stats SA Estimates</t>
  </si>
  <si>
    <t>Stats SA</t>
  </si>
  <si>
    <t>&lt; R4 630 per household per month</t>
  </si>
  <si>
    <t>Intergrated Urban Develpmet Grant (IUDG)</t>
  </si>
  <si>
    <t>EPWP Incentive (EPWP)</t>
  </si>
  <si>
    <t>Integrated National Electrification Programme (INEP)</t>
  </si>
  <si>
    <t>Neighbourhood Development Partnership Grant (NDPG)</t>
  </si>
  <si>
    <t>Public Transport Network Grant (PTNG)</t>
  </si>
  <si>
    <t>Water Services Infrastructure Grant (WSIG)</t>
  </si>
  <si>
    <t xml:space="preserve"> Energy Efficiency and Demand Side Management Grant (EEDSMG)</t>
  </si>
  <si>
    <t>Infrastruction Skills Development Grant (ISDG)</t>
  </si>
  <si>
    <t>Finance Management Grant (FMG)</t>
  </si>
  <si>
    <t>Regional Bulk Infrastructure Grant (RBIG)</t>
  </si>
  <si>
    <t>BUDGET AND TREASURY OFFICE)</t>
  </si>
  <si>
    <t>PLANNING AND ECONOMIC  DEVELOPMENT</t>
  </si>
  <si>
    <t>COMMUNITY SERVICES</t>
  </si>
  <si>
    <t>Call Investments Deposits</t>
  </si>
  <si>
    <t>Total Call Investments Deposits</t>
  </si>
  <si>
    <t>Polokwane Housing Association (PHA)</t>
  </si>
  <si>
    <t>SPCA</t>
  </si>
  <si>
    <t>Thusong Service Centre (TSC)</t>
  </si>
  <si>
    <t>1.Development of building plans &amp; designs.Construction of TSC.</t>
  </si>
  <si>
    <t>N/A</t>
  </si>
  <si>
    <t>To ensure community confidence in the system of local government</t>
  </si>
  <si>
    <t>Mankweng</t>
  </si>
  <si>
    <t>Mobile service sites Rampheri Village</t>
  </si>
  <si>
    <t xml:space="preserve">Constrconstruction of mobile service site at Rampheri village </t>
  </si>
  <si>
    <t xml:space="preserve">Maja </t>
  </si>
  <si>
    <t>Upgrading of  Mohlonong centre (Aganang cluster)</t>
  </si>
  <si>
    <t>Paving.Construction of carports. Repainting of the facility.Upgrading of toilet facilities.</t>
  </si>
  <si>
    <t>Aganang</t>
  </si>
  <si>
    <t>Renovation of existing Cluster offices</t>
  </si>
  <si>
    <t xml:space="preserve">Construction of carports &amp; paving,Palisade fencing
Drilling &amp; equipping of boreholes
</t>
  </si>
  <si>
    <t xml:space="preserve">Moletjie 
Sebayeng
Molepo/Chuene/Maja
 Moletjie
</t>
  </si>
  <si>
    <t xml:space="preserve">Cluster offices Construction at Seshego </t>
  </si>
  <si>
    <t xml:space="preserve">1. Construction of new cluster offices in Seshego
- Acquisition of land
- Plans &amp; designs
</t>
  </si>
  <si>
    <t>11,12,13, 14,17,37</t>
  </si>
  <si>
    <t xml:space="preserve">Upgrading of existing Cluster offices </t>
  </si>
  <si>
    <t xml:space="preserve">Upgrading of existing
 cluster offices (Moletjie, Sebayeng &amp; Molepo)
- plans &amp; designs
</t>
  </si>
  <si>
    <t>(Moletjie, Sebayeng &amp; Molepo)</t>
  </si>
  <si>
    <t>Construction of  mobile service sites (Moletjie &amp; Mankweng)</t>
  </si>
  <si>
    <t>Construction of 2 mobile service sites (Moletjie &amp; Mankweng)</t>
  </si>
  <si>
    <t>(Moletjie &amp; Mankweng)</t>
  </si>
  <si>
    <t>Construction of   Municipal Depots in the  Clusters (Mankweng)</t>
  </si>
  <si>
    <t>Acquisition of land</t>
  </si>
  <si>
    <t>Construction of   Municipal Depots in clusters (Mankweng )</t>
  </si>
  <si>
    <t>Construction of Segopje Mobile Service Centre</t>
  </si>
  <si>
    <t>segopye</t>
  </si>
  <si>
    <t>Construction of Sports Facility ( Stadium in Moletjie Cluster ( Leokama Village).</t>
  </si>
  <si>
    <t>Civic Centre refurbishment</t>
  </si>
  <si>
    <t>Increased access to municipal services to all households</t>
  </si>
  <si>
    <t>Renovation of offices</t>
  </si>
  <si>
    <t>Refurbishment of City Library and Auditorium</t>
  </si>
  <si>
    <t>Municipal Wide</t>
  </si>
  <si>
    <t>Upgrading of Seshego Library</t>
  </si>
  <si>
    <t>Library Aganang</t>
  </si>
  <si>
    <t>Construction of Mankweng  Traffic and Licensing Testing Centre</t>
  </si>
  <si>
    <t>Refurbishment of Municipal  Public toilets</t>
  </si>
  <si>
    <t xml:space="preserve">Aganang Cluster </t>
  </si>
  <si>
    <t>Construction of Mankweng  Water and Sanitation Centre</t>
  </si>
  <si>
    <t>Construction of the integrated Control Center at Traffic Ladanna</t>
  </si>
  <si>
    <t>Extension of the Fire and Traffic Training Facility at Ladanna</t>
  </si>
  <si>
    <t>Refurbishment of Nirvana Hall</t>
  </si>
  <si>
    <t xml:space="preserve">Extension of offices at  Ladanna electrical workshop </t>
  </si>
  <si>
    <t xml:space="preserve">Refurbishment of Mike’s Kitchen Building </t>
  </si>
  <si>
    <t>Upgrading of Jack Botes Hall</t>
  </si>
  <si>
    <t xml:space="preserve">Refurbishment of Westernburg Hall </t>
  </si>
  <si>
    <t>Aganang  Cluster offices  refurbishment</t>
  </si>
  <si>
    <t>Nirvana Soccer Grounds and Cricket Grounds Refurbisshment</t>
  </si>
  <si>
    <t xml:space="preserve">Fencing of Itsoseng Centre  </t>
  </si>
  <si>
    <t>Upgrading of Traffic Logistics Offices</t>
  </si>
  <si>
    <t>Refurbishment of the City Pool</t>
  </si>
  <si>
    <t>Upgrading of internal Streets in Mankweng unit E(Vukuphile)</t>
  </si>
  <si>
    <t xml:space="preserve">19, &amp; Seshego Cluster </t>
  </si>
  <si>
    <t>Upgrading of storm water system in municipal area (Vukuphile)</t>
  </si>
  <si>
    <t xml:space="preserve">Rehabilitation of Streets  in Nirvana </t>
  </si>
  <si>
    <t>Promotion of economic growth, job creation and sustainable human settlements</t>
  </si>
  <si>
    <t>Rehabilitation of streets in Seshego Cluster (Vukuphile)</t>
  </si>
  <si>
    <t>Upgrading of De wet  Dr from Munnik Ave   to R81</t>
  </si>
  <si>
    <t>06 and 31</t>
  </si>
  <si>
    <t xml:space="preserve">Upgrading of internal streets  in Westernburg RDP Section  </t>
  </si>
  <si>
    <t xml:space="preserve">Traffic Lights and Signs </t>
  </si>
  <si>
    <t xml:space="preserve">25 and 26 </t>
  </si>
  <si>
    <t xml:space="preserve">Installation of road signage </t>
  </si>
  <si>
    <t>Flora Park Storm Water in Sterpark And Fauna Park</t>
  </si>
  <si>
    <t>Construction of NMT at Magazyn Street and Vermekuwet</t>
  </si>
  <si>
    <t>all wards</t>
  </si>
  <si>
    <t>Construction of Storm Water in  Seshego</t>
  </si>
  <si>
    <t xml:space="preserve">Upgrading of Arterial road in  SDA1 (Luthuli ) </t>
  </si>
  <si>
    <t>11,12,13,14,17,37</t>
  </si>
  <si>
    <t xml:space="preserve">Upgrading Makanye Road (Ga-Thoka) </t>
  </si>
  <si>
    <t xml:space="preserve">Tarring Ntsime to Sefateng </t>
  </si>
  <si>
    <t xml:space="preserve">Upgrading of Internal Street in Seshego zone 8 </t>
  </si>
  <si>
    <t xml:space="preserve">Ntshitshane Road </t>
  </si>
  <si>
    <t>Upgrading of internal streets in  Toronto</t>
  </si>
  <si>
    <t>Upgrading of internal streets linked with Excelsior  Street in Mankweng unit A</t>
  </si>
  <si>
    <t>Upgrading of Arterial road in Ga Rampheri (Tarring of 2.1 km from gravel to tar as per RAL MOU)</t>
  </si>
  <si>
    <t>Upgrading of access Roads to Maja Moshate(Molepo,Chuene Maja cluster)</t>
  </si>
  <si>
    <t>Upgrading of internal streets  in Seshego Zone 1</t>
  </si>
  <si>
    <t xml:space="preserve">Seshego
&amp;
City CBD
</t>
  </si>
  <si>
    <t>Upgrading of internal streets  in Seshego Zone 2</t>
  </si>
  <si>
    <t>Upgrading of internal streets  in Seshego Zone 3</t>
  </si>
  <si>
    <t>40,42</t>
  </si>
  <si>
    <t>Upgrading of internal streets  in Seshego Zone 4</t>
  </si>
  <si>
    <t xml:space="preserve">Upgrading of internal streets  in Seshego Zone 5 </t>
  </si>
  <si>
    <t>12, 13, 14,17</t>
  </si>
  <si>
    <t>Upgrading of internal streets  in Seshego Zone 6</t>
  </si>
  <si>
    <t>Mohlonong to Kalkspruit upgrading of roads from gravel to tar</t>
  </si>
  <si>
    <t>Lonsdale to Percy clinic via flora upgrading of road from gravel to tar (including Monyoaneng)</t>
  </si>
  <si>
    <t>Construction of Storm Water in Ga Semenya</t>
  </si>
  <si>
    <t>Completion of Hospital Road in Mankweng</t>
  </si>
  <si>
    <t xml:space="preserve">Polokwane Drive- upgrade from single to dual carriage way </t>
  </si>
  <si>
    <t>Upgrading of F8 Street in Seshego</t>
  </si>
  <si>
    <t xml:space="preserve">Ditlou Street upgrade to dual lane </t>
  </si>
  <si>
    <t xml:space="preserve">Nelson Mandela Bo-okelo Crossing </t>
  </si>
  <si>
    <t>Hospital View Road 1</t>
  </si>
  <si>
    <t>Hospital View Road 2</t>
  </si>
  <si>
    <t>Stormwater Canal</t>
  </si>
  <si>
    <t>Hospital View Roads/Streets</t>
  </si>
  <si>
    <t>Construction of Municipal Cluster Offices</t>
  </si>
  <si>
    <t>Construction of Access Roads</t>
  </si>
  <si>
    <t>Construction of Safe Hub</t>
  </si>
  <si>
    <t xml:space="preserve">Upgrading of Arterial road from R37 via Thokgwaneng RDP to Silo school </t>
  </si>
  <si>
    <t xml:space="preserve">Upgrading of Arterial road D 4011 in Ga Thaba from D4018 Soetfontein Clinic to Ga Thaba connect D 4018 </t>
  </si>
  <si>
    <t>Upgrading of Arterial road D4014 in Makgoro (Sekgweng) to Makatjane</t>
  </si>
  <si>
    <t>Upgrading of arterial road from Gravel to tar – Mountain view via Magokobung to Subiaco</t>
  </si>
  <si>
    <t>Upgrading of roads from gravel to tar Nobody traffic circle to Mothiba Mafiane</t>
  </si>
  <si>
    <t xml:space="preserve">Upgrading of  road from Sengatane (D3330) to Chebeng </t>
  </si>
  <si>
    <t>Upgrading of Bloodriver main road via Mulautsi high school to agriculture houses</t>
  </si>
  <si>
    <t>Upgrading of road D3432 from Ga-Mosi(Gilead road) via Sengatane to Chebeng</t>
  </si>
  <si>
    <t>Upgrading of road from Leokama to Moshung</t>
  </si>
  <si>
    <t>Upgrading of road D3989 Ga-mamabolo to itireleng</t>
  </si>
  <si>
    <t>Upgrading of internal street from gravel to tar in Mankweng Unit A outline between Mamadimo Park link to Nchichane</t>
  </si>
  <si>
    <t>Upgrading of internal street along Dikolobe primary school</t>
  </si>
  <si>
    <t>Upgrading of road in ga Thoka from reservior to Makanye 4034</t>
  </si>
  <si>
    <t>Upgrading of Bus road from R71 to Dinokeng  between Mshongoville Gashiloane to Matshela pata</t>
  </si>
  <si>
    <t>Upgrading of arterial road in Tshware from Taxi rank via Tshware village to mamotshwa clinic</t>
  </si>
  <si>
    <t xml:space="preserve">Upgrading of road internal street in Tlhatlaganya </t>
  </si>
  <si>
    <t>Upgrading of internal street from Solomondale  to D3997</t>
  </si>
  <si>
    <t>Upgrading of road from Ralema primary school  via Krukutje , Ga Mmasehla, Ga legodi, Mokgohloa to Molepo bottle store</t>
  </si>
  <si>
    <t>Upgrading of arterial Road in Ga Semenya from R521 to Semenya</t>
  </si>
  <si>
    <t>14 &amp; 17</t>
  </si>
  <si>
    <t>Upgrading of Internal Street in Ga Ujane to D3363</t>
  </si>
  <si>
    <t>Upgrading of arterial road D3355 from Monotwane to Matlala clinic</t>
  </si>
  <si>
    <t>Upgrading of arterial road  D3383 in Setumong via Mahoai to Kgomo school</t>
  </si>
  <si>
    <t>Complete the incomplete road from Kordon to Gilead road</t>
  </si>
  <si>
    <t>Upgrading of arterial road D3426 in Ga- Ramoshoana to Rammobola</t>
  </si>
  <si>
    <t>Upgrading of D1809 from Ga Maboi to Laastehoop</t>
  </si>
  <si>
    <t>Upgrading opf arterial road from Phuti to Tjatjaneng</t>
  </si>
  <si>
    <t>Upgrading of streets in Benharris from Zebediela to D19</t>
  </si>
  <si>
    <t>Upgrading of arterial road D3472 Ga Setati to Mashobohleng D3332</t>
  </si>
  <si>
    <t>Upgrading of internal street in westernburg</t>
  </si>
  <si>
    <t>Upgrading of arterial road from Madiga to Moduane</t>
  </si>
  <si>
    <t>Upgrading of arterial road D3997 from GaMokgopo to Ga Makalanyane</t>
  </si>
  <si>
    <t>Upgrading of road from Ga Mamphaka to Spitzkop</t>
  </si>
  <si>
    <t>Upgrading of arterial road D3413 Ramakgaphola to Gilead road D3390</t>
  </si>
  <si>
    <t>Upgrading of arterial road in Magongwa village from road D3378 to road D19</t>
  </si>
  <si>
    <t>To ensure provision of basic and environmental services in a sustainable way</t>
  </si>
  <si>
    <t>10, 16,36,37</t>
  </si>
  <si>
    <t xml:space="preserve">Extension 78 Water and Sewer  reticulation  </t>
  </si>
  <si>
    <t>6, 24</t>
  </si>
  <si>
    <t>Upgrading  of laboratory</t>
  </si>
  <si>
    <t>15, 36, 38</t>
  </si>
  <si>
    <t>Extension 106 Sewer and Water reticulation (planning)</t>
  </si>
  <si>
    <t>Reservoir (Ivydale)</t>
  </si>
  <si>
    <t xml:space="preserve">29,31,32,33 </t>
  </si>
  <si>
    <t>Extension 126 Sewer Reticulation</t>
  </si>
  <si>
    <t xml:space="preserve">Installation of services  in  Municipal approved  Township </t>
  </si>
  <si>
    <t>09;16,18,35</t>
  </si>
  <si>
    <t>Olifantspoort RWS (Mmotong wa Perekisi) 2</t>
  </si>
  <si>
    <t>1,2</t>
  </si>
  <si>
    <t xml:space="preserve">Mothapo RWS </t>
  </si>
  <si>
    <t>Moletjie East RWS 2</t>
  </si>
  <si>
    <t>Moletjie North RWS</t>
  </si>
  <si>
    <t>27, 25, 31, 7, 26</t>
  </si>
  <si>
    <t>Sebayeng/Dikgale RWS 2</t>
  </si>
  <si>
    <t>Moletjie South RWS</t>
  </si>
  <si>
    <t xml:space="preserve">25 &amp; 26 </t>
  </si>
  <si>
    <t>Houtrive phase 10</t>
  </si>
  <si>
    <t>Chuene Maja RWS phase 10</t>
  </si>
  <si>
    <t>28,30, 31, 34</t>
  </si>
  <si>
    <t>Molepo RWS phase 10</t>
  </si>
  <si>
    <t>Laastehoop RWS phase 10</t>
  </si>
  <si>
    <t xml:space="preserve">Mankweng RWS phase 10 </t>
  </si>
  <si>
    <t>Boyne RWS phase 10</t>
  </si>
  <si>
    <t>20,22,23</t>
  </si>
  <si>
    <t>Aganang RWS (2) (Mahoai and Rammetloana)</t>
  </si>
  <si>
    <t>12,17,37,22,39,23</t>
  </si>
  <si>
    <t>Aganang RWS (3) (for development of technical report on outstanding villages)</t>
  </si>
  <si>
    <t>20, 22, 39, 23, 8</t>
  </si>
  <si>
    <t>Mashashane Water Works</t>
  </si>
  <si>
    <t>21, 23, 39</t>
  </si>
  <si>
    <t>Water Conservation &amp; Water WCDM (Smart Meters) Mankweng</t>
  </si>
  <si>
    <t>Segwasi RWS</t>
  </si>
  <si>
    <t>37, 12, 11, 10, 1</t>
  </si>
  <si>
    <t>Badimong RWS phase 10</t>
  </si>
  <si>
    <t>Construction of Borehole Infrastructure and Pumping Mains for the Sterkloop and Sandriver South Wellfields and Polokwane Boreholes (Polokwane Groundwater Development)</t>
  </si>
  <si>
    <t>Bloodriver Wellfield ( Olifantspoort) and Seshego Groundwater Development and Pumping Mains. (Polokwane Groundwater Development)</t>
  </si>
  <si>
    <t>Aganang  RWS (3)</t>
  </si>
  <si>
    <t>Aganang  RWS (1) (Kordodon, Juno and Farlie Villages)</t>
  </si>
  <si>
    <t>AC Pipes (Installation of Scada  Monitoring System )</t>
  </si>
  <si>
    <t>Construction of Borehole Infrastructure and Pumping Mains for the Sandriver North Wellfield and Polokwane Boreholes (Polokwane Groundwater Development)</t>
  </si>
  <si>
    <t>Bulk Water Supply - Dap Naude Dam (Pipeline section, booster PS and WTW Refurbishment)</t>
  </si>
  <si>
    <t>Polokwane Distribution Pressure and Flow Management</t>
  </si>
  <si>
    <t>Turfloop and Dieprivier Aquifer Development - Mankweng RWS</t>
  </si>
  <si>
    <t>Plants and Equipment’s</t>
  </si>
  <si>
    <t xml:space="preserve">Regional waste Water treatment plant </t>
  </si>
  <si>
    <t>Re-routing of Seshego Outfall Sewer</t>
  </si>
  <si>
    <t>12,17,37,22,39,24</t>
  </si>
  <si>
    <t>Refurbishment of Polokwane Waste water treatment work (WWTW)</t>
  </si>
  <si>
    <t>12,17,37,22,39,25</t>
  </si>
  <si>
    <t>Construction of the Sandriver North Water treatment works (Polokwane Groundwater Development)</t>
  </si>
  <si>
    <t>12,17,37,22,39,26</t>
  </si>
  <si>
    <t>Seshego Water Treatment Works (Polokwane Groundwater Development)</t>
  </si>
  <si>
    <t>12,17,37,22,39,27</t>
  </si>
  <si>
    <t>Illumination of Public areas road (Street Lights )</t>
  </si>
  <si>
    <t>08,14</t>
  </si>
  <si>
    <t>Illumination of public areas ( High Mast lights)</t>
  </si>
  <si>
    <t>41,43,45. 40, 42, 43, 24</t>
  </si>
  <si>
    <t>Replacement of oil RMU with SF6/ Vacuum</t>
  </si>
  <si>
    <t xml:space="preserve">11,12,13, 14,17,37
19,20,21,22,23
</t>
  </si>
  <si>
    <t>SCADA on RTU</t>
  </si>
  <si>
    <t>Replacement of overhead lines by underground  cables</t>
  </si>
  <si>
    <t>19,20,21,22,23</t>
  </si>
  <si>
    <t>Replacement of Fiber  glass enclosures</t>
  </si>
  <si>
    <t>19,20,21,22,23and 39</t>
  </si>
  <si>
    <t>Install New Bakone to IOTA 66KV double circuit GOAT line</t>
  </si>
  <si>
    <t>Build 66KV/Bakone substation</t>
  </si>
  <si>
    <t>Electrification Of Urban Households in Extension 78 and 40</t>
  </si>
  <si>
    <t>Power factor corrections in the following substations, Sigma substation, beta substation gamma substation and substation</t>
  </si>
  <si>
    <t>Plant and Equipment</t>
  </si>
  <si>
    <t>Increase license area assets</t>
  </si>
  <si>
    <t xml:space="preserve">municipal Wide </t>
  </si>
  <si>
    <t>Instalaltion of 3x185mm² cables from Steropark to Iota sub</t>
  </si>
  <si>
    <t>Retrofit 66kV Relays at Gamma, Alpha &amp; Sigma Substations</t>
  </si>
  <si>
    <t>Replace 66kV Bus Bars &amp; Breakers at Gamma Substation</t>
  </si>
  <si>
    <t>4,6,8,10,11,12,13,14,17,19,20,21,22,33,24,25,26,37,23</t>
  </si>
  <si>
    <t>Replacement of Fences at Gamma, Sigma, Alpha, Beta, Sterpark , Superbia, Laboria, Hospital&amp; Flora park Substations</t>
  </si>
  <si>
    <t>8,11,12,13,14,37,37,19,20,21,22,23,39</t>
  </si>
  <si>
    <t>Upgrade Gamma Substation and install additional 20MVA transformer</t>
  </si>
  <si>
    <t>Design and Construction of New Pietersburg 11kv substation</t>
  </si>
  <si>
    <t xml:space="preserve">city </t>
  </si>
  <si>
    <t>Supply power to new Pietersburg substation</t>
  </si>
  <si>
    <t>Replacement of undersized XLPE cables with PILCSTAcable</t>
  </si>
  <si>
    <t xml:space="preserve">20, 21 and 19 </t>
  </si>
  <si>
    <t>Construction of new 66 KV Lines as per master plan</t>
  </si>
  <si>
    <t>8, 14,19</t>
  </si>
  <si>
    <t xml:space="preserve">Design and Construction of new 11 KV Substations to strengthern capacity in Johnson park </t>
  </si>
  <si>
    <t>19, 20</t>
  </si>
  <si>
    <t>Installation of 11KV cables to new substations</t>
  </si>
  <si>
    <t>8, 14</t>
  </si>
  <si>
    <t>Installation of Check Meters</t>
  </si>
  <si>
    <t>20,21, and 19</t>
  </si>
  <si>
    <t>Installation of power banks substation</t>
  </si>
  <si>
    <t>8,11,12,13,14,19,20,21,22,23,37,39 and 17</t>
  </si>
  <si>
    <t>Lowering Pole mount boxes to ground mounted in Westernburg, Zone 1 Zone8, Zone5,  Ext 71,73,75,9A, 9L</t>
  </si>
  <si>
    <t xml:space="preserve">Power Generation (SSEG) at Municipal Buildings </t>
  </si>
  <si>
    <t xml:space="preserve">Electrification Of Urban Households in Extension 78 </t>
  </si>
  <si>
    <t>19, 20, 21, 22</t>
  </si>
  <si>
    <t>11 KV Distribution substations by Developers</t>
  </si>
  <si>
    <t>Design and construction 66KV Distribution substation Tweefontein</t>
  </si>
  <si>
    <t>Designs and construction of 66KV between IOTA and Tweefontein</t>
  </si>
  <si>
    <t>8,11,12,13,14,37,37</t>
  </si>
  <si>
    <t>Acquisition of fire Equipment</t>
  </si>
  <si>
    <t>6 floto pumps</t>
  </si>
  <si>
    <t>10 Large bore hoses with stotz coupling</t>
  </si>
  <si>
    <t>150X 80 Fire hoses with instantaneous couplings</t>
  </si>
  <si>
    <t>Miscellaneous equipment and gear/ Ancillary equipment</t>
  </si>
  <si>
    <t>3 Heavy hydraulic equipment</t>
  </si>
  <si>
    <t>6 Electric seimisable portable pump</t>
  </si>
  <si>
    <t>16 x Multipurpose branches(Monitors)</t>
  </si>
  <si>
    <t>Obsolete fire equipment: Lighting and high mast</t>
  </si>
  <si>
    <t>Rescue ropes/high angle</t>
  </si>
  <si>
    <t>Industrial lifting rescue equipment,</t>
  </si>
  <si>
    <t>Upgrading of Fire Training facility</t>
  </si>
  <si>
    <t>Extension of Silicon Fire station</t>
  </si>
  <si>
    <t>Chuene Maja , Aganang station</t>
  </si>
  <si>
    <t>New Matlala  Fire station</t>
  </si>
  <si>
    <t>Industrial Fire Fighting portable Pumps</t>
  </si>
  <si>
    <t>Mobile Integrated Multipurpose  Illumination unit</t>
  </si>
  <si>
    <t>Pneumatic shoring equipment</t>
  </si>
  <si>
    <t>Resuscitation equipment</t>
  </si>
  <si>
    <t>Purchase alcohol testers</t>
  </si>
  <si>
    <t>To ensure social protection and education outcomes</t>
  </si>
  <si>
    <t>Upgrading of vehicle test station</t>
  </si>
  <si>
    <t>Procurement of AARTO equipment’s</t>
  </si>
  <si>
    <t>Procurement of office cleaning equipment’s</t>
  </si>
  <si>
    <t>Computerized Learners license</t>
  </si>
  <si>
    <t>Procurement of 2 X Metro counters (law enforcement)</t>
  </si>
  <si>
    <t>Procurement of 7 X Pro-laser 4 Speed equipment’s</t>
  </si>
  <si>
    <t>Licensing eye testing equipment’s.</t>
  </si>
  <si>
    <t>Upgrading of Logistics offices</t>
  </si>
  <si>
    <t xml:space="preserve">Construction of Traffic Law enforcement waiting area </t>
  </si>
  <si>
    <t>Construction of Licenses waiting area</t>
  </si>
  <si>
    <t>Construction of steel parking shelters at Traffic and Licenses</t>
  </si>
  <si>
    <t>Grass cutting equipment’s</t>
  </si>
  <si>
    <t>To ensure the provision of basic and environmental services in a sustainable way to our communities</t>
  </si>
  <si>
    <t>Upgrading of Security at Game Reserve</t>
  </si>
  <si>
    <t>Upgrading of Environ-mental Education Centre</t>
  </si>
  <si>
    <t>Development of Ablution facilities at Various Municipal Parks</t>
  </si>
  <si>
    <t>Upgrading of municipal nursery ( cooling system and construction of propagation bed)</t>
  </si>
  <si>
    <t>Greening programme</t>
  </si>
  <si>
    <t>Refurbishment of water fountain at Civic Centre (Head office)</t>
  </si>
  <si>
    <t xml:space="preserve">Provision of access control equipment </t>
  </si>
  <si>
    <t xml:space="preserve">Installation of  fibre network /CCTV cameras </t>
  </si>
  <si>
    <t>9, 10,16, 33 &amp; 34</t>
  </si>
  <si>
    <t>Provision two way radios</t>
  </si>
  <si>
    <t>Provision of  electronic Bio metric Access Control Systems</t>
  </si>
  <si>
    <t>Supply of flags</t>
  </si>
  <si>
    <t>Supply and installation of prohibited signs</t>
  </si>
  <si>
    <t>30 m3 skip containers</t>
  </si>
  <si>
    <t>1,2,3,4,5</t>
  </si>
  <si>
    <t>Extension of landfill site(Weltevrede)</t>
  </si>
  <si>
    <t>240 litre bins</t>
  </si>
  <si>
    <t>6 &amp;9 M3 Skip containers</t>
  </si>
  <si>
    <t>Rural transfer Station(Molepo ) (Construction, Guard house. Paving , dumping area and Fencing)</t>
  </si>
  <si>
    <t>Control  No dumping Boards</t>
  </si>
  <si>
    <t>Seshego transfer station</t>
  </si>
  <si>
    <t xml:space="preserve">Westernburg Transfer Station </t>
  </si>
  <si>
    <t xml:space="preserve">Building plans for  Mankweng transfer station </t>
  </si>
  <si>
    <t>Purchase of Educational  and Awareness equipment</t>
  </si>
  <si>
    <t>Grass Cutting equipment</t>
  </si>
  <si>
    <t>Upgrading of Tibane  Stadium</t>
  </si>
  <si>
    <t>Procurement of Conference Table and Chairs  for (Peter Mokaba Basement Boardroom)</t>
  </si>
  <si>
    <t>EXT 44/78 Sports and Recreation Facility</t>
  </si>
  <si>
    <t>Upgrading of  Mankweng Stadium</t>
  </si>
  <si>
    <t>Construction of an RDP Combo Sport Complex at Molepo Area</t>
  </si>
  <si>
    <t>Upgrading of Mohlonong stadium</t>
  </si>
  <si>
    <t xml:space="preserve">Molepo Cluster </t>
  </si>
  <si>
    <t>Construction of Sebayeng / Dikgale Sport Complex</t>
  </si>
  <si>
    <t>Construction of  Softball stadium in City Cluster</t>
  </si>
  <si>
    <t xml:space="preserve">Sebayeng / Dikgale Cluster </t>
  </si>
  <si>
    <t xml:space="preserve">Construction of  soccer field  at Moletjie </t>
  </si>
  <si>
    <t>moletjie</t>
  </si>
  <si>
    <t>Collection development -books</t>
  </si>
  <si>
    <t>New exhibition Irish House</t>
  </si>
  <si>
    <t>Pur-chase of Art works</t>
  </si>
  <si>
    <t xml:space="preserve">Purchase of Office Furniture </t>
  </si>
  <si>
    <t>Purchase of Bakone Malapa beds for staff village</t>
  </si>
  <si>
    <t>Re- thatching of staff village at Bakone Malapa</t>
  </si>
  <si>
    <t>Provision of Laptops, PCs and Peripheral Devices</t>
  </si>
  <si>
    <t>Implementation  of ICT Strategy</t>
  </si>
  <si>
    <t>Network Upgrade</t>
  </si>
  <si>
    <t>Township establishment at Farm Volgestruisfontein 667 LS</t>
  </si>
  <si>
    <t>Township establishment – Aganang extension 1</t>
  </si>
  <si>
    <t xml:space="preserve">Township establishment at portion 151-160 of the Farm Sterkloop 688 LS. </t>
  </si>
  <si>
    <t>Acquisition of strategically located land or erven/ Farms</t>
  </si>
  <si>
    <t>Implementation of the ICM program (IUDF) precint plan</t>
  </si>
  <si>
    <t xml:space="preserve">Township Establishment for the Eco-estate at Game Reserve </t>
  </si>
  <si>
    <t>Mixed use development on the land adjacent to the Municipal Airport and Stadium</t>
  </si>
  <si>
    <t xml:space="preserve">Establishment of Arts and Cultural HUB at Bakoni Malapa </t>
  </si>
  <si>
    <t>Upgrading of the R293 area Townships</t>
  </si>
  <si>
    <t>Land Acquisition for Aganang Township)</t>
  </si>
  <si>
    <t>Development of GIS Application</t>
  </si>
  <si>
    <t xml:space="preserve">Development of the Industrial Park or Special Economic Zone </t>
  </si>
  <si>
    <t xml:space="preserve">Seshego, Sebayeng and Mankweng </t>
  </si>
  <si>
    <t>Upgrading of stores facility</t>
  </si>
  <si>
    <t>Acquistion of Fleet</t>
  </si>
  <si>
    <t>Municipal Furniture and Office Equipment</t>
  </si>
  <si>
    <t>PT facility upgrade</t>
  </si>
  <si>
    <t>Upgrad &amp; constr of Trunk route 108/2017 WP1</t>
  </si>
  <si>
    <t>Construction of bus depot Civil works 108/2017 WP3</t>
  </si>
  <si>
    <t>Construction of bus station Civil works  108/2017 WP4</t>
  </si>
  <si>
    <t>Construction &amp; provision of Station Upperstructures</t>
  </si>
  <si>
    <t xml:space="preserve">Environmental Management Seshego &amp; SDA1 </t>
  </si>
  <si>
    <t xml:space="preserve">Environmental Management in Polokwane City </t>
  </si>
  <si>
    <t>Upgrade &amp; rehab of Trunk Ext in Seshego &amp; SDA1 109/2017</t>
  </si>
  <si>
    <t>Rehabilitation of Feeder Routes in Polokwane 110/2017</t>
  </si>
  <si>
    <t xml:space="preserve">Refurbishment of Bus Daytime Layover Facility </t>
  </si>
  <si>
    <t>Upgrading of Transit Mall</t>
  </si>
  <si>
    <t>Construction and upgrading of NMT facilities</t>
  </si>
  <si>
    <t>Construction &amp; provision of Bus Depot Upper structure in Seshego</t>
  </si>
  <si>
    <t xml:space="preserve">Occupational Health &amp; Safety (OHS) Management </t>
  </si>
  <si>
    <t>Upgrade &amp; rehab of Trunk Ext in Moletjie 109/2017</t>
  </si>
  <si>
    <t>Installation of aircon</t>
  </si>
  <si>
    <t>Mankweng  Traffic and Licensing Testing Centre</t>
  </si>
  <si>
    <t>City Traffic License</t>
  </si>
  <si>
    <t>Acquistion Water Tankers</t>
  </si>
  <si>
    <t>Acquistion of Fleet- Cherry Pickers</t>
  </si>
  <si>
    <t>Acquistion of Fleet- Refuse Tankers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</si>
</sst>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3" formatCode="_-* #,##0.00_-;\-* #,##0.00_-;_-* &quot;-&quot;??_-;_-@_-"/>
    <numFmt numFmtId="164" formatCode="_(* #,##0.00_);_(* \(#,##0.00\);_(* &quot;-&quot;??_);_(@_)"/>
    <numFmt numFmtId="165" formatCode="_ * #,##0.00_ ;_ * \-#,##0.00_ ;_ * &quot;-&quot;??_ ;_ @_ "/>
    <numFmt numFmtId="166" formatCode="_ * #,##0_ ;_ * \-#,##0_ ;_ * &quot;-&quot;??_ ;_ @_ "/>
    <numFmt numFmtId="167" formatCode="_ * #,##0.0_ ;_ * \-#,##0.0_ ;_ * &quot;-&quot;??_ ;_ @_ "/>
    <numFmt numFmtId="168" formatCode="0.0%"/>
    <numFmt numFmtId="169" formatCode="#,###,;\(#,###,\)"/>
    <numFmt numFmtId="170" formatCode="0.0"/>
    <numFmt numFmtId="171" formatCode="_(* #,##0,,_);_(* \(#,##0,,\);_(* &quot;–&quot;?_);_(@_)"/>
    <numFmt numFmtId="172" formatCode="_(* #,##0,_);_(* \(#,##0,\);_(* &quot;–&quot;?_);_(@_)"/>
    <numFmt numFmtId="173" formatCode="_(* #,##0_);_(* \(#,##0\);_(* &quot;–&quot;?_);_(@_)"/>
    <numFmt numFmtId="174" formatCode="0000"/>
  </numFmts>
  <fonts count="67" x14ac:knownFonts="1">
    <font>
      <sz val="10"/>
      <name val="Arial"/>
    </font>
    <font>
      <sz val="11"/>
      <color theme="1"/>
      <name val="Calibri"/>
      <family val="2"/>
      <scheme val="minor"/>
    </font>
    <font>
      <sz val="10"/>
      <name val="Arial"/>
      <family val="2"/>
    </font>
    <font>
      <u/>
      <sz val="10"/>
      <color indexed="12"/>
      <name val="Arial"/>
      <family val="2"/>
    </font>
    <font>
      <sz val="8"/>
      <name val="Arial"/>
      <family val="2"/>
    </font>
    <font>
      <sz val="10"/>
      <color indexed="9"/>
      <name val="Arial"/>
      <family val="2"/>
    </font>
    <font>
      <b/>
      <sz val="8"/>
      <color indexed="9"/>
      <name val="Arial"/>
      <family val="2"/>
    </font>
    <font>
      <b/>
      <sz val="8"/>
      <name val="Arial"/>
      <family val="2"/>
    </font>
    <font>
      <b/>
      <sz val="10"/>
      <name val="Arial Narrow"/>
      <family val="2"/>
    </font>
    <font>
      <sz val="8"/>
      <name val="Arial Narrow"/>
      <family val="2"/>
    </font>
    <font>
      <b/>
      <sz val="8"/>
      <name val="Arial Narrow"/>
      <family val="2"/>
    </font>
    <font>
      <b/>
      <u/>
      <sz val="8"/>
      <name val="Arial Narrow"/>
      <family val="2"/>
    </font>
    <font>
      <b/>
      <i/>
      <sz val="8"/>
      <name val="Arial Narrow"/>
      <family val="2"/>
    </font>
    <font>
      <i/>
      <sz val="8"/>
      <name val="Arial Narrow"/>
      <family val="2"/>
    </font>
    <font>
      <i/>
      <u/>
      <sz val="8"/>
      <name val="Arial Narrow"/>
      <family val="2"/>
    </font>
    <font>
      <u/>
      <sz val="8"/>
      <name val="Arial Narrow"/>
      <family val="2"/>
    </font>
    <font>
      <i/>
      <sz val="8"/>
      <color indexed="10"/>
      <name val="Arial Narrow"/>
      <family val="2"/>
    </font>
    <font>
      <b/>
      <i/>
      <u/>
      <sz val="8"/>
      <name val="Arial Narrow"/>
      <family val="2"/>
    </font>
    <font>
      <sz val="8"/>
      <color indexed="41"/>
      <name val="Arial Narrow"/>
      <family val="2"/>
    </font>
    <font>
      <sz val="10"/>
      <name val="Arial Narrow"/>
      <family val="2"/>
    </font>
    <font>
      <b/>
      <sz val="8"/>
      <color indexed="81"/>
      <name val="Tahoma"/>
      <family val="2"/>
    </font>
    <font>
      <sz val="8"/>
      <color indexed="81"/>
      <name val="Tahoma"/>
      <family val="2"/>
    </font>
    <font>
      <b/>
      <sz val="14"/>
      <color indexed="10"/>
      <name val="Arial"/>
      <family val="2"/>
    </font>
    <font>
      <sz val="8"/>
      <color indexed="9"/>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Arial"/>
      <family val="2"/>
    </font>
    <font>
      <sz val="10"/>
      <name val="Arial"/>
      <family val="2"/>
    </font>
    <font>
      <i/>
      <sz val="8"/>
      <name val="Arial"/>
      <family val="2"/>
    </font>
    <font>
      <b/>
      <sz val="10"/>
      <color indexed="8"/>
      <name val="Arial Narrow"/>
      <family val="2"/>
    </font>
    <font>
      <sz val="8"/>
      <color indexed="8"/>
      <name val="Arial Narrow"/>
      <family val="2"/>
    </font>
    <font>
      <b/>
      <sz val="8"/>
      <color indexed="8"/>
      <name val="Arial Narrow"/>
      <family val="2"/>
    </font>
    <font>
      <i/>
      <sz val="8"/>
      <color indexed="8"/>
      <name val="Arial Narrow"/>
      <family val="2"/>
    </font>
    <font>
      <b/>
      <u/>
      <sz val="8"/>
      <color indexed="8"/>
      <name val="Arial Narrow"/>
      <family val="2"/>
    </font>
    <font>
      <sz val="10"/>
      <color indexed="8"/>
      <name val="Arial"/>
      <family val="2"/>
    </font>
    <font>
      <i/>
      <u/>
      <sz val="8"/>
      <color indexed="8"/>
      <name val="Arial Narrow"/>
      <family val="2"/>
    </font>
    <font>
      <b/>
      <sz val="11"/>
      <name val="Arial Narrow"/>
      <family val="2"/>
    </font>
    <font>
      <b/>
      <sz val="10"/>
      <name val="Arial"/>
      <family val="2"/>
    </font>
    <font>
      <sz val="10"/>
      <name val="Arial"/>
      <family val="2"/>
    </font>
    <font>
      <b/>
      <i/>
      <sz val="10"/>
      <name val="Arial"/>
      <family val="2"/>
    </font>
    <font>
      <b/>
      <i/>
      <sz val="8"/>
      <name val="Arial"/>
      <family val="2"/>
    </font>
    <font>
      <b/>
      <sz val="9"/>
      <name val="Arial Narrow"/>
      <family val="2"/>
    </font>
    <font>
      <sz val="9"/>
      <name val="Arial Narrow"/>
      <family val="2"/>
    </font>
    <font>
      <sz val="10"/>
      <color indexed="8"/>
      <name val="Arial Narrow"/>
      <family val="2"/>
    </font>
    <font>
      <u/>
      <sz val="10"/>
      <color indexed="12"/>
      <name val="Arial Narrow"/>
      <family val="2"/>
    </font>
    <font>
      <sz val="11"/>
      <color theme="1"/>
      <name val="Calibri"/>
      <family val="2"/>
      <scheme val="minor"/>
    </font>
    <font>
      <b/>
      <i/>
      <sz val="10"/>
      <color theme="0"/>
      <name val="Arial"/>
      <family val="2"/>
    </font>
    <font>
      <b/>
      <i/>
      <u/>
      <sz val="8"/>
      <color theme="0"/>
      <name val="Arial"/>
      <family val="2"/>
    </font>
    <font>
      <i/>
      <sz val="8"/>
      <color theme="0"/>
      <name val="Arial"/>
      <family val="2"/>
    </font>
    <font>
      <b/>
      <i/>
      <sz val="8"/>
      <color theme="0"/>
      <name val="Arial"/>
      <family val="2"/>
    </font>
    <font>
      <b/>
      <sz val="8"/>
      <color rgb="FFFF0000"/>
      <name val="Arial Narrow"/>
      <family val="2"/>
    </font>
    <font>
      <sz val="10"/>
      <color rgb="FF000000"/>
      <name val="Arial"/>
      <family val="2"/>
    </font>
  </fonts>
  <fills count="4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41"/>
        <bgColor indexed="64"/>
      </patternFill>
    </fill>
    <fill>
      <patternFill patternType="solid">
        <fgColor indexed="22"/>
        <bgColor indexed="64"/>
      </patternFill>
    </fill>
    <fill>
      <patternFill patternType="solid">
        <fgColor indexed="48"/>
        <bgColor indexed="64"/>
      </patternFill>
    </fill>
    <fill>
      <patternFill patternType="solid">
        <fgColor indexed="15"/>
        <bgColor indexed="64"/>
      </patternFill>
    </fill>
    <fill>
      <patternFill patternType="solid">
        <fgColor indexed="20"/>
        <bgColor indexed="64"/>
      </patternFill>
    </fill>
    <fill>
      <patternFill patternType="solid">
        <fgColor indexed="13"/>
        <bgColor indexed="64"/>
      </patternFill>
    </fill>
    <fill>
      <patternFill patternType="solid">
        <fgColor indexed="51"/>
        <bgColor indexed="64"/>
      </patternFill>
    </fill>
    <fill>
      <patternFill patternType="solid">
        <fgColor indexed="44"/>
        <bgColor indexed="64"/>
      </patternFill>
    </fill>
    <fill>
      <patternFill patternType="solid">
        <fgColor indexed="45"/>
        <bgColor indexed="64"/>
      </patternFill>
    </fill>
    <fill>
      <patternFill patternType="solid">
        <fgColor indexed="40"/>
        <bgColor indexed="64"/>
      </patternFill>
    </fill>
    <fill>
      <patternFill patternType="solid">
        <fgColor indexed="42"/>
        <bgColor indexed="64"/>
      </patternFill>
    </fill>
    <fill>
      <patternFill patternType="solid">
        <fgColor rgb="FFFFFF99"/>
        <bgColor indexed="64"/>
      </patternFill>
    </fill>
    <fill>
      <patternFill patternType="solid">
        <fgColor rgb="FF002060"/>
        <bgColor indexed="64"/>
      </patternFill>
    </fill>
    <fill>
      <patternFill patternType="solid">
        <fgColor theme="0"/>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rgb="FFFFFF00"/>
        <bgColor indexed="64"/>
      </patternFill>
    </fill>
  </fills>
  <borders count="10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bottom/>
      <diagonal/>
    </border>
    <border>
      <left/>
      <right/>
      <top/>
      <bottom style="thin">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hair">
        <color indexed="64"/>
      </top>
      <bottom/>
      <diagonal/>
    </border>
    <border>
      <left/>
      <right style="hair">
        <color indexed="64"/>
      </right>
      <top/>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right/>
      <top style="thin">
        <color indexed="64"/>
      </top>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style="hair">
        <color indexed="64"/>
      </right>
      <top/>
      <bottom style="hair">
        <color indexed="64"/>
      </bottom>
      <diagonal/>
    </border>
    <border>
      <left/>
      <right style="thin">
        <color indexed="64"/>
      </right>
      <top style="hair">
        <color indexed="64"/>
      </top>
      <bottom style="thin">
        <color indexed="64"/>
      </bottom>
      <diagonal/>
    </border>
    <border>
      <left/>
      <right style="hair">
        <color indexed="64"/>
      </right>
      <top style="thin">
        <color indexed="64"/>
      </top>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double">
        <color indexed="64"/>
      </bottom>
      <diagonal/>
    </border>
    <border>
      <left style="thin">
        <color indexed="64"/>
      </left>
      <right/>
      <top style="thick">
        <color indexed="64"/>
      </top>
      <bottom/>
      <diagonal/>
    </border>
    <border>
      <left/>
      <right style="thin">
        <color indexed="64"/>
      </right>
      <top style="thick">
        <color indexed="64"/>
      </top>
      <bottom/>
      <diagonal/>
    </border>
    <border>
      <left/>
      <right style="hair">
        <color indexed="64"/>
      </right>
      <top style="thin">
        <color indexed="64"/>
      </top>
      <bottom style="thin">
        <color indexed="64"/>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style="thin">
        <color indexed="64"/>
      </top>
      <bottom style="hair">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bottom style="thick">
        <color indexed="64"/>
      </bottom>
      <diagonal/>
    </border>
    <border>
      <left/>
      <right style="thin">
        <color indexed="64"/>
      </right>
      <top/>
      <bottom style="thick">
        <color indexed="64"/>
      </bottom>
      <diagonal/>
    </border>
    <border>
      <left/>
      <right/>
      <top style="thin">
        <color indexed="64"/>
      </top>
      <bottom style="hair">
        <color indexed="64"/>
      </bottom>
      <diagonal/>
    </border>
  </borders>
  <cellStyleXfs count="55">
    <xf numFmtId="0" fontId="0"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3" borderId="0" applyNumberFormat="0" applyBorder="0" applyAlignment="0" applyProtection="0"/>
    <xf numFmtId="0" fontId="27" fillId="20" borderId="1" applyNumberFormat="0" applyAlignment="0" applyProtection="0"/>
    <xf numFmtId="0" fontId="28" fillId="21" borderId="2" applyNumberFormat="0" applyAlignment="0" applyProtection="0"/>
    <xf numFmtId="164"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29" fillId="0" borderId="0" applyNumberFormat="0" applyFill="0" applyBorder="0" applyAlignment="0" applyProtection="0"/>
    <xf numFmtId="0" fontId="30" fillId="4" borderId="0" applyNumberFormat="0" applyBorder="0" applyAlignment="0" applyProtection="0"/>
    <xf numFmtId="0" fontId="31" fillId="0" borderId="3" applyNumberFormat="0" applyFill="0" applyAlignment="0" applyProtection="0"/>
    <xf numFmtId="0" fontId="32" fillId="0" borderId="4" applyNumberFormat="0" applyFill="0" applyAlignment="0" applyProtection="0"/>
    <xf numFmtId="0" fontId="33" fillId="0" borderId="5" applyNumberFormat="0" applyFill="0" applyAlignment="0" applyProtection="0"/>
    <xf numFmtId="0" fontId="33" fillId="0" borderId="0" applyNumberFormat="0" applyFill="0" applyBorder="0" applyAlignment="0" applyProtection="0"/>
    <xf numFmtId="0" fontId="3" fillId="0" borderId="0" applyNumberFormat="0" applyFill="0" applyBorder="0" applyAlignment="0" applyProtection="0">
      <alignment vertical="top"/>
      <protection locked="0"/>
    </xf>
    <xf numFmtId="0" fontId="52" fillId="0" borderId="0" applyNumberFormat="0" applyFont="0" applyFill="0" applyBorder="0" applyAlignment="0" applyProtection="0">
      <alignment vertical="top"/>
      <protection locked="0"/>
    </xf>
    <xf numFmtId="0" fontId="34" fillId="7" borderId="1" applyNumberFormat="0" applyAlignment="0" applyProtection="0"/>
    <xf numFmtId="0" fontId="35" fillId="0" borderId="6" applyNumberFormat="0" applyFill="0" applyAlignment="0" applyProtection="0"/>
    <xf numFmtId="0" fontId="36" fillId="22" borderId="0" applyNumberFormat="0" applyBorder="0" applyAlignment="0" applyProtection="0"/>
    <xf numFmtId="0" fontId="2" fillId="0" borderId="0"/>
    <xf numFmtId="0" fontId="60" fillId="0" borderId="0"/>
    <xf numFmtId="0" fontId="2" fillId="0" borderId="0"/>
    <xf numFmtId="0" fontId="2" fillId="23" borderId="7" applyNumberFormat="0" applyFont="0" applyAlignment="0" applyProtection="0"/>
    <xf numFmtId="0" fontId="37" fillId="20" borderId="8" applyNumberFormat="0" applyAlignment="0" applyProtection="0"/>
    <xf numFmtId="9" fontId="2" fillId="0" borderId="0" applyFont="0" applyFill="0" applyBorder="0" applyAlignment="0" applyProtection="0"/>
    <xf numFmtId="9" fontId="53" fillId="0" borderId="0" applyFont="0" applyFill="0" applyBorder="0" applyAlignment="0" applyProtection="0"/>
    <xf numFmtId="9" fontId="2" fillId="0" borderId="0" applyFont="0" applyFill="0" applyBorder="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xf numFmtId="0" fontId="1" fillId="0" borderId="0"/>
    <xf numFmtId="43" fontId="1" fillId="0" borderId="0" applyFont="0" applyFill="0" applyBorder="0" applyAlignment="0" applyProtection="0"/>
  </cellStyleXfs>
  <cellXfs count="1460">
    <xf numFmtId="0" fontId="0" fillId="0" borderId="0" xfId="0"/>
    <xf numFmtId="0" fontId="7" fillId="0" borderId="0" xfId="0" applyFont="1"/>
    <xf numFmtId="0" fontId="4" fillId="0" borderId="0" xfId="0" applyFont="1" applyProtection="1"/>
    <xf numFmtId="0" fontId="8" fillId="0" borderId="10" xfId="0" applyFont="1" applyFill="1" applyBorder="1" applyAlignment="1"/>
    <xf numFmtId="0" fontId="9" fillId="0" borderId="11" xfId="0" applyFont="1" applyBorder="1" applyAlignment="1"/>
    <xf numFmtId="0" fontId="9" fillId="0" borderId="0" xfId="0" applyFont="1"/>
    <xf numFmtId="0" fontId="10" fillId="0" borderId="12" xfId="0" applyFont="1" applyFill="1" applyBorder="1" applyAlignment="1">
      <alignment vertical="center" wrapText="1"/>
    </xf>
    <xf numFmtId="0" fontId="10" fillId="0" borderId="13" xfId="0" applyFont="1" applyFill="1" applyBorder="1" applyAlignment="1">
      <alignment vertical="center" wrapText="1"/>
    </xf>
    <xf numFmtId="0" fontId="10" fillId="0" borderId="14" xfId="0" applyFont="1" applyFill="1" applyBorder="1" applyAlignment="1">
      <alignment horizontal="center" vertical="center"/>
    </xf>
    <xf numFmtId="0" fontId="10" fillId="0" borderId="15" xfId="0" applyFont="1" applyFill="1" applyBorder="1" applyAlignment="1">
      <alignment horizontal="center" vertical="center" wrapText="1"/>
    </xf>
    <xf numFmtId="0" fontId="10" fillId="0" borderId="16" xfId="0" applyFont="1" applyFill="1" applyBorder="1" applyAlignment="1">
      <alignment horizontal="center" vertical="center" wrapText="1"/>
    </xf>
    <xf numFmtId="9" fontId="10" fillId="0" borderId="16" xfId="47" applyFont="1" applyFill="1" applyBorder="1" applyAlignment="1">
      <alignment horizontal="center" vertical="center" wrapText="1"/>
    </xf>
    <xf numFmtId="9" fontId="10" fillId="0" borderId="17" xfId="47" applyFont="1" applyFill="1" applyBorder="1" applyAlignment="1">
      <alignment horizontal="center" vertical="center" wrapText="1"/>
    </xf>
    <xf numFmtId="9" fontId="10" fillId="0" borderId="18" xfId="47"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21" xfId="0" applyFont="1" applyFill="1" applyBorder="1" applyAlignment="1">
      <alignment horizontal="center" vertical="center" wrapText="1"/>
    </xf>
    <xf numFmtId="0" fontId="9" fillId="0" borderId="22" xfId="0" applyFont="1" applyFill="1" applyBorder="1" applyAlignment="1">
      <alignment horizontal="center" vertical="center" wrapText="1"/>
    </xf>
    <xf numFmtId="0" fontId="10" fillId="0" borderId="23" xfId="0" applyFont="1" applyFill="1" applyBorder="1" applyAlignment="1">
      <alignment horizontal="left" vertical="center"/>
    </xf>
    <xf numFmtId="0" fontId="9" fillId="0" borderId="24" xfId="0" applyFont="1" applyFill="1" applyBorder="1" applyAlignment="1">
      <alignment horizontal="center" vertical="center"/>
    </xf>
    <xf numFmtId="0" fontId="9" fillId="0" borderId="25" xfId="0" applyFont="1" applyBorder="1" applyAlignment="1">
      <alignment horizontal="center"/>
    </xf>
    <xf numFmtId="0" fontId="9" fillId="0" borderId="25" xfId="0" applyFont="1" applyFill="1" applyBorder="1" applyAlignment="1">
      <alignment horizontal="center" vertical="center"/>
    </xf>
    <xf numFmtId="9" fontId="9" fillId="0" borderId="25" xfId="47" applyFont="1" applyFill="1" applyBorder="1" applyAlignment="1">
      <alignment horizontal="center" vertical="center"/>
    </xf>
    <xf numFmtId="9" fontId="9" fillId="0" borderId="26" xfId="47" applyFont="1" applyFill="1" applyBorder="1" applyAlignment="1">
      <alignment horizontal="center" vertical="center"/>
    </xf>
    <xf numFmtId="9" fontId="9" fillId="0" borderId="27" xfId="47" applyFont="1" applyFill="1" applyBorder="1" applyAlignment="1">
      <alignment horizontal="center" vertical="center"/>
    </xf>
    <xf numFmtId="0" fontId="11" fillId="0" borderId="28" xfId="0" applyFont="1" applyFill="1" applyBorder="1"/>
    <xf numFmtId="171" fontId="9" fillId="0" borderId="29" xfId="0" applyNumberFormat="1" applyFont="1" applyFill="1" applyBorder="1"/>
    <xf numFmtId="171" fontId="9" fillId="0" borderId="30" xfId="0" applyNumberFormat="1" applyFont="1" applyBorder="1"/>
    <xf numFmtId="171" fontId="9" fillId="0" borderId="31" xfId="0" applyNumberFormat="1" applyFont="1" applyBorder="1"/>
    <xf numFmtId="171" fontId="9" fillId="0" borderId="32" xfId="0" applyNumberFormat="1" applyFont="1" applyBorder="1"/>
    <xf numFmtId="0" fontId="9" fillId="0" borderId="10" xfId="0" applyFont="1" applyFill="1" applyBorder="1" applyAlignment="1">
      <alignment horizontal="left" indent="1"/>
    </xf>
    <xf numFmtId="171" fontId="9" fillId="0" borderId="19" xfId="0" applyNumberFormat="1" applyFont="1" applyBorder="1"/>
    <xf numFmtId="171" fontId="9" fillId="0" borderId="20" xfId="0" applyNumberFormat="1" applyFont="1" applyBorder="1"/>
    <xf numFmtId="171" fontId="9" fillId="0" borderId="21" xfId="0" applyNumberFormat="1" applyFont="1" applyBorder="1"/>
    <xf numFmtId="171" fontId="9" fillId="0" borderId="22" xfId="0" applyNumberFormat="1" applyFont="1" applyBorder="1"/>
    <xf numFmtId="171" fontId="9" fillId="0" borderId="19" xfId="0" applyNumberFormat="1" applyFont="1" applyFill="1" applyBorder="1"/>
    <xf numFmtId="0" fontId="9" fillId="0" borderId="14" xfId="0" applyFont="1" applyFill="1" applyBorder="1" applyAlignment="1">
      <alignment horizontal="left" indent="1"/>
    </xf>
    <xf numFmtId="0" fontId="12" fillId="0" borderId="14" xfId="0" applyFont="1" applyFill="1" applyBorder="1"/>
    <xf numFmtId="0" fontId="10" fillId="0" borderId="14" xfId="0" applyFont="1" applyFill="1" applyBorder="1"/>
    <xf numFmtId="0" fontId="9" fillId="0" borderId="14" xfId="0" applyFont="1" applyFill="1" applyBorder="1"/>
    <xf numFmtId="0" fontId="10" fillId="0" borderId="14" xfId="0" applyFont="1" applyFill="1" applyBorder="1" applyAlignment="1">
      <alignment vertical="top" wrapText="1"/>
    </xf>
    <xf numFmtId="0" fontId="9" fillId="0" borderId="10" xfId="0" applyFont="1" applyFill="1" applyBorder="1" applyAlignment="1">
      <alignment horizontal="left" wrapText="1" indent="1"/>
    </xf>
    <xf numFmtId="0" fontId="9" fillId="0" borderId="23" xfId="0" applyFont="1" applyFill="1" applyBorder="1"/>
    <xf numFmtId="171" fontId="9" fillId="0" borderId="24" xfId="0" applyNumberFormat="1" applyFont="1" applyBorder="1"/>
    <xf numFmtId="171" fontId="9" fillId="0" borderId="25" xfId="0" applyNumberFormat="1" applyFont="1" applyBorder="1"/>
    <xf numFmtId="171" fontId="9" fillId="0" borderId="26" xfId="0" applyNumberFormat="1" applyFont="1" applyBorder="1"/>
    <xf numFmtId="171" fontId="9" fillId="0" borderId="27" xfId="0" applyNumberFormat="1" applyFont="1" applyBorder="1"/>
    <xf numFmtId="171" fontId="9" fillId="0" borderId="29" xfId="0" applyNumberFormat="1" applyFont="1" applyBorder="1"/>
    <xf numFmtId="0" fontId="9" fillId="0" borderId="0" xfId="0" applyFont="1" applyBorder="1"/>
    <xf numFmtId="0" fontId="10" fillId="0" borderId="23" xfId="0" applyFont="1" applyFill="1" applyBorder="1"/>
    <xf numFmtId="0" fontId="9" fillId="0" borderId="10" xfId="0" applyFont="1" applyFill="1" applyBorder="1"/>
    <xf numFmtId="0" fontId="10" fillId="0" borderId="10" xfId="0" applyFont="1" applyFill="1" applyBorder="1"/>
    <xf numFmtId="0" fontId="11" fillId="0" borderId="10" xfId="0" applyFont="1" applyFill="1" applyBorder="1"/>
    <xf numFmtId="169" fontId="10" fillId="0" borderId="0" xfId="0" applyNumberFormat="1" applyFont="1" applyBorder="1"/>
    <xf numFmtId="0" fontId="9" fillId="0" borderId="0" xfId="0" applyFont="1" applyBorder="1" applyAlignment="1">
      <alignment vertical="top" wrapText="1"/>
    </xf>
    <xf numFmtId="0" fontId="9" fillId="0" borderId="10" xfId="0" applyFont="1" applyFill="1" applyBorder="1" applyAlignment="1">
      <alignment horizontal="left" indent="2"/>
    </xf>
    <xf numFmtId="171" fontId="9" fillId="0" borderId="24" xfId="0" applyNumberFormat="1" applyFont="1" applyFill="1" applyBorder="1"/>
    <xf numFmtId="0" fontId="8" fillId="0" borderId="0" xfId="0" applyFont="1" applyFill="1" applyBorder="1" applyAlignment="1">
      <alignment horizontal="left"/>
    </xf>
    <xf numFmtId="0" fontId="9" fillId="0" borderId="0" xfId="0" applyFont="1" applyAlignment="1">
      <alignment horizontal="center"/>
    </xf>
    <xf numFmtId="0" fontId="10" fillId="0" borderId="28" xfId="0" applyFont="1" applyFill="1" applyBorder="1" applyAlignment="1">
      <alignment horizontal="center" vertical="center"/>
    </xf>
    <xf numFmtId="0" fontId="10" fillId="0" borderId="33" xfId="0" applyFont="1" applyFill="1" applyBorder="1" applyAlignment="1">
      <alignment vertical="center" wrapText="1"/>
    </xf>
    <xf numFmtId="0" fontId="10" fillId="0" borderId="34" xfId="0" applyFont="1" applyFill="1" applyBorder="1" applyAlignment="1">
      <alignment vertical="center" wrapText="1"/>
    </xf>
    <xf numFmtId="0" fontId="10" fillId="0" borderId="35"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3" fillId="0" borderId="10" xfId="0" applyFont="1" applyFill="1" applyBorder="1" applyAlignment="1">
      <alignment horizontal="center" vertical="center"/>
    </xf>
    <xf numFmtId="0" fontId="9" fillId="0" borderId="36" xfId="0" applyFont="1" applyFill="1" applyBorder="1" applyAlignment="1">
      <alignment horizontal="center" vertical="center" wrapText="1"/>
    </xf>
    <xf numFmtId="0" fontId="10" fillId="0" borderId="37" xfId="0" applyFont="1" applyFill="1" applyBorder="1" applyAlignment="1">
      <alignment horizontal="left" vertical="center"/>
    </xf>
    <xf numFmtId="0" fontId="9" fillId="0" borderId="38" xfId="0" applyFont="1" applyFill="1" applyBorder="1" applyAlignment="1">
      <alignment horizontal="center" vertical="center"/>
    </xf>
    <xf numFmtId="0" fontId="9" fillId="0" borderId="39" xfId="0" applyFont="1" applyBorder="1" applyAlignment="1">
      <alignment horizontal="center"/>
    </xf>
    <xf numFmtId="0" fontId="9" fillId="0" borderId="39" xfId="0" applyFont="1" applyFill="1" applyBorder="1" applyAlignment="1">
      <alignment horizontal="center" vertical="center"/>
    </xf>
    <xf numFmtId="9" fontId="9" fillId="0" borderId="39" xfId="47" applyFont="1" applyFill="1" applyBorder="1" applyAlignment="1">
      <alignment horizontal="center" vertical="center"/>
    </xf>
    <xf numFmtId="9" fontId="9" fillId="0" borderId="40" xfId="47" applyFont="1" applyFill="1" applyBorder="1" applyAlignment="1">
      <alignment horizontal="center" vertical="center"/>
    </xf>
    <xf numFmtId="0" fontId="11" fillId="0" borderId="14" xfId="0" applyFont="1" applyBorder="1"/>
    <xf numFmtId="0" fontId="9" fillId="0" borderId="14" xfId="0" applyFont="1" applyBorder="1" applyAlignment="1">
      <alignment horizontal="center"/>
    </xf>
    <xf numFmtId="172" fontId="9" fillId="0" borderId="36" xfId="0" applyNumberFormat="1" applyFont="1" applyBorder="1"/>
    <xf numFmtId="172" fontId="9" fillId="0" borderId="20" xfId="0" applyNumberFormat="1" applyFont="1" applyBorder="1"/>
    <xf numFmtId="172" fontId="9" fillId="0" borderId="22" xfId="0" applyNumberFormat="1" applyFont="1" applyBorder="1"/>
    <xf numFmtId="0" fontId="10" fillId="0" borderId="0" xfId="0" applyFont="1" applyBorder="1" applyAlignment="1">
      <alignment horizontal="center"/>
    </xf>
    <xf numFmtId="0" fontId="10" fillId="0" borderId="41" xfId="0" applyFont="1" applyBorder="1"/>
    <xf numFmtId="0" fontId="9" fillId="0" borderId="41" xfId="0" applyFont="1" applyBorder="1" applyAlignment="1">
      <alignment horizontal="center"/>
    </xf>
    <xf numFmtId="172" fontId="10" fillId="0" borderId="42" xfId="0" applyNumberFormat="1" applyFont="1" applyBorder="1"/>
    <xf numFmtId="172" fontId="10" fillId="0" borderId="43" xfId="0" applyNumberFormat="1" applyFont="1" applyBorder="1"/>
    <xf numFmtId="172" fontId="10" fillId="0" borderId="44" xfId="0" applyNumberFormat="1" applyFont="1" applyBorder="1"/>
    <xf numFmtId="0" fontId="9" fillId="0" borderId="14" xfId="0" applyFont="1" applyBorder="1"/>
    <xf numFmtId="169" fontId="9" fillId="0" borderId="0" xfId="0" applyNumberFormat="1" applyFont="1" applyBorder="1"/>
    <xf numFmtId="0" fontId="9" fillId="0" borderId="14" xfId="0" applyFont="1" applyBorder="1" applyAlignment="1">
      <alignment horizontal="left" indent="1"/>
    </xf>
    <xf numFmtId="169" fontId="9" fillId="0" borderId="0" xfId="0" applyNumberFormat="1" applyFont="1" applyFill="1" applyBorder="1"/>
    <xf numFmtId="0" fontId="10" fillId="0" borderId="45" xfId="0" applyFont="1" applyBorder="1"/>
    <xf numFmtId="0" fontId="9" fillId="0" borderId="45" xfId="0" applyFont="1" applyBorder="1" applyAlignment="1">
      <alignment horizontal="center"/>
    </xf>
    <xf numFmtId="172" fontId="10" fillId="0" borderId="24" xfId="0" applyNumberFormat="1" applyFont="1" applyBorder="1"/>
    <xf numFmtId="172" fontId="10" fillId="0" borderId="25" xfId="0" applyNumberFormat="1" applyFont="1" applyBorder="1"/>
    <xf numFmtId="172" fontId="10" fillId="0" borderId="27" xfId="0" applyNumberFormat="1" applyFont="1" applyBorder="1"/>
    <xf numFmtId="0" fontId="14" fillId="0" borderId="46" xfId="0" applyFont="1" applyBorder="1"/>
    <xf numFmtId="0" fontId="13" fillId="0" borderId="0" xfId="0" applyFont="1" applyBorder="1" applyAlignment="1">
      <alignment horizontal="center"/>
    </xf>
    <xf numFmtId="169" fontId="12" fillId="0" borderId="0" xfId="0" applyNumberFormat="1" applyFont="1" applyFill="1" applyBorder="1"/>
    <xf numFmtId="0" fontId="13" fillId="0" borderId="0" xfId="0" quotePrefix="1" applyFont="1" applyBorder="1"/>
    <xf numFmtId="169" fontId="12" fillId="0" borderId="0" xfId="0" applyNumberFormat="1" applyFont="1" applyBorder="1"/>
    <xf numFmtId="0" fontId="13" fillId="0" borderId="0" xfId="0" applyFont="1" applyBorder="1" applyAlignment="1">
      <alignment horizontal="left"/>
    </xf>
    <xf numFmtId="0" fontId="13" fillId="0" borderId="0" xfId="0" applyFont="1" applyBorder="1" applyAlignment="1">
      <alignment horizontal="left" vertical="top" wrapText="1"/>
    </xf>
    <xf numFmtId="0" fontId="13" fillId="0" borderId="0" xfId="0" applyFont="1" applyBorder="1"/>
    <xf numFmtId="0" fontId="13" fillId="0" borderId="0" xfId="0" applyFont="1" applyBorder="1" applyAlignment="1">
      <alignment vertical="top" wrapText="1"/>
    </xf>
    <xf numFmtId="0" fontId="13" fillId="0" borderId="0" xfId="0" applyFont="1" applyBorder="1" applyAlignment="1">
      <alignment horizontal="right"/>
    </xf>
    <xf numFmtId="166" fontId="9" fillId="0" borderId="0" xfId="30" applyNumberFormat="1" applyFont="1"/>
    <xf numFmtId="0" fontId="10" fillId="0" borderId="47" xfId="0" applyFont="1" applyFill="1" applyBorder="1" applyAlignment="1">
      <alignment vertical="center" wrapText="1"/>
    </xf>
    <xf numFmtId="0" fontId="9" fillId="0" borderId="48" xfId="0" applyFont="1" applyFill="1" applyBorder="1" applyAlignment="1">
      <alignment horizontal="center" vertical="center"/>
    </xf>
    <xf numFmtId="0" fontId="9" fillId="0" borderId="49" xfId="0" applyFont="1" applyBorder="1" applyAlignment="1">
      <alignment horizontal="center"/>
    </xf>
    <xf numFmtId="172" fontId="9" fillId="0" borderId="15" xfId="0" applyNumberFormat="1" applyFont="1" applyBorder="1"/>
    <xf numFmtId="0" fontId="12" fillId="0" borderId="10" xfId="0" applyNumberFormat="1" applyFont="1" applyFill="1" applyBorder="1" applyAlignment="1" applyProtection="1">
      <alignment horizontal="left" indent="1"/>
    </xf>
    <xf numFmtId="0" fontId="9" fillId="0" borderId="10" xfId="0" applyNumberFormat="1" applyFont="1" applyFill="1" applyBorder="1" applyAlignment="1" applyProtection="1">
      <alignment horizontal="left" indent="2"/>
    </xf>
    <xf numFmtId="172" fontId="9" fillId="24" borderId="20" xfId="0" applyNumberFormat="1" applyFont="1" applyFill="1" applyBorder="1" applyProtection="1">
      <protection locked="0"/>
    </xf>
    <xf numFmtId="172" fontId="9" fillId="24" borderId="22" xfId="0" applyNumberFormat="1" applyFont="1" applyFill="1" applyBorder="1" applyProtection="1">
      <protection locked="0"/>
    </xf>
    <xf numFmtId="172" fontId="9" fillId="24" borderId="20" xfId="30" applyNumberFormat="1" applyFont="1" applyFill="1" applyBorder="1" applyProtection="1">
      <protection locked="0"/>
    </xf>
    <xf numFmtId="172" fontId="9" fillId="24" borderId="22" xfId="30" applyNumberFormat="1" applyFont="1" applyFill="1" applyBorder="1" applyProtection="1">
      <protection locked="0"/>
    </xf>
    <xf numFmtId="172" fontId="9" fillId="24" borderId="40" xfId="0" applyNumberFormat="1" applyFont="1" applyFill="1" applyBorder="1" applyProtection="1">
      <protection locked="0"/>
    </xf>
    <xf numFmtId="172" fontId="10" fillId="25" borderId="42" xfId="0" applyNumberFormat="1" applyFont="1" applyFill="1" applyBorder="1"/>
    <xf numFmtId="0" fontId="15" fillId="0" borderId="14" xfId="0" applyFont="1" applyBorder="1" applyAlignment="1">
      <alignment horizontal="center"/>
    </xf>
    <xf numFmtId="172" fontId="10" fillId="0" borderId="50" xfId="0" applyNumberFormat="1" applyFont="1" applyBorder="1"/>
    <xf numFmtId="172" fontId="10" fillId="0" borderId="51" xfId="0" applyNumberFormat="1" applyFont="1" applyBorder="1"/>
    <xf numFmtId="172" fontId="10" fillId="0" borderId="52" xfId="0" applyNumberFormat="1" applyFont="1" applyBorder="1"/>
    <xf numFmtId="0" fontId="14" fillId="0" borderId="0" xfId="0" applyFont="1" applyBorder="1" applyAlignment="1">
      <alignment horizontal="left"/>
    </xf>
    <xf numFmtId="0" fontId="13" fillId="0" borderId="0" xfId="0" applyFont="1" applyBorder="1" applyProtection="1"/>
    <xf numFmtId="0" fontId="9" fillId="0" borderId="0" xfId="0" applyFont="1" applyBorder="1" applyAlignment="1">
      <alignment horizontal="center"/>
    </xf>
    <xf numFmtId="0" fontId="13" fillId="0" borderId="10" xfId="0" applyFont="1" applyBorder="1" applyAlignment="1">
      <alignment horizontal="right"/>
    </xf>
    <xf numFmtId="166" fontId="13" fillId="0" borderId="0" xfId="30" applyNumberFormat="1" applyFont="1" applyBorder="1" applyAlignment="1">
      <alignment horizontal="right"/>
    </xf>
    <xf numFmtId="0" fontId="9" fillId="0" borderId="45" xfId="0" applyFont="1" applyFill="1" applyBorder="1" applyAlignment="1">
      <alignment horizontal="center" vertical="center"/>
    </xf>
    <xf numFmtId="0" fontId="9" fillId="0" borderId="53" xfId="0" applyFont="1" applyFill="1" applyBorder="1" applyAlignment="1">
      <alignment horizontal="center" vertical="center"/>
    </xf>
    <xf numFmtId="0" fontId="11" fillId="0" borderId="10" xfId="0" applyFont="1" applyBorder="1"/>
    <xf numFmtId="172" fontId="9" fillId="0" borderId="36" xfId="0" applyNumberFormat="1" applyFont="1" applyFill="1" applyBorder="1"/>
    <xf numFmtId="0" fontId="9" fillId="0" borderId="0" xfId="0" applyFont="1" applyFill="1"/>
    <xf numFmtId="0" fontId="9" fillId="0" borderId="10" xfId="0" applyFont="1" applyBorder="1" applyAlignment="1">
      <alignment horizontal="left" indent="1"/>
    </xf>
    <xf numFmtId="172" fontId="9" fillId="24" borderId="36" xfId="0" applyNumberFormat="1" applyFont="1" applyFill="1" applyBorder="1" applyProtection="1">
      <protection locked="0"/>
    </xf>
    <xf numFmtId="172" fontId="9" fillId="0" borderId="36" xfId="0" applyNumberFormat="1" applyFont="1" applyFill="1" applyBorder="1" applyProtection="1"/>
    <xf numFmtId="172" fontId="9" fillId="0" borderId="20" xfId="0" applyNumberFormat="1" applyFont="1" applyFill="1" applyBorder="1" applyProtection="1"/>
    <xf numFmtId="172" fontId="9" fillId="0" borderId="22" xfId="0" applyNumberFormat="1" applyFont="1" applyFill="1" applyBorder="1" applyProtection="1"/>
    <xf numFmtId="169" fontId="9" fillId="0" borderId="0" xfId="0" applyNumberFormat="1" applyFont="1" applyFill="1"/>
    <xf numFmtId="0" fontId="10" fillId="0" borderId="10" xfId="0" applyFont="1" applyBorder="1" applyAlignment="1">
      <alignment wrapText="1"/>
    </xf>
    <xf numFmtId="0" fontId="9" fillId="0" borderId="10" xfId="0" applyFont="1" applyBorder="1"/>
    <xf numFmtId="0" fontId="9" fillId="0" borderId="14" xfId="0" applyFont="1" applyFill="1" applyBorder="1" applyAlignment="1">
      <alignment horizontal="center"/>
    </xf>
    <xf numFmtId="172" fontId="9" fillId="0" borderId="20" xfId="0" applyNumberFormat="1" applyFont="1" applyBorder="1" applyProtection="1"/>
    <xf numFmtId="0" fontId="10" fillId="0" borderId="10" xfId="0" applyFont="1" applyBorder="1"/>
    <xf numFmtId="172" fontId="10" fillId="0" borderId="36" xfId="0" applyNumberFormat="1" applyFont="1" applyBorder="1"/>
    <xf numFmtId="172" fontId="10" fillId="0" borderId="20" xfId="0" applyNumberFormat="1" applyFont="1" applyBorder="1"/>
    <xf numFmtId="172" fontId="10" fillId="0" borderId="22" xfId="0" applyNumberFormat="1" applyFont="1" applyBorder="1"/>
    <xf numFmtId="172" fontId="9" fillId="24" borderId="38" xfId="0" applyNumberFormat="1" applyFont="1" applyFill="1" applyBorder="1" applyProtection="1">
      <protection locked="0"/>
    </xf>
    <xf numFmtId="172" fontId="9" fillId="24" borderId="39" xfId="0" applyNumberFormat="1" applyFont="1" applyFill="1" applyBorder="1" applyProtection="1">
      <protection locked="0"/>
    </xf>
    <xf numFmtId="172" fontId="9" fillId="0" borderId="39" xfId="0" applyNumberFormat="1" applyFont="1" applyBorder="1"/>
    <xf numFmtId="172" fontId="10" fillId="0" borderId="36" xfId="0" applyNumberFormat="1" applyFont="1" applyBorder="1" applyAlignment="1">
      <alignment vertical="top"/>
    </xf>
    <xf numFmtId="172" fontId="10" fillId="0" borderId="20" xfId="0" applyNumberFormat="1" applyFont="1" applyBorder="1" applyAlignment="1">
      <alignment vertical="top"/>
    </xf>
    <xf numFmtId="172" fontId="10" fillId="0" borderId="22" xfId="0" applyNumberFormat="1" applyFont="1" applyBorder="1" applyAlignment="1">
      <alignment vertical="top"/>
    </xf>
    <xf numFmtId="0" fontId="10" fillId="0" borderId="14" xfId="0" applyFont="1" applyBorder="1" applyAlignment="1">
      <alignment horizontal="center"/>
    </xf>
    <xf numFmtId="172" fontId="10" fillId="0" borderId="35" xfId="0" applyNumberFormat="1" applyFont="1" applyBorder="1"/>
    <xf numFmtId="172" fontId="10" fillId="0" borderId="16" xfId="0" applyNumberFormat="1" applyFont="1" applyBorder="1"/>
    <xf numFmtId="172" fontId="10" fillId="0" borderId="18" xfId="0" applyNumberFormat="1" applyFont="1" applyBorder="1"/>
    <xf numFmtId="0" fontId="9" fillId="0" borderId="37" xfId="0" applyFont="1" applyBorder="1" applyAlignment="1">
      <alignment horizontal="left" wrapText="1" indent="1"/>
    </xf>
    <xf numFmtId="0" fontId="9" fillId="0" borderId="48" xfId="0" applyFont="1" applyBorder="1" applyAlignment="1">
      <alignment horizontal="center"/>
    </xf>
    <xf numFmtId="0" fontId="10" fillId="0" borderId="54" xfId="0" applyFont="1" applyBorder="1"/>
    <xf numFmtId="0" fontId="9" fillId="0" borderId="55" xfId="0" applyFont="1" applyBorder="1" applyAlignment="1">
      <alignment horizontal="center"/>
    </xf>
    <xf numFmtId="172" fontId="10" fillId="0" borderId="56" xfId="0" applyNumberFormat="1" applyFont="1" applyBorder="1"/>
    <xf numFmtId="0" fontId="14" fillId="0" borderId="0" xfId="0" applyFont="1" applyBorder="1"/>
    <xf numFmtId="0" fontId="13" fillId="0" borderId="0" xfId="0" applyFont="1" applyFill="1" applyBorder="1"/>
    <xf numFmtId="0" fontId="13" fillId="0" borderId="0" xfId="0" applyFont="1" applyFill="1" applyBorder="1" applyAlignment="1">
      <alignment horizontal="center"/>
    </xf>
    <xf numFmtId="0" fontId="10" fillId="0" borderId="48" xfId="0" applyFont="1" applyBorder="1"/>
    <xf numFmtId="0" fontId="10" fillId="0" borderId="57" xfId="0" applyFont="1" applyBorder="1"/>
    <xf numFmtId="0" fontId="9" fillId="0" borderId="10" xfId="0" applyFont="1" applyBorder="1" applyAlignment="1">
      <alignment horizontal="left" indent="2"/>
    </xf>
    <xf numFmtId="0" fontId="10" fillId="0" borderId="10" xfId="0" applyFont="1" applyFill="1" applyBorder="1" applyAlignment="1">
      <alignment horizontal="left" indent="1"/>
    </xf>
    <xf numFmtId="0" fontId="10" fillId="0" borderId="10" xfId="0" applyFont="1" applyBorder="1" applyAlignment="1">
      <alignment horizontal="left" indent="1"/>
    </xf>
    <xf numFmtId="0" fontId="13" fillId="0" borderId="0" xfId="0" quotePrefix="1" applyFont="1" applyBorder="1" applyAlignment="1">
      <alignment horizontal="left" wrapText="1"/>
    </xf>
    <xf numFmtId="165" fontId="9" fillId="0" borderId="0" xfId="30" applyFont="1"/>
    <xf numFmtId="169" fontId="9" fillId="0" borderId="0" xfId="0" applyNumberFormat="1" applyFont="1"/>
    <xf numFmtId="0" fontId="10" fillId="0" borderId="33" xfId="0" applyFont="1" applyFill="1" applyBorder="1" applyAlignment="1">
      <alignment horizontal="centerContinuous" vertical="center" wrapText="1"/>
    </xf>
    <xf numFmtId="0" fontId="10" fillId="0" borderId="34" xfId="0" applyFont="1" applyFill="1" applyBorder="1" applyAlignment="1">
      <alignment horizontal="centerContinuous" vertical="center" wrapText="1"/>
    </xf>
    <xf numFmtId="172" fontId="9" fillId="0" borderId="20" xfId="0" applyNumberFormat="1" applyFont="1" applyFill="1" applyBorder="1"/>
    <xf numFmtId="172" fontId="9" fillId="0" borderId="36" xfId="0" applyNumberFormat="1" applyFont="1" applyFill="1" applyBorder="1" applyProtection="1">
      <protection locked="0"/>
    </xf>
    <xf numFmtId="172" fontId="9" fillId="0" borderId="20" xfId="0" applyNumberFormat="1" applyFont="1" applyFill="1" applyBorder="1" applyProtection="1">
      <protection locked="0"/>
    </xf>
    <xf numFmtId="172" fontId="9" fillId="0" borderId="22" xfId="0" applyNumberFormat="1" applyFont="1" applyFill="1" applyBorder="1" applyProtection="1">
      <protection locked="0"/>
    </xf>
    <xf numFmtId="0" fontId="9" fillId="0" borderId="23" xfId="0" applyFont="1" applyBorder="1" applyAlignment="1">
      <alignment horizontal="left" indent="1"/>
    </xf>
    <xf numFmtId="172" fontId="9" fillId="0" borderId="53" xfId="0" applyNumberFormat="1" applyFont="1" applyBorder="1"/>
    <xf numFmtId="172" fontId="9" fillId="0" borderId="25" xfId="0" applyNumberFormat="1" applyFont="1" applyBorder="1"/>
    <xf numFmtId="172" fontId="9" fillId="0" borderId="27" xfId="0" applyNumberFormat="1" applyFont="1" applyBorder="1"/>
    <xf numFmtId="172" fontId="13" fillId="0" borderId="0" xfId="0" applyNumberFormat="1" applyFont="1" applyBorder="1"/>
    <xf numFmtId="165" fontId="13" fillId="0" borderId="0" xfId="30" applyFont="1" applyBorder="1" applyAlignment="1">
      <alignment horizontal="right"/>
    </xf>
    <xf numFmtId="165" fontId="9" fillId="0" borderId="0" xfId="30" applyFont="1" applyBorder="1"/>
    <xf numFmtId="3" fontId="9" fillId="0" borderId="0" xfId="0" applyNumberFormat="1" applyFont="1" applyBorder="1"/>
    <xf numFmtId="0" fontId="8" fillId="0" borderId="0" xfId="0" applyFont="1" applyFill="1" applyBorder="1" applyAlignment="1" applyProtection="1">
      <alignment horizontal="left"/>
    </xf>
    <xf numFmtId="0" fontId="9" fillId="0" borderId="0" xfId="0" applyFont="1" applyProtection="1"/>
    <xf numFmtId="0" fontId="9" fillId="0" borderId="0" xfId="0" applyFont="1" applyAlignment="1" applyProtection="1">
      <alignment horizontal="center"/>
    </xf>
    <xf numFmtId="0" fontId="10" fillId="0" borderId="47" xfId="0" applyFont="1" applyFill="1" applyBorder="1" applyAlignment="1" applyProtection="1">
      <alignment vertical="center" wrapText="1"/>
    </xf>
    <xf numFmtId="0" fontId="10" fillId="0" borderId="34" xfId="0" applyFont="1" applyFill="1" applyBorder="1" applyAlignment="1" applyProtection="1">
      <alignment vertical="center" wrapText="1"/>
    </xf>
    <xf numFmtId="0" fontId="10" fillId="0" borderId="35" xfId="0" applyFont="1" applyFill="1" applyBorder="1" applyAlignment="1" applyProtection="1">
      <alignment horizontal="center" vertical="center" wrapText="1"/>
    </xf>
    <xf numFmtId="0" fontId="10" fillId="0" borderId="16" xfId="0" applyFont="1" applyFill="1" applyBorder="1" applyAlignment="1" applyProtection="1">
      <alignment horizontal="center" vertical="center" wrapText="1"/>
    </xf>
    <xf numFmtId="9" fontId="10" fillId="0" borderId="16" xfId="47" applyFont="1" applyFill="1" applyBorder="1" applyAlignment="1" applyProtection="1">
      <alignment horizontal="center" vertical="center" wrapText="1"/>
    </xf>
    <xf numFmtId="9" fontId="10" fillId="0" borderId="18" xfId="47" applyFont="1" applyFill="1" applyBorder="1" applyAlignment="1" applyProtection="1">
      <alignment horizontal="center" vertical="center" wrapText="1"/>
    </xf>
    <xf numFmtId="0" fontId="9" fillId="0" borderId="36" xfId="0" applyFont="1" applyFill="1" applyBorder="1" applyAlignment="1" applyProtection="1">
      <alignment horizontal="center" vertical="center" wrapText="1"/>
    </xf>
    <xf numFmtId="0" fontId="9" fillId="0" borderId="20" xfId="0" applyFont="1" applyFill="1" applyBorder="1" applyAlignment="1" applyProtection="1">
      <alignment horizontal="center" vertical="center" wrapText="1"/>
    </xf>
    <xf numFmtId="0" fontId="9" fillId="0" borderId="22" xfId="0" applyFont="1" applyFill="1" applyBorder="1" applyAlignment="1" applyProtection="1">
      <alignment horizontal="center" vertical="center" wrapText="1"/>
    </xf>
    <xf numFmtId="0" fontId="10" fillId="0" borderId="48" xfId="0" applyFont="1" applyFill="1" applyBorder="1" applyAlignment="1" applyProtection="1">
      <alignment horizontal="left" vertical="center"/>
    </xf>
    <xf numFmtId="0" fontId="9" fillId="0" borderId="48" xfId="0" applyFont="1" applyFill="1" applyBorder="1" applyAlignment="1" applyProtection="1">
      <alignment horizontal="center" vertical="center"/>
    </xf>
    <xf numFmtId="0" fontId="9" fillId="0" borderId="38" xfId="0" applyFont="1" applyFill="1" applyBorder="1" applyAlignment="1" applyProtection="1">
      <alignment horizontal="center" vertical="center"/>
    </xf>
    <xf numFmtId="0" fontId="9" fillId="0" borderId="39" xfId="0" applyFont="1" applyBorder="1" applyAlignment="1" applyProtection="1">
      <alignment horizontal="center"/>
    </xf>
    <xf numFmtId="0" fontId="9" fillId="0" borderId="39" xfId="0" applyFont="1" applyFill="1" applyBorder="1" applyAlignment="1" applyProtection="1">
      <alignment horizontal="center" vertical="center"/>
    </xf>
    <xf numFmtId="9" fontId="9" fillId="0" borderId="39" xfId="47" applyFont="1" applyFill="1" applyBorder="1" applyAlignment="1" applyProtection="1">
      <alignment horizontal="center" vertical="center"/>
    </xf>
    <xf numFmtId="9" fontId="9" fillId="0" borderId="40" xfId="47" applyFont="1" applyFill="1" applyBorder="1" applyAlignment="1" applyProtection="1">
      <alignment horizontal="center" vertical="center"/>
    </xf>
    <xf numFmtId="0" fontId="11" fillId="0" borderId="14" xfId="0" applyFont="1" applyBorder="1" applyProtection="1"/>
    <xf numFmtId="0" fontId="9" fillId="0" borderId="14" xfId="0" applyFont="1" applyFill="1" applyBorder="1" applyAlignment="1" applyProtection="1">
      <alignment horizontal="center"/>
    </xf>
    <xf numFmtId="172" fontId="9" fillId="0" borderId="36" xfId="0" applyNumberFormat="1" applyFont="1" applyBorder="1" applyProtection="1"/>
    <xf numFmtId="172" fontId="9" fillId="0" borderId="22" xfId="0" applyNumberFormat="1" applyFont="1" applyBorder="1" applyProtection="1"/>
    <xf numFmtId="0" fontId="9" fillId="0" borderId="14" xfId="0" applyFont="1" applyBorder="1" applyAlignment="1" applyProtection="1">
      <alignment horizontal="left" indent="1"/>
    </xf>
    <xf numFmtId="0" fontId="10" fillId="0" borderId="41" xfId="0" applyFont="1" applyBorder="1" applyProtection="1"/>
    <xf numFmtId="0" fontId="9" fillId="0" borderId="41" xfId="0" applyFont="1" applyBorder="1" applyAlignment="1" applyProtection="1">
      <alignment horizontal="center"/>
    </xf>
    <xf numFmtId="172" fontId="10" fillId="0" borderId="42" xfId="0" applyNumberFormat="1" applyFont="1" applyBorder="1" applyProtection="1"/>
    <xf numFmtId="172" fontId="10" fillId="0" borderId="43" xfId="0" applyNumberFormat="1" applyFont="1" applyBorder="1" applyProtection="1"/>
    <xf numFmtId="172" fontId="10" fillId="0" borderId="44" xfId="0" applyNumberFormat="1" applyFont="1" applyBorder="1" applyProtection="1"/>
    <xf numFmtId="0" fontId="9" fillId="0" borderId="14" xfId="0" applyFont="1" applyBorder="1" applyProtection="1"/>
    <xf numFmtId="0" fontId="10" fillId="0" borderId="55" xfId="0" applyFont="1" applyBorder="1" applyProtection="1"/>
    <xf numFmtId="0" fontId="9" fillId="0" borderId="55" xfId="0" applyFont="1" applyBorder="1" applyAlignment="1" applyProtection="1">
      <alignment horizontal="center"/>
    </xf>
    <xf numFmtId="172" fontId="10" fillId="0" borderId="56" xfId="0" applyNumberFormat="1" applyFont="1" applyBorder="1" applyProtection="1"/>
    <xf numFmtId="172" fontId="10" fillId="0" borderId="51" xfId="0" applyNumberFormat="1" applyFont="1" applyBorder="1" applyProtection="1"/>
    <xf numFmtId="172" fontId="10" fillId="0" borderId="52" xfId="0" applyNumberFormat="1" applyFont="1" applyBorder="1" applyProtection="1"/>
    <xf numFmtId="0" fontId="14" fillId="0" borderId="0" xfId="0" applyFont="1" applyBorder="1" applyProtection="1"/>
    <xf numFmtId="169" fontId="13" fillId="0" borderId="0" xfId="0" applyNumberFormat="1" applyFont="1" applyBorder="1" applyProtection="1"/>
    <xf numFmtId="0" fontId="9" fillId="0" borderId="0" xfId="0" applyFont="1" applyBorder="1" applyProtection="1"/>
    <xf numFmtId="0" fontId="13" fillId="0" borderId="0" xfId="0" quotePrefix="1" applyFont="1" applyFill="1" applyBorder="1" applyProtection="1"/>
    <xf numFmtId="0" fontId="15" fillId="0" borderId="0" xfId="0" applyFont="1" applyFill="1" applyBorder="1" applyProtection="1"/>
    <xf numFmtId="0" fontId="17" fillId="0" borderId="0" xfId="0" applyFont="1" applyProtection="1"/>
    <xf numFmtId="169" fontId="9" fillId="0" borderId="0" xfId="0" applyNumberFormat="1" applyFont="1" applyFill="1" applyBorder="1" applyProtection="1"/>
    <xf numFmtId="0" fontId="9" fillId="0" borderId="0" xfId="0" applyFont="1" applyFill="1" applyBorder="1" applyProtection="1"/>
    <xf numFmtId="9" fontId="9" fillId="0" borderId="0" xfId="47" applyFont="1" applyBorder="1" applyAlignment="1" applyProtection="1">
      <alignment horizontal="center"/>
    </xf>
    <xf numFmtId="0" fontId="14" fillId="0" borderId="0" xfId="0" applyFont="1" applyFill="1" applyBorder="1" applyProtection="1"/>
    <xf numFmtId="0" fontId="15" fillId="0" borderId="0" xfId="0" applyFont="1" applyBorder="1" applyProtection="1"/>
    <xf numFmtId="0" fontId="9" fillId="0" borderId="0" xfId="0" applyFont="1" applyFill="1" applyBorder="1" applyProtection="1">
      <protection locked="0"/>
    </xf>
    <xf numFmtId="169" fontId="9" fillId="24" borderId="0" xfId="0" applyNumberFormat="1" applyFont="1" applyFill="1" applyBorder="1" applyProtection="1">
      <protection locked="0"/>
    </xf>
    <xf numFmtId="0" fontId="9" fillId="24" borderId="0" xfId="0" applyFont="1" applyFill="1" applyBorder="1" applyProtection="1">
      <protection locked="0"/>
    </xf>
    <xf numFmtId="0" fontId="9" fillId="0" borderId="0" xfId="0" applyFont="1" applyBorder="1" applyAlignment="1" applyProtection="1">
      <alignment horizontal="center"/>
    </xf>
    <xf numFmtId="0" fontId="11" fillId="0" borderId="10" xfId="0" applyFont="1" applyBorder="1" applyAlignment="1">
      <alignment horizontal="left" indent="1"/>
    </xf>
    <xf numFmtId="0" fontId="11" fillId="0" borderId="10" xfId="0" applyNumberFormat="1" applyFont="1" applyFill="1" applyBorder="1" applyAlignment="1">
      <alignment horizontal="left" indent="1"/>
    </xf>
    <xf numFmtId="172" fontId="9" fillId="0" borderId="22" xfId="0" applyNumberFormat="1" applyFont="1" applyFill="1" applyBorder="1"/>
    <xf numFmtId="172" fontId="10" fillId="0" borderId="58" xfId="0" applyNumberFormat="1" applyFont="1" applyBorder="1"/>
    <xf numFmtId="172" fontId="10" fillId="0" borderId="39" xfId="0" applyNumberFormat="1" applyFont="1" applyBorder="1"/>
    <xf numFmtId="172" fontId="10" fillId="0" borderId="40" xfId="0" applyNumberFormat="1" applyFont="1" applyBorder="1"/>
    <xf numFmtId="172" fontId="10" fillId="0" borderId="59" xfId="0" applyNumberFormat="1" applyFont="1" applyBorder="1"/>
    <xf numFmtId="172" fontId="9" fillId="0" borderId="19" xfId="0" applyNumberFormat="1" applyFont="1" applyBorder="1"/>
    <xf numFmtId="0" fontId="12" fillId="0" borderId="10" xfId="0" applyNumberFormat="1" applyFont="1" applyBorder="1"/>
    <xf numFmtId="168" fontId="13" fillId="0" borderId="19" xfId="47" applyNumberFormat="1" applyFont="1" applyFill="1" applyBorder="1" applyAlignment="1">
      <alignment horizontal="center" vertical="top" wrapText="1"/>
    </xf>
    <xf numFmtId="168" fontId="13" fillId="0" borderId="20" xfId="47" applyNumberFormat="1" applyFont="1" applyFill="1" applyBorder="1" applyAlignment="1">
      <alignment horizontal="center" vertical="top" wrapText="1"/>
    </xf>
    <xf numFmtId="168" fontId="13" fillId="26" borderId="20" xfId="47" applyNumberFormat="1" applyFont="1" applyFill="1" applyBorder="1" applyAlignment="1">
      <alignment horizontal="center" vertical="top" wrapText="1"/>
    </xf>
    <xf numFmtId="168" fontId="13" fillId="0" borderId="22" xfId="47" applyNumberFormat="1" applyFont="1" applyFill="1" applyBorder="1" applyAlignment="1">
      <alignment horizontal="center" vertical="top" wrapText="1"/>
    </xf>
    <xf numFmtId="0" fontId="12" fillId="0" borderId="11" xfId="0" applyNumberFormat="1" applyFont="1" applyBorder="1"/>
    <xf numFmtId="168" fontId="13" fillId="0" borderId="24" xfId="47" applyNumberFormat="1" applyFont="1" applyFill="1" applyBorder="1" applyAlignment="1">
      <alignment horizontal="center" vertical="top" wrapText="1"/>
    </xf>
    <xf numFmtId="168" fontId="13" fillId="0" borderId="25" xfId="47" applyNumberFormat="1" applyFont="1" applyFill="1" applyBorder="1" applyAlignment="1">
      <alignment horizontal="center" vertical="top" wrapText="1"/>
    </xf>
    <xf numFmtId="168" fontId="13" fillId="26" borderId="25" xfId="47" applyNumberFormat="1" applyFont="1" applyFill="1" applyBorder="1" applyAlignment="1">
      <alignment horizontal="center" vertical="top" wrapText="1"/>
    </xf>
    <xf numFmtId="168" fontId="13" fillId="0" borderId="27" xfId="47" applyNumberFormat="1" applyFont="1" applyFill="1" applyBorder="1" applyAlignment="1">
      <alignment horizontal="center" vertical="top" wrapText="1"/>
    </xf>
    <xf numFmtId="0" fontId="9" fillId="0" borderId="0" xfId="0" applyFont="1" applyAlignment="1">
      <alignment horizontal="right"/>
    </xf>
    <xf numFmtId="172" fontId="9" fillId="0" borderId="0" xfId="0" applyNumberFormat="1" applyFont="1"/>
    <xf numFmtId="0" fontId="8" fillId="0" borderId="11" xfId="0" applyFont="1" applyFill="1" applyBorder="1" applyAlignment="1" applyProtection="1">
      <alignment horizontal="left"/>
    </xf>
    <xf numFmtId="0" fontId="19" fillId="0" borderId="0" xfId="0" applyFont="1" applyProtection="1"/>
    <xf numFmtId="0" fontId="11" fillId="0" borderId="10" xfId="0" applyNumberFormat="1" applyFont="1" applyBorder="1" applyProtection="1"/>
    <xf numFmtId="0" fontId="9" fillId="0" borderId="20" xfId="0" applyNumberFormat="1" applyFont="1" applyFill="1" applyBorder="1" applyAlignment="1" applyProtection="1">
      <alignment horizontal="center"/>
    </xf>
    <xf numFmtId="172" fontId="10" fillId="0" borderId="20" xfId="0" applyNumberFormat="1" applyFont="1" applyFill="1" applyBorder="1" applyProtection="1"/>
    <xf numFmtId="0" fontId="9" fillId="0" borderId="20" xfId="0" applyFont="1" applyBorder="1" applyProtection="1"/>
    <xf numFmtId="0" fontId="9" fillId="0" borderId="18" xfId="0" applyFont="1" applyBorder="1" applyProtection="1"/>
    <xf numFmtId="0" fontId="17" fillId="0" borderId="10" xfId="0" applyNumberFormat="1" applyFont="1" applyBorder="1" applyAlignment="1" applyProtection="1">
      <alignment horizontal="left"/>
    </xf>
    <xf numFmtId="0" fontId="9" fillId="0" borderId="22" xfId="0" applyFont="1" applyBorder="1" applyProtection="1"/>
    <xf numFmtId="0" fontId="9" fillId="0" borderId="10" xfId="0" applyNumberFormat="1" applyFont="1" applyBorder="1" applyAlignment="1" applyProtection="1">
      <alignment horizontal="left" indent="1"/>
    </xf>
    <xf numFmtId="0" fontId="9" fillId="24" borderId="20" xfId="0" applyFont="1" applyFill="1" applyBorder="1" applyProtection="1">
      <protection locked="0"/>
    </xf>
    <xf numFmtId="0" fontId="9" fillId="24" borderId="22" xfId="0" applyFont="1" applyFill="1" applyBorder="1" applyProtection="1">
      <protection locked="0"/>
    </xf>
    <xf numFmtId="172" fontId="9" fillId="0" borderId="16" xfId="0" applyNumberFormat="1" applyFont="1" applyFill="1" applyBorder="1" applyProtection="1"/>
    <xf numFmtId="172" fontId="9" fillId="0" borderId="18" xfId="0" applyNumberFormat="1" applyFont="1" applyFill="1" applyBorder="1" applyProtection="1"/>
    <xf numFmtId="172" fontId="9" fillId="0" borderId="43" xfId="0" applyNumberFormat="1" applyFont="1" applyFill="1" applyBorder="1" applyProtection="1"/>
    <xf numFmtId="172" fontId="9" fillId="0" borderId="44" xfId="0" applyNumberFormat="1" applyFont="1" applyFill="1" applyBorder="1" applyProtection="1"/>
    <xf numFmtId="0" fontId="10" fillId="0" borderId="10" xfId="0" applyNumberFormat="1" applyFont="1" applyBorder="1" applyAlignment="1" applyProtection="1">
      <alignment horizontal="left"/>
    </xf>
    <xf numFmtId="172" fontId="10" fillId="0" borderId="16" xfId="0" applyNumberFormat="1" applyFont="1" applyFill="1" applyBorder="1" applyProtection="1"/>
    <xf numFmtId="172" fontId="10" fillId="0" borderId="18" xfId="0" applyNumberFormat="1" applyFont="1" applyFill="1" applyBorder="1" applyProtection="1"/>
    <xf numFmtId="172" fontId="9" fillId="0" borderId="39" xfId="0" applyNumberFormat="1" applyFont="1" applyFill="1" applyBorder="1" applyProtection="1"/>
    <xf numFmtId="0" fontId="9" fillId="0" borderId="37" xfId="0" applyNumberFormat="1" applyFont="1" applyBorder="1" applyProtection="1"/>
    <xf numFmtId="0" fontId="9" fillId="0" borderId="39" xfId="0" applyNumberFormat="1" applyFont="1" applyFill="1" applyBorder="1" applyAlignment="1" applyProtection="1">
      <alignment horizontal="center"/>
    </xf>
    <xf numFmtId="172" fontId="9" fillId="0" borderId="40" xfId="0" applyNumberFormat="1" applyFont="1" applyFill="1" applyBorder="1" applyProtection="1"/>
    <xf numFmtId="0" fontId="9" fillId="0" borderId="58" xfId="0" applyNumberFormat="1" applyFont="1" applyBorder="1" applyAlignment="1" applyProtection="1">
      <alignment horizontal="left" indent="1"/>
    </xf>
    <xf numFmtId="0" fontId="9" fillId="0" borderId="10" xfId="0" applyNumberFormat="1" applyFont="1" applyBorder="1" applyProtection="1"/>
    <xf numFmtId="0" fontId="10" fillId="0" borderId="10" xfId="0" applyNumberFormat="1" applyFont="1" applyBorder="1" applyProtection="1"/>
    <xf numFmtId="0" fontId="9" fillId="0" borderId="58" xfId="0" applyNumberFormat="1" applyFont="1" applyBorder="1" applyProtection="1"/>
    <xf numFmtId="0" fontId="9" fillId="0" borderId="16" xfId="0" applyNumberFormat="1" applyFont="1" applyFill="1" applyBorder="1" applyAlignment="1" applyProtection="1">
      <alignment horizontal="center"/>
    </xf>
    <xf numFmtId="0" fontId="9" fillId="0" borderId="37" xfId="0" applyNumberFormat="1" applyFont="1" applyBorder="1" applyAlignment="1" applyProtection="1">
      <alignment horizontal="left" indent="1"/>
    </xf>
    <xf numFmtId="0" fontId="9" fillId="0" borderId="25" xfId="0" applyNumberFormat="1" applyFont="1" applyFill="1" applyBorder="1" applyAlignment="1" applyProtection="1">
      <alignment horizontal="center"/>
    </xf>
    <xf numFmtId="172" fontId="10" fillId="0" borderId="51" xfId="0" applyNumberFormat="1" applyFont="1" applyFill="1" applyBorder="1" applyProtection="1"/>
    <xf numFmtId="0" fontId="14" fillId="0" borderId="0" xfId="0" applyFont="1" applyProtection="1"/>
    <xf numFmtId="0" fontId="13" fillId="0" borderId="0" xfId="0" applyFont="1" applyProtection="1"/>
    <xf numFmtId="0" fontId="13" fillId="0" borderId="0" xfId="0" quotePrefix="1" applyFont="1" applyFill="1" applyBorder="1"/>
    <xf numFmtId="0" fontId="13" fillId="0" borderId="0" xfId="0" applyFont="1"/>
    <xf numFmtId="0" fontId="9" fillId="0" borderId="20" xfId="0" applyFont="1" applyBorder="1" applyAlignment="1">
      <alignment horizontal="center"/>
    </xf>
    <xf numFmtId="0" fontId="11" fillId="0" borderId="10" xfId="0" applyFont="1" applyFill="1" applyBorder="1" applyAlignment="1">
      <alignment horizontal="left"/>
    </xf>
    <xf numFmtId="0" fontId="10" fillId="0" borderId="37" xfId="0" applyFont="1" applyBorder="1" applyAlignment="1">
      <alignment horizontal="left" indent="1"/>
    </xf>
    <xf numFmtId="0" fontId="12" fillId="0" borderId="10" xfId="0" applyFont="1" applyBorder="1" applyAlignment="1">
      <alignment horizontal="right" indent="1"/>
    </xf>
    <xf numFmtId="0" fontId="15" fillId="0" borderId="10" xfId="0" applyFont="1" applyBorder="1" applyAlignment="1">
      <alignment horizontal="left" indent="1"/>
    </xf>
    <xf numFmtId="0" fontId="13" fillId="24" borderId="10" xfId="0" applyFont="1" applyFill="1" applyBorder="1" applyAlignment="1" applyProtection="1">
      <alignment horizontal="left" indent="1"/>
      <protection locked="0"/>
    </xf>
    <xf numFmtId="0" fontId="15" fillId="0" borderId="20" xfId="0" applyFont="1" applyBorder="1" applyAlignment="1">
      <alignment horizontal="center"/>
    </xf>
    <xf numFmtId="0" fontId="10" fillId="0" borderId="23" xfId="0" applyFont="1" applyBorder="1"/>
    <xf numFmtId="0" fontId="10" fillId="0" borderId="10" xfId="0" applyFont="1" applyFill="1" applyBorder="1" applyAlignment="1">
      <alignment horizontal="left" vertical="center"/>
    </xf>
    <xf numFmtId="0" fontId="9" fillId="0" borderId="14" xfId="0" applyFont="1" applyFill="1" applyBorder="1" applyAlignment="1">
      <alignment horizontal="center" vertical="center"/>
    </xf>
    <xf numFmtId="0" fontId="9" fillId="0" borderId="36" xfId="0" applyFont="1" applyFill="1" applyBorder="1" applyAlignment="1">
      <alignment horizontal="center" vertical="center"/>
    </xf>
    <xf numFmtId="0" fontId="9" fillId="0" borderId="20" xfId="0" applyFont="1" applyFill="1" applyBorder="1" applyAlignment="1">
      <alignment horizontal="center" vertical="center"/>
    </xf>
    <xf numFmtId="9" fontId="9" fillId="0" borderId="20" xfId="47" applyFont="1" applyFill="1" applyBorder="1" applyAlignment="1">
      <alignment horizontal="center" vertical="center"/>
    </xf>
    <xf numFmtId="9" fontId="9" fillId="0" borderId="22" xfId="47" applyFont="1" applyFill="1" applyBorder="1" applyAlignment="1">
      <alignment horizontal="center" vertical="center"/>
    </xf>
    <xf numFmtId="172" fontId="10" fillId="0" borderId="15" xfId="0" applyNumberFormat="1" applyFont="1" applyBorder="1"/>
    <xf numFmtId="0" fontId="10" fillId="0" borderId="37" xfId="0" applyFont="1" applyBorder="1"/>
    <xf numFmtId="0" fontId="13" fillId="0" borderId="10" xfId="0" applyFont="1" applyBorder="1" applyAlignment="1">
      <alignment horizontal="left" indent="1"/>
    </xf>
    <xf numFmtId="0" fontId="10" fillId="0" borderId="46" xfId="0" applyFont="1" applyFill="1" applyBorder="1"/>
    <xf numFmtId="0" fontId="9" fillId="0" borderId="46" xfId="0" applyFont="1" applyFill="1" applyBorder="1" applyAlignment="1">
      <alignment horizontal="center"/>
    </xf>
    <xf numFmtId="172" fontId="9" fillId="0" borderId="46" xfId="0" applyNumberFormat="1" applyFont="1" applyBorder="1"/>
    <xf numFmtId="172" fontId="9" fillId="24" borderId="24" xfId="0" applyNumberFormat="1" applyFont="1" applyFill="1" applyBorder="1" applyProtection="1">
      <protection locked="0"/>
    </xf>
    <xf numFmtId="172" fontId="9" fillId="24" borderId="25" xfId="0" applyNumberFormat="1" applyFont="1" applyFill="1" applyBorder="1" applyProtection="1">
      <protection locked="0"/>
    </xf>
    <xf numFmtId="172" fontId="9" fillId="24" borderId="27" xfId="0" applyNumberFormat="1" applyFont="1" applyFill="1" applyBorder="1" applyProtection="1">
      <protection locked="0"/>
    </xf>
    <xf numFmtId="0" fontId="13" fillId="0" borderId="0" xfId="0" applyFont="1" applyAlignment="1">
      <alignment horizontal="right"/>
    </xf>
    <xf numFmtId="165" fontId="9" fillId="0" borderId="0" xfId="30" applyFont="1" applyFill="1" applyBorder="1"/>
    <xf numFmtId="0" fontId="10" fillId="24" borderId="14" xfId="0" applyFont="1" applyFill="1" applyBorder="1" applyAlignment="1" applyProtection="1">
      <alignment horizontal="left" vertical="top" wrapText="1"/>
      <protection locked="0"/>
    </xf>
    <xf numFmtId="0" fontId="9" fillId="24" borderId="14" xfId="0" applyFont="1" applyFill="1" applyBorder="1" applyAlignment="1" applyProtection="1">
      <alignment horizontal="left" vertical="top" wrapText="1"/>
      <protection locked="0"/>
    </xf>
    <xf numFmtId="0" fontId="9" fillId="24" borderId="14" xfId="0" applyFont="1" applyFill="1" applyBorder="1" applyAlignment="1" applyProtection="1">
      <alignment horizontal="left" wrapText="1"/>
      <protection locked="0"/>
    </xf>
    <xf numFmtId="172" fontId="9" fillId="24" borderId="53" xfId="0" applyNumberFormat="1" applyFont="1" applyFill="1" applyBorder="1" applyProtection="1">
      <protection locked="0"/>
    </xf>
    <xf numFmtId="167" fontId="13" fillId="0" borderId="0" xfId="30" applyNumberFormat="1" applyFont="1" applyFill="1" applyBorder="1" applyAlignment="1">
      <alignment vertical="top" wrapText="1"/>
    </xf>
    <xf numFmtId="0" fontId="10" fillId="0" borderId="60" xfId="0" applyFont="1" applyFill="1" applyBorder="1" applyAlignment="1">
      <alignment horizontal="center" vertical="center" wrapText="1"/>
    </xf>
    <xf numFmtId="0" fontId="10" fillId="0" borderId="30"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10" fillId="0" borderId="61"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1" fillId="0" borderId="10" xfId="0" applyFont="1" applyBorder="1" applyAlignment="1">
      <alignment horizontal="left" wrapText="1"/>
    </xf>
    <xf numFmtId="0" fontId="9" fillId="0" borderId="14" xfId="0" applyFont="1" applyBorder="1" applyAlignment="1">
      <alignment horizontal="left" vertical="top" wrapText="1"/>
    </xf>
    <xf numFmtId="168" fontId="13" fillId="0" borderId="21" xfId="47" applyNumberFormat="1" applyFont="1" applyFill="1" applyBorder="1" applyAlignment="1">
      <alignment horizontal="center" vertical="top" wrapText="1"/>
    </xf>
    <xf numFmtId="0" fontId="9" fillId="0" borderId="10" xfId="0" applyFont="1" applyBorder="1" applyAlignment="1">
      <alignment horizontal="left" vertical="top" wrapText="1" indent="1"/>
    </xf>
    <xf numFmtId="168" fontId="9" fillId="24" borderId="20" xfId="47" applyNumberFormat="1" applyFont="1" applyFill="1" applyBorder="1" applyAlignment="1" applyProtection="1">
      <alignment horizontal="center" vertical="top" wrapText="1"/>
      <protection locked="0"/>
    </xf>
    <xf numFmtId="168" fontId="9" fillId="0" borderId="20" xfId="47" applyNumberFormat="1" applyFont="1" applyFill="1" applyBorder="1" applyAlignment="1">
      <alignment horizontal="center" vertical="top" wrapText="1"/>
    </xf>
    <xf numFmtId="168" fontId="9" fillId="0" borderId="21" xfId="47" applyNumberFormat="1" applyFont="1" applyFill="1" applyBorder="1" applyAlignment="1">
      <alignment horizontal="center" vertical="top" wrapText="1"/>
    </xf>
    <xf numFmtId="168" fontId="9" fillId="0" borderId="22" xfId="47" applyNumberFormat="1" applyFont="1" applyFill="1" applyBorder="1" applyAlignment="1">
      <alignment horizontal="center" vertical="top" wrapText="1"/>
    </xf>
    <xf numFmtId="168" fontId="9" fillId="24" borderId="19" xfId="47" applyNumberFormat="1" applyFont="1" applyFill="1" applyBorder="1" applyAlignment="1" applyProtection="1">
      <alignment horizontal="center" vertical="top" wrapText="1"/>
      <protection locked="0"/>
    </xf>
    <xf numFmtId="168" fontId="9" fillId="26" borderId="21" xfId="47" applyNumberFormat="1" applyFont="1" applyFill="1" applyBorder="1" applyAlignment="1">
      <alignment horizontal="center" vertical="top" wrapText="1"/>
    </xf>
    <xf numFmtId="168" fontId="9" fillId="26" borderId="22" xfId="47" applyNumberFormat="1" applyFont="1" applyFill="1" applyBorder="1" applyAlignment="1">
      <alignment horizontal="center" vertical="top" wrapText="1"/>
    </xf>
    <xf numFmtId="168" fontId="9" fillId="24" borderId="21" xfId="47" applyNumberFormat="1" applyFont="1" applyFill="1" applyBorder="1" applyAlignment="1" applyProtection="1">
      <alignment horizontal="center" vertical="top" wrapText="1"/>
      <protection locked="0"/>
    </xf>
    <xf numFmtId="168" fontId="9" fillId="24" borderId="22" xfId="47" applyNumberFormat="1" applyFont="1" applyFill="1" applyBorder="1" applyAlignment="1" applyProtection="1">
      <alignment horizontal="center" vertical="top" wrapText="1"/>
      <protection locked="0"/>
    </xf>
    <xf numFmtId="168" fontId="9" fillId="24" borderId="36" xfId="47" applyNumberFormat="1" applyFont="1" applyFill="1" applyBorder="1" applyAlignment="1" applyProtection="1">
      <alignment horizontal="center" vertical="top" wrapText="1"/>
      <protection locked="0"/>
    </xf>
    <xf numFmtId="0" fontId="15" fillId="0" borderId="0" xfId="0" applyFont="1" applyFill="1" applyBorder="1"/>
    <xf numFmtId="0" fontId="9" fillId="0" borderId="0" xfId="0" applyFont="1" applyFill="1" applyBorder="1"/>
    <xf numFmtId="168" fontId="9" fillId="0" borderId="0" xfId="0" applyNumberFormat="1" applyFont="1" applyFill="1" applyAlignment="1">
      <alignment horizontal="center"/>
    </xf>
    <xf numFmtId="172" fontId="9" fillId="0" borderId="0" xfId="0" applyNumberFormat="1" applyFont="1" applyFill="1" applyBorder="1"/>
    <xf numFmtId="168" fontId="9" fillId="0" borderId="0" xfId="47" applyNumberFormat="1" applyFont="1" applyFill="1" applyBorder="1" applyAlignment="1">
      <alignment horizontal="center" vertical="top" wrapText="1"/>
    </xf>
    <xf numFmtId="169" fontId="9" fillId="0" borderId="0" xfId="30" applyNumberFormat="1" applyFont="1" applyFill="1" applyBorder="1"/>
    <xf numFmtId="169" fontId="9" fillId="0" borderId="0" xfId="30" applyNumberFormat="1" applyFont="1" applyBorder="1"/>
    <xf numFmtId="0" fontId="11" fillId="0" borderId="28" xfId="0" applyNumberFormat="1" applyFont="1" applyBorder="1" applyAlignment="1" applyProtection="1">
      <alignment horizontal="left" wrapText="1"/>
    </xf>
    <xf numFmtId="0" fontId="9" fillId="0" borderId="29" xfId="0" applyFont="1" applyBorder="1" applyAlignment="1" applyProtection="1">
      <alignment horizontal="left" vertical="top" wrapText="1"/>
    </xf>
    <xf numFmtId="0" fontId="9" fillId="0" borderId="30" xfId="0" applyFont="1" applyBorder="1" applyAlignment="1" applyProtection="1">
      <alignment horizontal="left" vertical="top" wrapText="1"/>
    </xf>
    <xf numFmtId="0" fontId="9" fillId="0" borderId="30" xfId="0" applyFont="1" applyBorder="1" applyAlignment="1" applyProtection="1">
      <alignment horizontal="center" vertical="top" wrapText="1"/>
    </xf>
    <xf numFmtId="0" fontId="9" fillId="0" borderId="32" xfId="0" applyFont="1" applyBorder="1" applyAlignment="1" applyProtection="1">
      <alignment horizontal="center" vertical="top" wrapText="1"/>
    </xf>
    <xf numFmtId="0" fontId="9" fillId="0" borderId="10" xfId="0" applyNumberFormat="1" applyFont="1" applyFill="1" applyBorder="1" applyAlignment="1" applyProtection="1">
      <alignment horizontal="left" wrapText="1" indent="1"/>
    </xf>
    <xf numFmtId="0" fontId="9" fillId="0" borderId="10" xfId="0" applyNumberFormat="1" applyFont="1" applyFill="1" applyBorder="1" applyAlignment="1" applyProtection="1">
      <alignment horizontal="left" vertical="top" wrapText="1" indent="1"/>
    </xf>
    <xf numFmtId="0" fontId="9" fillId="0" borderId="37" xfId="0" applyNumberFormat="1" applyFont="1" applyFill="1" applyBorder="1" applyAlignment="1" applyProtection="1">
      <alignment horizontal="left" vertical="top" wrapText="1" indent="1"/>
    </xf>
    <xf numFmtId="166" fontId="9" fillId="0" borderId="19" xfId="30" applyNumberFormat="1" applyFont="1" applyFill="1" applyBorder="1" applyAlignment="1" applyProtection="1">
      <alignment horizontal="left" vertical="top" wrapText="1"/>
    </xf>
    <xf numFmtId="166" fontId="9" fillId="0" borderId="20" xfId="30" applyNumberFormat="1" applyFont="1" applyFill="1" applyBorder="1" applyAlignment="1" applyProtection="1">
      <alignment horizontal="left" vertical="top" wrapText="1"/>
    </xf>
    <xf numFmtId="0" fontId="9" fillId="0" borderId="20" xfId="0" applyFont="1" applyFill="1" applyBorder="1" applyAlignment="1" applyProtection="1">
      <alignment horizontal="center" vertical="top" wrapText="1"/>
    </xf>
    <xf numFmtId="0" fontId="9" fillId="0" borderId="21" xfId="0" applyFont="1" applyFill="1" applyBorder="1" applyAlignment="1" applyProtection="1">
      <alignment horizontal="center" vertical="top" wrapText="1"/>
    </xf>
    <xf numFmtId="0" fontId="9" fillId="0" borderId="19" xfId="0" applyFont="1" applyFill="1" applyBorder="1" applyAlignment="1" applyProtection="1">
      <alignment horizontal="center" vertical="top" wrapText="1"/>
    </xf>
    <xf numFmtId="0" fontId="9" fillId="0" borderId="22" xfId="0" applyFont="1" applyFill="1" applyBorder="1" applyAlignment="1" applyProtection="1">
      <alignment horizontal="center" vertical="top" wrapText="1"/>
    </xf>
    <xf numFmtId="0" fontId="11" fillId="0" borderId="10" xfId="0" applyNumberFormat="1" applyFont="1" applyFill="1" applyBorder="1" applyAlignment="1" applyProtection="1">
      <alignment horizontal="left" wrapText="1"/>
    </xf>
    <xf numFmtId="173" fontId="9" fillId="24" borderId="19" xfId="30" applyNumberFormat="1" applyFont="1" applyFill="1" applyBorder="1" applyAlignment="1" applyProtection="1">
      <alignment horizontal="left" vertical="top" wrapText="1"/>
      <protection locked="0"/>
    </xf>
    <xf numFmtId="173" fontId="9" fillId="24" borderId="20" xfId="30" applyNumberFormat="1" applyFont="1" applyFill="1" applyBorder="1" applyAlignment="1" applyProtection="1">
      <alignment horizontal="left" vertical="top" wrapText="1"/>
      <protection locked="0"/>
    </xf>
    <xf numFmtId="173" fontId="9" fillId="24" borderId="20" xfId="47" applyNumberFormat="1" applyFont="1" applyFill="1" applyBorder="1" applyAlignment="1" applyProtection="1">
      <alignment horizontal="center" vertical="top" wrapText="1"/>
      <protection locked="0"/>
    </xf>
    <xf numFmtId="173" fontId="9" fillId="24" borderId="21" xfId="47" applyNumberFormat="1" applyFont="1" applyFill="1" applyBorder="1" applyAlignment="1" applyProtection="1">
      <alignment horizontal="center" vertical="top" wrapText="1"/>
      <protection locked="0"/>
    </xf>
    <xf numFmtId="173" fontId="9" fillId="24" borderId="19" xfId="47" applyNumberFormat="1" applyFont="1" applyFill="1" applyBorder="1" applyAlignment="1" applyProtection="1">
      <alignment horizontal="center" vertical="top" wrapText="1"/>
      <protection locked="0"/>
    </xf>
    <xf numFmtId="173" fontId="9" fillId="24" borderId="22" xfId="47" applyNumberFormat="1" applyFont="1" applyFill="1" applyBorder="1" applyAlignment="1" applyProtection="1">
      <alignment horizontal="center" vertical="top" wrapText="1"/>
      <protection locked="0"/>
    </xf>
    <xf numFmtId="173" fontId="9" fillId="0" borderId="19" xfId="30" applyNumberFormat="1" applyFont="1" applyFill="1" applyBorder="1" applyAlignment="1" applyProtection="1">
      <alignment horizontal="left" vertical="top" wrapText="1"/>
    </xf>
    <xf numFmtId="173" fontId="9" fillId="0" borderId="20" xfId="30" applyNumberFormat="1" applyFont="1" applyFill="1" applyBorder="1" applyAlignment="1" applyProtection="1">
      <alignment horizontal="left" vertical="top" wrapText="1"/>
    </xf>
    <xf numFmtId="173" fontId="9" fillId="0" borderId="20" xfId="0" applyNumberFormat="1" applyFont="1" applyFill="1" applyBorder="1" applyAlignment="1" applyProtection="1">
      <alignment horizontal="center" vertical="top" wrapText="1"/>
    </xf>
    <xf numFmtId="173" fontId="9" fillId="0" borderId="21" xfId="0" applyNumberFormat="1" applyFont="1" applyFill="1" applyBorder="1" applyAlignment="1" applyProtection="1">
      <alignment horizontal="center" vertical="top" wrapText="1"/>
    </xf>
    <xf numFmtId="173" fontId="9" fillId="0" borderId="19" xfId="0" applyNumberFormat="1" applyFont="1" applyFill="1" applyBorder="1" applyAlignment="1" applyProtection="1">
      <alignment horizontal="center" vertical="top" wrapText="1"/>
    </xf>
    <xf numFmtId="173" fontId="9" fillId="0" borderId="22" xfId="0" applyNumberFormat="1" applyFont="1" applyFill="1" applyBorder="1" applyAlignment="1" applyProtection="1">
      <alignment horizontal="center" vertical="top" wrapText="1"/>
    </xf>
    <xf numFmtId="166" fontId="9" fillId="24" borderId="19" xfId="30" applyNumberFormat="1" applyFont="1" applyFill="1" applyBorder="1" applyAlignment="1" applyProtection="1">
      <alignment horizontal="left" vertical="top" wrapText="1"/>
      <protection locked="0"/>
    </xf>
    <xf numFmtId="166" fontId="9" fillId="24" borderId="20" xfId="30" applyNumberFormat="1" applyFont="1" applyFill="1" applyBorder="1" applyAlignment="1" applyProtection="1">
      <alignment horizontal="left" vertical="top" wrapText="1"/>
      <protection locked="0"/>
    </xf>
    <xf numFmtId="2" fontId="9" fillId="24" borderId="20" xfId="30" applyNumberFormat="1" applyFont="1" applyFill="1" applyBorder="1" applyAlignment="1" applyProtection="1">
      <alignment horizontal="center" vertical="top" wrapText="1"/>
      <protection locked="0"/>
    </xf>
    <xf numFmtId="2" fontId="9" fillId="24" borderId="22" xfId="30" applyNumberFormat="1" applyFont="1" applyFill="1" applyBorder="1" applyAlignment="1" applyProtection="1">
      <alignment horizontal="center" vertical="top" wrapText="1"/>
      <protection locked="0"/>
    </xf>
    <xf numFmtId="166" fontId="9" fillId="0" borderId="58" xfId="30" applyNumberFormat="1" applyFont="1" applyFill="1" applyBorder="1" applyAlignment="1" applyProtection="1">
      <alignment horizontal="left" vertical="top" wrapText="1"/>
    </xf>
    <xf numFmtId="166" fontId="9" fillId="0" borderId="39" xfId="30" applyNumberFormat="1" applyFont="1" applyFill="1" applyBorder="1" applyAlignment="1" applyProtection="1">
      <alignment horizontal="left" vertical="top" wrapText="1"/>
    </xf>
    <xf numFmtId="2" fontId="9" fillId="0" borderId="39" xfId="30" applyNumberFormat="1" applyFont="1" applyFill="1" applyBorder="1" applyAlignment="1" applyProtection="1">
      <alignment horizontal="center" vertical="top" wrapText="1"/>
    </xf>
    <xf numFmtId="2" fontId="9" fillId="0" borderId="62" xfId="30" applyNumberFormat="1" applyFont="1" applyFill="1" applyBorder="1" applyAlignment="1" applyProtection="1">
      <alignment horizontal="center" vertical="top" wrapText="1"/>
    </xf>
    <xf numFmtId="2" fontId="9" fillId="0" borderId="58" xfId="30" applyNumberFormat="1" applyFont="1" applyFill="1" applyBorder="1" applyAlignment="1" applyProtection="1">
      <alignment horizontal="center" vertical="top" wrapText="1"/>
    </xf>
    <xf numFmtId="2" fontId="9" fillId="0" borderId="40" xfId="30" applyNumberFormat="1" applyFont="1" applyFill="1" applyBorder="1" applyAlignment="1" applyProtection="1">
      <alignment horizontal="center" vertical="top" wrapText="1"/>
    </xf>
    <xf numFmtId="172" fontId="9" fillId="24" borderId="21" xfId="0" applyNumberFormat="1" applyFont="1" applyFill="1" applyBorder="1" applyProtection="1">
      <protection locked="0"/>
    </xf>
    <xf numFmtId="172" fontId="9" fillId="24" borderId="19" xfId="0" applyNumberFormat="1" applyFont="1" applyFill="1" applyBorder="1" applyProtection="1">
      <protection locked="0"/>
    </xf>
    <xf numFmtId="166" fontId="9" fillId="24" borderId="58" xfId="30" applyNumberFormat="1" applyFont="1" applyFill="1" applyBorder="1" applyAlignment="1" applyProtection="1">
      <alignment horizontal="left" vertical="top" wrapText="1"/>
      <protection locked="0"/>
    </xf>
    <xf numFmtId="166" fontId="9" fillId="24" borderId="39" xfId="30" applyNumberFormat="1" applyFont="1" applyFill="1" applyBorder="1" applyAlignment="1" applyProtection="1">
      <alignment horizontal="left" vertical="top" wrapText="1"/>
      <protection locked="0"/>
    </xf>
    <xf numFmtId="166" fontId="9" fillId="24" borderId="39" xfId="30" applyNumberFormat="1" applyFont="1" applyFill="1" applyBorder="1" applyProtection="1">
      <protection locked="0"/>
    </xf>
    <xf numFmtId="166" fontId="9" fillId="24" borderId="62" xfId="30" applyNumberFormat="1" applyFont="1" applyFill="1" applyBorder="1" applyProtection="1">
      <protection locked="0"/>
    </xf>
    <xf numFmtId="166" fontId="9" fillId="24" borderId="58" xfId="30" applyNumberFormat="1" applyFont="1" applyFill="1" applyBorder="1" applyProtection="1">
      <protection locked="0"/>
    </xf>
    <xf numFmtId="166" fontId="9" fillId="24" borderId="40" xfId="30" applyNumberFormat="1" applyFont="1" applyFill="1" applyBorder="1" applyProtection="1">
      <protection locked="0"/>
    </xf>
    <xf numFmtId="166" fontId="9" fillId="24" borderId="20" xfId="30" applyNumberFormat="1" applyFont="1" applyFill="1" applyBorder="1" applyAlignment="1" applyProtection="1">
      <alignment horizontal="center" vertical="top" wrapText="1"/>
      <protection locked="0"/>
    </xf>
    <xf numFmtId="166" fontId="9" fillId="24" borderId="21" xfId="30" applyNumberFormat="1" applyFont="1" applyFill="1" applyBorder="1" applyAlignment="1" applyProtection="1">
      <alignment horizontal="center" vertical="top" wrapText="1"/>
      <protection locked="0"/>
    </xf>
    <xf numFmtId="166" fontId="9" fillId="24" borderId="19" xfId="30" applyNumberFormat="1" applyFont="1" applyFill="1" applyBorder="1" applyAlignment="1" applyProtection="1">
      <alignment horizontal="center" vertical="top" wrapText="1"/>
      <protection locked="0"/>
    </xf>
    <xf numFmtId="166" fontId="9" fillId="24" borderId="22" xfId="30" applyNumberFormat="1" applyFont="1" applyFill="1" applyBorder="1" applyAlignment="1" applyProtection="1">
      <alignment horizontal="center" vertical="top" wrapText="1"/>
      <protection locked="0"/>
    </xf>
    <xf numFmtId="166" fontId="9" fillId="24" borderId="39" xfId="30" applyNumberFormat="1" applyFont="1" applyFill="1" applyBorder="1" applyAlignment="1" applyProtection="1">
      <alignment horizontal="center" vertical="top" wrapText="1"/>
      <protection locked="0"/>
    </xf>
    <xf numFmtId="166" fontId="9" fillId="24" borderId="62" xfId="30" applyNumberFormat="1" applyFont="1" applyFill="1" applyBorder="1" applyAlignment="1" applyProtection="1">
      <alignment horizontal="center" vertical="top" wrapText="1"/>
      <protection locked="0"/>
    </xf>
    <xf numFmtId="166" fontId="9" fillId="24" borderId="58" xfId="30" applyNumberFormat="1" applyFont="1" applyFill="1" applyBorder="1" applyAlignment="1" applyProtection="1">
      <alignment horizontal="center" vertical="top" wrapText="1"/>
      <protection locked="0"/>
    </xf>
    <xf numFmtId="166" fontId="9" fillId="24" borderId="40" xfId="30" applyNumberFormat="1" applyFont="1" applyFill="1" applyBorder="1" applyAlignment="1" applyProtection="1">
      <alignment horizontal="center" vertical="top" wrapText="1"/>
      <protection locked="0"/>
    </xf>
    <xf numFmtId="0" fontId="10" fillId="0" borderId="10" xfId="0" applyNumberFormat="1" applyFont="1" applyFill="1" applyBorder="1" applyAlignment="1" applyProtection="1">
      <alignment horizontal="left" vertical="top" wrapText="1" indent="1"/>
    </xf>
    <xf numFmtId="166" fontId="9" fillId="0" borderId="20" xfId="30" applyNumberFormat="1" applyFont="1" applyFill="1" applyBorder="1" applyAlignment="1" applyProtection="1">
      <alignment horizontal="center" vertical="top" wrapText="1"/>
    </xf>
    <xf numFmtId="166" fontId="9" fillId="0" borderId="21" xfId="30" applyNumberFormat="1" applyFont="1" applyFill="1" applyBorder="1" applyAlignment="1" applyProtection="1">
      <alignment horizontal="center" vertical="top" wrapText="1"/>
    </xf>
    <xf numFmtId="166" fontId="9" fillId="0" borderId="19" xfId="30" applyNumberFormat="1" applyFont="1" applyFill="1" applyBorder="1" applyAlignment="1" applyProtection="1">
      <alignment horizontal="center" vertical="top" wrapText="1"/>
    </xf>
    <xf numFmtId="166" fontId="9" fillId="0" borderId="22" xfId="30" applyNumberFormat="1" applyFont="1" applyFill="1" applyBorder="1" applyAlignment="1" applyProtection="1">
      <alignment horizontal="center" vertical="top" wrapText="1"/>
    </xf>
    <xf numFmtId="0" fontId="10" fillId="0" borderId="37" xfId="0" applyNumberFormat="1" applyFont="1" applyFill="1" applyBorder="1" applyAlignment="1" applyProtection="1">
      <alignment horizontal="left" vertical="top" wrapText="1" indent="1"/>
    </xf>
    <xf numFmtId="166" fontId="9" fillId="0" borderId="63" xfId="30" applyNumberFormat="1" applyFont="1" applyFill="1" applyBorder="1" applyAlignment="1" applyProtection="1">
      <alignment horizontal="left" vertical="top" wrapText="1"/>
    </xf>
    <xf numFmtId="166" fontId="9" fillId="0" borderId="43" xfId="30" applyNumberFormat="1" applyFont="1" applyFill="1" applyBorder="1" applyAlignment="1" applyProtection="1">
      <alignment horizontal="left" vertical="top" wrapText="1"/>
    </xf>
    <xf numFmtId="166" fontId="9" fillId="0" borderId="43" xfId="30" applyNumberFormat="1" applyFont="1" applyFill="1" applyBorder="1" applyAlignment="1" applyProtection="1">
      <alignment horizontal="center" vertical="top" wrapText="1"/>
    </xf>
    <xf numFmtId="166" fontId="9" fillId="0" borderId="61" xfId="30" applyNumberFormat="1" applyFont="1" applyFill="1" applyBorder="1" applyAlignment="1" applyProtection="1">
      <alignment horizontal="center" vertical="top" wrapText="1"/>
    </xf>
    <xf numFmtId="166" fontId="9" fillId="0" borderId="63" xfId="30" applyNumberFormat="1" applyFont="1" applyFill="1" applyBorder="1" applyAlignment="1" applyProtection="1">
      <alignment horizontal="center" vertical="top" wrapText="1"/>
    </xf>
    <xf numFmtId="166" fontId="9" fillId="0" borderId="44" xfId="30" applyNumberFormat="1" applyFont="1" applyFill="1" applyBorder="1" applyAlignment="1" applyProtection="1">
      <alignment horizontal="center" vertical="top" wrapText="1"/>
    </xf>
    <xf numFmtId="0" fontId="9" fillId="0" borderId="10" xfId="0" applyNumberFormat="1" applyFont="1" applyBorder="1" applyAlignment="1" applyProtection="1">
      <alignment horizontal="left" vertical="top" wrapText="1" indent="1"/>
    </xf>
    <xf numFmtId="2" fontId="9" fillId="0" borderId="20" xfId="30" applyNumberFormat="1" applyFont="1" applyBorder="1" applyAlignment="1" applyProtection="1">
      <alignment horizontal="center" vertical="top" wrapText="1"/>
    </xf>
    <xf numFmtId="2" fontId="9" fillId="0" borderId="21" xfId="30" applyNumberFormat="1" applyFont="1" applyBorder="1" applyAlignment="1" applyProtection="1">
      <alignment horizontal="center" vertical="top" wrapText="1"/>
    </xf>
    <xf numFmtId="2" fontId="9" fillId="0" borderId="19" xfId="30" applyNumberFormat="1" applyFont="1" applyBorder="1" applyAlignment="1" applyProtection="1">
      <alignment horizontal="center" vertical="top" wrapText="1"/>
    </xf>
    <xf numFmtId="2" fontId="9" fillId="0" borderId="22" xfId="30" applyNumberFormat="1" applyFont="1" applyBorder="1" applyAlignment="1" applyProtection="1">
      <alignment horizontal="center" vertical="top" wrapText="1"/>
    </xf>
    <xf numFmtId="0" fontId="11" fillId="0" borderId="10" xfId="0" applyNumberFormat="1" applyFont="1" applyBorder="1" applyAlignment="1" applyProtection="1">
      <alignment horizontal="left" vertical="top" wrapText="1"/>
    </xf>
    <xf numFmtId="166" fontId="9" fillId="0" borderId="19" xfId="30" applyNumberFormat="1" applyFont="1" applyBorder="1" applyAlignment="1" applyProtection="1">
      <alignment horizontal="left" vertical="top" wrapText="1"/>
    </xf>
    <xf numFmtId="166" fontId="9" fillId="0" borderId="20" xfId="30" applyNumberFormat="1" applyFont="1" applyBorder="1" applyAlignment="1" applyProtection="1">
      <alignment horizontal="left" vertical="top" wrapText="1"/>
    </xf>
    <xf numFmtId="168" fontId="9" fillId="0" borderId="20" xfId="0" applyNumberFormat="1" applyFont="1" applyFill="1" applyBorder="1" applyAlignment="1" applyProtection="1">
      <alignment horizontal="center" vertical="top" wrapText="1"/>
    </xf>
    <xf numFmtId="168" fontId="9" fillId="0" borderId="21" xfId="0" applyNumberFormat="1" applyFont="1" applyBorder="1" applyAlignment="1" applyProtection="1">
      <alignment horizontal="center" vertical="top" wrapText="1"/>
    </xf>
    <xf numFmtId="9" fontId="9" fillId="0" borderId="19" xfId="0" applyNumberFormat="1" applyFont="1" applyFill="1" applyBorder="1" applyAlignment="1" applyProtection="1">
      <alignment horizontal="center" vertical="top" wrapText="1"/>
    </xf>
    <xf numFmtId="9" fontId="9" fillId="0" borderId="20" xfId="0" applyNumberFormat="1" applyFont="1" applyFill="1" applyBorder="1" applyAlignment="1" applyProtection="1">
      <alignment horizontal="center" vertical="top" wrapText="1"/>
    </xf>
    <xf numFmtId="9" fontId="9" fillId="0" borderId="22" xfId="0" applyNumberFormat="1" applyFont="1" applyFill="1" applyBorder="1" applyAlignment="1" applyProtection="1">
      <alignment horizontal="center" vertical="top" wrapText="1"/>
    </xf>
    <xf numFmtId="166" fontId="9" fillId="26" borderId="19" xfId="30" applyNumberFormat="1" applyFont="1" applyFill="1" applyBorder="1" applyAlignment="1" applyProtection="1">
      <alignment horizontal="left" vertical="top" wrapText="1"/>
    </xf>
    <xf numFmtId="166" fontId="9" fillId="26" borderId="20" xfId="30" applyNumberFormat="1" applyFont="1" applyFill="1" applyBorder="1" applyAlignment="1" applyProtection="1">
      <alignment horizontal="left" vertical="top" wrapText="1"/>
    </xf>
    <xf numFmtId="168" fontId="9" fillId="24" borderId="20" xfId="0" applyNumberFormat="1" applyFont="1" applyFill="1" applyBorder="1" applyAlignment="1" applyProtection="1">
      <alignment horizontal="center" vertical="top" wrapText="1"/>
      <protection locked="0"/>
    </xf>
    <xf numFmtId="168" fontId="9" fillId="24" borderId="21" xfId="0" applyNumberFormat="1" applyFont="1" applyFill="1" applyBorder="1" applyAlignment="1" applyProtection="1">
      <alignment horizontal="center" vertical="top" wrapText="1"/>
      <protection locked="0"/>
    </xf>
    <xf numFmtId="168" fontId="9" fillId="24" borderId="19" xfId="0" applyNumberFormat="1" applyFont="1" applyFill="1" applyBorder="1" applyAlignment="1" applyProtection="1">
      <alignment horizontal="center" vertical="top" wrapText="1"/>
      <protection locked="0"/>
    </xf>
    <xf numFmtId="168" fontId="9" fillId="24" borderId="22" xfId="0" applyNumberFormat="1" applyFont="1" applyFill="1" applyBorder="1" applyAlignment="1" applyProtection="1">
      <alignment horizontal="center" vertical="top" wrapText="1"/>
      <protection locked="0"/>
    </xf>
    <xf numFmtId="166" fontId="11" fillId="26" borderId="19" xfId="30" applyNumberFormat="1" applyFont="1" applyFill="1" applyBorder="1" applyAlignment="1" applyProtection="1">
      <alignment horizontal="left" vertical="top" wrapText="1"/>
    </xf>
    <xf numFmtId="166" fontId="11" fillId="26" borderId="20" xfId="30" applyNumberFormat="1" applyFont="1" applyFill="1" applyBorder="1" applyAlignment="1" applyProtection="1">
      <alignment horizontal="left" vertical="top" wrapText="1"/>
    </xf>
    <xf numFmtId="168" fontId="9" fillId="24" borderId="20" xfId="30" applyNumberFormat="1" applyFont="1" applyFill="1" applyBorder="1" applyAlignment="1" applyProtection="1">
      <alignment horizontal="center" vertical="top" wrapText="1"/>
      <protection locked="0"/>
    </xf>
    <xf numFmtId="168" fontId="9" fillId="24" borderId="21" xfId="30" applyNumberFormat="1" applyFont="1" applyFill="1" applyBorder="1" applyAlignment="1" applyProtection="1">
      <alignment horizontal="center" vertical="top" wrapText="1"/>
      <protection locked="0"/>
    </xf>
    <xf numFmtId="168" fontId="9" fillId="24" borderId="19" xfId="30" applyNumberFormat="1" applyFont="1" applyFill="1" applyBorder="1" applyAlignment="1" applyProtection="1">
      <alignment horizontal="center" vertical="top" wrapText="1"/>
      <protection locked="0"/>
    </xf>
    <xf numFmtId="168" fontId="9" fillId="24" borderId="22" xfId="30" applyNumberFormat="1" applyFont="1" applyFill="1" applyBorder="1" applyAlignment="1" applyProtection="1">
      <alignment horizontal="center" vertical="top" wrapText="1"/>
      <protection locked="0"/>
    </xf>
    <xf numFmtId="0" fontId="9" fillId="0" borderId="10" xfId="0" applyNumberFormat="1" applyFont="1" applyBorder="1" applyAlignment="1" applyProtection="1">
      <alignment horizontal="left" vertical="top" wrapText="1"/>
    </xf>
    <xf numFmtId="168" fontId="9" fillId="0" borderId="21" xfId="0" applyNumberFormat="1" applyFont="1" applyFill="1" applyBorder="1" applyAlignment="1" applyProtection="1">
      <alignment horizontal="center" vertical="top" wrapText="1"/>
    </xf>
    <xf numFmtId="168" fontId="9" fillId="0" borderId="19" xfId="0" applyNumberFormat="1" applyFont="1" applyFill="1" applyBorder="1" applyAlignment="1" applyProtection="1">
      <alignment horizontal="center" vertical="top" wrapText="1"/>
    </xf>
    <xf numFmtId="168" fontId="9" fillId="0" borderId="22" xfId="0" applyNumberFormat="1" applyFont="1" applyFill="1" applyBorder="1" applyAlignment="1" applyProtection="1">
      <alignment horizontal="center" vertical="top" wrapText="1"/>
    </xf>
    <xf numFmtId="0" fontId="9" fillId="0" borderId="23" xfId="0" applyFont="1" applyBorder="1" applyAlignment="1" applyProtection="1">
      <alignment horizontal="left" vertical="top" wrapText="1"/>
    </xf>
    <xf numFmtId="166" fontId="9" fillId="0" borderId="24" xfId="30" applyNumberFormat="1" applyFont="1" applyBorder="1" applyAlignment="1" applyProtection="1">
      <alignment horizontal="left" vertical="top" wrapText="1"/>
    </xf>
    <xf numFmtId="166" fontId="9" fillId="0" borderId="25" xfId="30" applyNumberFormat="1" applyFont="1" applyBorder="1" applyAlignment="1" applyProtection="1">
      <alignment horizontal="left" vertical="top" wrapText="1"/>
    </xf>
    <xf numFmtId="167" fontId="9" fillId="0" borderId="25" xfId="30" applyNumberFormat="1" applyFont="1" applyBorder="1" applyAlignment="1" applyProtection="1">
      <alignment vertical="top" wrapText="1"/>
    </xf>
    <xf numFmtId="167" fontId="9" fillId="0" borderId="26" xfId="30" applyNumberFormat="1" applyFont="1" applyBorder="1" applyAlignment="1" applyProtection="1">
      <alignment vertical="top" wrapText="1"/>
    </xf>
    <xf numFmtId="167" fontId="9" fillId="0" borderId="24" xfId="30" applyNumberFormat="1" applyFont="1" applyFill="1" applyBorder="1" applyAlignment="1" applyProtection="1">
      <alignment vertical="top" wrapText="1"/>
    </xf>
    <xf numFmtId="167" fontId="9" fillId="0" borderId="25" xfId="30" applyNumberFormat="1" applyFont="1" applyFill="1" applyBorder="1" applyAlignment="1" applyProtection="1">
      <alignment vertical="top" wrapText="1"/>
    </xf>
    <xf numFmtId="167" fontId="9" fillId="0" borderId="27" xfId="30" applyNumberFormat="1" applyFont="1" applyFill="1" applyBorder="1" applyAlignment="1" applyProtection="1">
      <alignment vertical="top" wrapText="1"/>
    </xf>
    <xf numFmtId="169" fontId="9" fillId="0" borderId="0" xfId="0" applyNumberFormat="1" applyFont="1" applyBorder="1" applyProtection="1"/>
    <xf numFmtId="169" fontId="9" fillId="0" borderId="0" xfId="30" applyNumberFormat="1" applyFont="1" applyProtection="1"/>
    <xf numFmtId="169" fontId="9" fillId="0" borderId="0" xfId="0" applyNumberFormat="1" applyFont="1" applyProtection="1"/>
    <xf numFmtId="0" fontId="10" fillId="0" borderId="29" xfId="0" applyFont="1" applyFill="1" applyBorder="1" applyAlignment="1">
      <alignment horizontal="center" vertical="center" wrapText="1"/>
    </xf>
    <xf numFmtId="0" fontId="10" fillId="0" borderId="47" xfId="0" applyFont="1" applyFill="1" applyBorder="1" applyAlignment="1">
      <alignment horizontal="centerContinuous" vertical="center" wrapText="1"/>
    </xf>
    <xf numFmtId="0" fontId="10" fillId="0" borderId="37" xfId="0" applyFont="1" applyFill="1" applyBorder="1" applyAlignment="1">
      <alignment horizontal="left"/>
    </xf>
    <xf numFmtId="0" fontId="10" fillId="0" borderId="63" xfId="0" applyFont="1" applyFill="1" applyBorder="1" applyAlignment="1">
      <alignment horizontal="center" vertical="center" wrapText="1"/>
    </xf>
    <xf numFmtId="0" fontId="11" fillId="0" borderId="14" xfId="0" applyFont="1" applyBorder="1" applyAlignment="1">
      <alignment horizontal="center"/>
    </xf>
    <xf numFmtId="0" fontId="9" fillId="0" borderId="19" xfId="0" applyFont="1" applyBorder="1"/>
    <xf numFmtId="0" fontId="9" fillId="0" borderId="20" xfId="0" applyFont="1" applyBorder="1"/>
    <xf numFmtId="0" fontId="9" fillId="0" borderId="21" xfId="0" applyFont="1" applyBorder="1"/>
    <xf numFmtId="0" fontId="9" fillId="0" borderId="22" xfId="0" applyFont="1" applyBorder="1"/>
    <xf numFmtId="172" fontId="9" fillId="0" borderId="21" xfId="0" applyNumberFormat="1" applyFont="1" applyFill="1" applyBorder="1"/>
    <xf numFmtId="0" fontId="9" fillId="24" borderId="19" xfId="0" applyFont="1" applyFill="1" applyBorder="1" applyAlignment="1" applyProtection="1">
      <alignment horizontal="center"/>
      <protection locked="0"/>
    </xf>
    <xf numFmtId="168" fontId="9" fillId="0" borderId="20" xfId="47" applyNumberFormat="1" applyFont="1" applyFill="1" applyBorder="1" applyAlignment="1" applyProtection="1">
      <alignment horizontal="center" vertical="top" wrapText="1"/>
    </xf>
    <xf numFmtId="9" fontId="9" fillId="0" borderId="14" xfId="47" applyFont="1" applyBorder="1" applyAlignment="1">
      <alignment horizontal="center"/>
    </xf>
    <xf numFmtId="9" fontId="9" fillId="0" borderId="45" xfId="47" applyFont="1" applyBorder="1" applyAlignment="1">
      <alignment horizontal="center"/>
    </xf>
    <xf numFmtId="168" fontId="9" fillId="24" borderId="24" xfId="47" applyNumberFormat="1" applyFont="1" applyFill="1" applyBorder="1" applyAlignment="1" applyProtection="1">
      <alignment horizontal="center" vertical="top" wrapText="1"/>
      <protection locked="0"/>
    </xf>
    <xf numFmtId="168" fontId="9" fillId="24" borderId="25" xfId="47" applyNumberFormat="1" applyFont="1" applyFill="1" applyBorder="1" applyAlignment="1" applyProtection="1">
      <alignment horizontal="center" vertical="top" wrapText="1"/>
      <protection locked="0"/>
    </xf>
    <xf numFmtId="168" fontId="9" fillId="0" borderId="25" xfId="47" applyNumberFormat="1" applyFont="1" applyFill="1" applyBorder="1" applyAlignment="1">
      <alignment horizontal="center" vertical="top" wrapText="1"/>
    </xf>
    <xf numFmtId="168" fontId="9" fillId="0" borderId="26" xfId="47" applyNumberFormat="1" applyFont="1" applyFill="1" applyBorder="1" applyAlignment="1">
      <alignment horizontal="center" vertical="top" wrapText="1"/>
    </xf>
    <xf numFmtId="168" fontId="9" fillId="0" borderId="27" xfId="47" applyNumberFormat="1" applyFont="1" applyFill="1" applyBorder="1" applyAlignment="1">
      <alignment horizontal="center" vertical="top" wrapText="1"/>
    </xf>
    <xf numFmtId="9" fontId="9" fillId="0" borderId="0" xfId="47" applyFont="1" applyBorder="1" applyAlignment="1">
      <alignment horizontal="center"/>
    </xf>
    <xf numFmtId="0" fontId="9" fillId="0" borderId="0" xfId="0" applyFont="1" applyBorder="1" applyAlignment="1">
      <alignment horizontal="left"/>
    </xf>
    <xf numFmtId="0" fontId="11" fillId="0" borderId="0" xfId="0" applyFont="1" applyBorder="1" applyAlignment="1">
      <alignment horizontal="center"/>
    </xf>
    <xf numFmtId="0" fontId="9" fillId="0" borderId="0" xfId="0" applyFont="1" applyBorder="1" applyAlignment="1"/>
    <xf numFmtId="172" fontId="9" fillId="0" borderId="0" xfId="0" applyNumberFormat="1" applyFont="1" applyBorder="1"/>
    <xf numFmtId="9" fontId="9" fillId="0" borderId="0" xfId="0" applyNumberFormat="1" applyFont="1" applyBorder="1" applyAlignment="1">
      <alignment horizontal="center"/>
    </xf>
    <xf numFmtId="0" fontId="11" fillId="0" borderId="0" xfId="0" applyFont="1" applyBorder="1" applyAlignment="1">
      <alignment horizontal="left"/>
    </xf>
    <xf numFmtId="0" fontId="9" fillId="0" borderId="58" xfId="0" applyFont="1" applyFill="1" applyBorder="1" applyAlignment="1">
      <alignment horizontal="center" vertical="center"/>
    </xf>
    <xf numFmtId="172" fontId="10" fillId="0" borderId="19" xfId="0" applyNumberFormat="1" applyFont="1" applyBorder="1"/>
    <xf numFmtId="0" fontId="9" fillId="24" borderId="10" xfId="0" applyFont="1" applyFill="1" applyBorder="1" applyAlignment="1" applyProtection="1">
      <alignment horizontal="left" indent="1"/>
      <protection locked="0"/>
    </xf>
    <xf numFmtId="172" fontId="9" fillId="24" borderId="15" xfId="0" applyNumberFormat="1" applyFont="1" applyFill="1" applyBorder="1" applyProtection="1">
      <protection locked="0"/>
    </xf>
    <xf numFmtId="172" fontId="9" fillId="24" borderId="16" xfId="0" applyNumberFormat="1" applyFont="1" applyFill="1" applyBorder="1" applyProtection="1">
      <protection locked="0"/>
    </xf>
    <xf numFmtId="172" fontId="9" fillId="0" borderId="16" xfId="0" applyNumberFormat="1" applyFont="1" applyBorder="1"/>
    <xf numFmtId="172" fontId="9" fillId="24" borderId="18" xfId="0" applyNumberFormat="1" applyFont="1" applyFill="1" applyBorder="1" applyProtection="1">
      <protection locked="0"/>
    </xf>
    <xf numFmtId="172" fontId="9" fillId="24" borderId="58" xfId="0" applyNumberFormat="1" applyFont="1" applyFill="1" applyBorder="1" applyProtection="1">
      <protection locked="0"/>
    </xf>
    <xf numFmtId="172" fontId="9" fillId="24" borderId="35" xfId="0" applyNumberFormat="1" applyFont="1" applyFill="1" applyBorder="1" applyProtection="1">
      <protection locked="0"/>
    </xf>
    <xf numFmtId="0" fontId="10" fillId="0" borderId="57" xfId="0" applyNumberFormat="1" applyFont="1" applyBorder="1" applyAlignment="1">
      <alignment vertical="center"/>
    </xf>
    <xf numFmtId="172" fontId="10" fillId="0" borderId="63" xfId="0" applyNumberFormat="1" applyFont="1" applyBorder="1"/>
    <xf numFmtId="0" fontId="11" fillId="0" borderId="10" xfId="0" applyNumberFormat="1" applyFont="1" applyBorder="1"/>
    <xf numFmtId="0" fontId="10" fillId="0" borderId="64" xfId="0" applyNumberFormat="1" applyFont="1" applyBorder="1" applyAlignment="1">
      <alignment horizontal="left"/>
    </xf>
    <xf numFmtId="0" fontId="10" fillId="0" borderId="54" xfId="0" applyNumberFormat="1" applyFont="1" applyBorder="1" applyAlignment="1">
      <alignment vertical="center"/>
    </xf>
    <xf numFmtId="0" fontId="13" fillId="0" borderId="0" xfId="0" applyFont="1" applyFill="1" applyBorder="1" applyAlignment="1">
      <alignment horizontal="left"/>
    </xf>
    <xf numFmtId="165" fontId="13" fillId="0" borderId="0" xfId="30" applyFont="1" applyBorder="1"/>
    <xf numFmtId="169" fontId="13" fillId="0" borderId="0" xfId="0" applyNumberFormat="1" applyFont="1" applyBorder="1"/>
    <xf numFmtId="0" fontId="9" fillId="0" borderId="10" xfId="0" applyNumberFormat="1" applyFont="1" applyBorder="1" applyAlignment="1">
      <alignment horizontal="left" indent="2"/>
    </xf>
    <xf numFmtId="0" fontId="10" fillId="0" borderId="10" xfId="0" quotePrefix="1" applyFont="1" applyBorder="1"/>
    <xf numFmtId="0" fontId="13" fillId="0" borderId="10" xfId="0" quotePrefix="1" applyFont="1" applyBorder="1" applyAlignment="1">
      <alignment horizontal="left" indent="1"/>
    </xf>
    <xf numFmtId="0" fontId="9" fillId="0" borderId="10" xfId="0" quotePrefix="1" applyFont="1" applyBorder="1" applyAlignment="1">
      <alignment horizontal="left" indent="1"/>
    </xf>
    <xf numFmtId="0" fontId="10" fillId="0" borderId="55" xfId="0" applyNumberFormat="1" applyFont="1" applyBorder="1" applyAlignment="1">
      <alignment horizontal="left"/>
    </xf>
    <xf numFmtId="0" fontId="10" fillId="0" borderId="10" xfId="0" applyFont="1" applyBorder="1" applyAlignment="1">
      <alignment horizontal="left" indent="2"/>
    </xf>
    <xf numFmtId="0" fontId="10" fillId="0" borderId="10" xfId="0" quotePrefix="1" applyFont="1" applyBorder="1" applyAlignment="1">
      <alignment horizontal="left" indent="1"/>
    </xf>
    <xf numFmtId="0" fontId="9" fillId="0" borderId="10" xfId="0" quotePrefix="1" applyFont="1" applyBorder="1" applyAlignment="1">
      <alignment horizontal="left" indent="2"/>
    </xf>
    <xf numFmtId="0" fontId="10" fillId="0" borderId="0" xfId="0" applyFont="1" applyBorder="1"/>
    <xf numFmtId="172" fontId="10" fillId="0" borderId="0" xfId="0" applyNumberFormat="1" applyFont="1" applyBorder="1"/>
    <xf numFmtId="0" fontId="10" fillId="0" borderId="65"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Border="1" applyAlignment="1">
      <alignment horizontal="center" wrapText="1"/>
    </xf>
    <xf numFmtId="9" fontId="9" fillId="0" borderId="62" xfId="47" applyFont="1" applyFill="1" applyBorder="1" applyAlignment="1">
      <alignment horizontal="center" vertical="center"/>
    </xf>
    <xf numFmtId="0" fontId="9" fillId="0" borderId="62" xfId="0" applyFont="1" applyFill="1" applyBorder="1" applyAlignment="1">
      <alignment horizontal="center" vertical="center"/>
    </xf>
    <xf numFmtId="0" fontId="11" fillId="0" borderId="64" xfId="0" applyFont="1" applyBorder="1"/>
    <xf numFmtId="172" fontId="9" fillId="0" borderId="21" xfId="0" applyNumberFormat="1" applyFont="1" applyBorder="1"/>
    <xf numFmtId="172" fontId="9" fillId="26" borderId="20" xfId="0" applyNumberFormat="1" applyFont="1" applyFill="1" applyBorder="1"/>
    <xf numFmtId="168" fontId="9" fillId="0" borderId="14" xfId="47" applyNumberFormat="1" applyFont="1" applyBorder="1" applyAlignment="1">
      <alignment horizontal="center"/>
    </xf>
    <xf numFmtId="172" fontId="10" fillId="26" borderId="16" xfId="0" applyNumberFormat="1" applyFont="1" applyFill="1" applyBorder="1"/>
    <xf numFmtId="168" fontId="10" fillId="0" borderId="14" xfId="47" applyNumberFormat="1" applyFont="1" applyBorder="1" applyAlignment="1">
      <alignment horizontal="center"/>
    </xf>
    <xf numFmtId="172" fontId="10" fillId="26" borderId="36" xfId="0" applyNumberFormat="1" applyFont="1" applyFill="1" applyBorder="1"/>
    <xf numFmtId="172" fontId="10" fillId="26" borderId="20" xfId="0" applyNumberFormat="1" applyFont="1" applyFill="1" applyBorder="1"/>
    <xf numFmtId="172" fontId="10" fillId="26" borderId="21" xfId="0" applyNumberFormat="1" applyFont="1" applyFill="1" applyBorder="1"/>
    <xf numFmtId="172" fontId="10" fillId="0" borderId="21" xfId="0" applyNumberFormat="1" applyFont="1" applyBorder="1"/>
    <xf numFmtId="172" fontId="10" fillId="0" borderId="38" xfId="0" applyNumberFormat="1" applyFont="1" applyBorder="1"/>
    <xf numFmtId="172" fontId="10" fillId="0" borderId="62" xfId="0" applyNumberFormat="1" applyFont="1" applyBorder="1"/>
    <xf numFmtId="172" fontId="10" fillId="0" borderId="61" xfId="0" applyNumberFormat="1" applyFont="1" applyBorder="1"/>
    <xf numFmtId="172" fontId="9" fillId="0" borderId="18" xfId="0" applyNumberFormat="1" applyFont="1" applyBorder="1"/>
    <xf numFmtId="172" fontId="10" fillId="0" borderId="17" xfId="0" applyNumberFormat="1" applyFont="1" applyBorder="1"/>
    <xf numFmtId="172" fontId="10" fillId="0" borderId="66" xfId="0" applyNumberFormat="1" applyFont="1" applyBorder="1"/>
    <xf numFmtId="168" fontId="10" fillId="0" borderId="45" xfId="47" applyNumberFormat="1" applyFont="1" applyBorder="1" applyAlignment="1">
      <alignment horizontal="center"/>
    </xf>
    <xf numFmtId="169" fontId="13" fillId="0" borderId="0" xfId="0" applyNumberFormat="1" applyFont="1" applyBorder="1" applyAlignment="1">
      <alignment horizontal="center"/>
    </xf>
    <xf numFmtId="0" fontId="13" fillId="0" borderId="0" xfId="0" applyFont="1" applyBorder="1" applyAlignment="1">
      <alignment horizontal="center" vertical="top" wrapText="1"/>
    </xf>
    <xf numFmtId="169" fontId="12" fillId="0" borderId="0" xfId="0" applyNumberFormat="1" applyFont="1" applyBorder="1" applyAlignment="1">
      <alignment horizontal="center"/>
    </xf>
    <xf numFmtId="0" fontId="10" fillId="0" borderId="31" xfId="0" applyFont="1" applyFill="1" applyBorder="1" applyAlignment="1">
      <alignment horizontal="centerContinuous" vertical="center" wrapText="1"/>
    </xf>
    <xf numFmtId="0" fontId="10" fillId="0" borderId="29" xfId="0" applyFont="1" applyFill="1" applyBorder="1" applyAlignment="1">
      <alignment horizontal="centerContinuous" vertical="center" wrapText="1"/>
    </xf>
    <xf numFmtId="0" fontId="10" fillId="0" borderId="30" xfId="0" applyFont="1" applyFill="1" applyBorder="1" applyAlignment="1">
      <alignment horizontal="centerContinuous" vertical="center" wrapText="1"/>
    </xf>
    <xf numFmtId="0" fontId="10" fillId="0" borderId="32" xfId="0" applyFont="1" applyFill="1" applyBorder="1" applyAlignment="1">
      <alignment horizontal="centerContinuous" vertical="center" wrapText="1"/>
    </xf>
    <xf numFmtId="9" fontId="10" fillId="0" borderId="63" xfId="47" applyFont="1" applyFill="1" applyBorder="1" applyAlignment="1">
      <alignment horizontal="center" vertical="center" wrapText="1"/>
    </xf>
    <xf numFmtId="9" fontId="10" fillId="0" borderId="61" xfId="47" applyFont="1" applyFill="1" applyBorder="1" applyAlignment="1">
      <alignment horizontal="center" vertical="center" wrapText="1"/>
    </xf>
    <xf numFmtId="9" fontId="10" fillId="0" borderId="43" xfId="47" applyFont="1" applyFill="1" applyBorder="1" applyAlignment="1">
      <alignment horizontal="center" vertical="center" wrapText="1"/>
    </xf>
    <xf numFmtId="0" fontId="10" fillId="0" borderId="41" xfId="0" applyFont="1" applyFill="1" applyBorder="1" applyAlignment="1">
      <alignment horizontal="center" vertical="center" wrapText="1"/>
    </xf>
    <xf numFmtId="0" fontId="10" fillId="0" borderId="10" xfId="0" applyFont="1" applyFill="1" applyBorder="1" applyAlignment="1">
      <alignment horizontal="left"/>
    </xf>
    <xf numFmtId="0" fontId="10" fillId="0" borderId="48" xfId="0" applyFont="1" applyFill="1" applyBorder="1" applyAlignment="1">
      <alignment horizontal="center" vertical="top" wrapText="1"/>
    </xf>
    <xf numFmtId="0" fontId="10" fillId="0" borderId="58" xfId="0" applyFont="1" applyFill="1" applyBorder="1" applyAlignment="1">
      <alignment horizontal="center" vertical="top" wrapText="1"/>
    </xf>
    <xf numFmtId="0" fontId="10" fillId="0" borderId="62" xfId="0" applyFont="1" applyFill="1" applyBorder="1" applyAlignment="1">
      <alignment horizontal="center" vertical="top" wrapText="1"/>
    </xf>
    <xf numFmtId="0" fontId="10" fillId="0" borderId="40" xfId="0" applyFont="1" applyFill="1" applyBorder="1" applyAlignment="1">
      <alignment horizontal="center" vertical="top" wrapText="1"/>
    </xf>
    <xf numFmtId="172" fontId="9" fillId="0" borderId="14" xfId="0" applyNumberFormat="1" applyFont="1" applyBorder="1"/>
    <xf numFmtId="0" fontId="10" fillId="0" borderId="14" xfId="0" applyFont="1" applyBorder="1"/>
    <xf numFmtId="172" fontId="10" fillId="0" borderId="49" xfId="0" applyNumberFormat="1" applyFont="1" applyBorder="1"/>
    <xf numFmtId="172" fontId="10" fillId="0" borderId="55" xfId="0" applyNumberFormat="1" applyFont="1" applyBorder="1"/>
    <xf numFmtId="0" fontId="14" fillId="0" borderId="0" xfId="0" applyFont="1" applyBorder="1" applyAlignment="1">
      <alignment vertical="center" wrapText="1"/>
    </xf>
    <xf numFmtId="169" fontId="10" fillId="0" borderId="0" xfId="0" applyNumberFormat="1" applyFont="1" applyFill="1" applyBorder="1"/>
    <xf numFmtId="166" fontId="13" fillId="0" borderId="0" xfId="30" applyNumberFormat="1" applyFont="1"/>
    <xf numFmtId="0" fontId="10" fillId="0" borderId="14" xfId="0" applyFont="1" applyFill="1" applyBorder="1" applyAlignment="1">
      <alignment horizontal="center" vertical="top" wrapText="1"/>
    </xf>
    <xf numFmtId="0" fontId="10" fillId="0" borderId="19" xfId="0" applyFont="1" applyFill="1" applyBorder="1" applyAlignment="1">
      <alignment horizontal="center" vertical="top" wrapText="1"/>
    </xf>
    <xf numFmtId="0" fontId="10" fillId="0" borderId="21" xfId="0" applyFont="1" applyFill="1" applyBorder="1" applyAlignment="1">
      <alignment horizontal="center" vertical="top" wrapText="1"/>
    </xf>
    <xf numFmtId="0" fontId="10" fillId="0" borderId="22" xfId="0" applyFont="1" applyFill="1" applyBorder="1" applyAlignment="1">
      <alignment horizontal="center" vertical="top" wrapText="1"/>
    </xf>
    <xf numFmtId="0" fontId="11" fillId="0" borderId="49" xfId="0" applyFont="1" applyBorder="1"/>
    <xf numFmtId="0" fontId="9" fillId="0" borderId="64" xfId="0" applyFont="1" applyBorder="1" applyAlignment="1">
      <alignment horizontal="left" indent="1"/>
    </xf>
    <xf numFmtId="172" fontId="9" fillId="0" borderId="17" xfId="0" applyNumberFormat="1" applyFont="1" applyBorder="1"/>
    <xf numFmtId="172" fontId="9" fillId="0" borderId="49" xfId="0" applyNumberFormat="1" applyFont="1" applyBorder="1"/>
    <xf numFmtId="172" fontId="10" fillId="0" borderId="14" xfId="0" applyNumberFormat="1" applyFont="1" applyBorder="1"/>
    <xf numFmtId="172" fontId="9" fillId="24" borderId="21" xfId="30" applyNumberFormat="1" applyFont="1" applyFill="1" applyBorder="1" applyProtection="1">
      <protection locked="0"/>
    </xf>
    <xf numFmtId="172" fontId="9" fillId="24" borderId="19" xfId="30" applyNumberFormat="1" applyFont="1" applyFill="1" applyBorder="1" applyProtection="1">
      <protection locked="0"/>
    </xf>
    <xf numFmtId="0" fontId="15" fillId="0" borderId="0" xfId="0" applyFont="1" applyBorder="1" applyAlignment="1">
      <alignment vertical="center" wrapText="1"/>
    </xf>
    <xf numFmtId="0" fontId="10" fillId="0" borderId="48" xfId="0" applyFont="1" applyFill="1" applyBorder="1" applyAlignment="1">
      <alignment horizontal="left"/>
    </xf>
    <xf numFmtId="0" fontId="11" fillId="0" borderId="14" xfId="0" applyFont="1" applyBorder="1" applyAlignment="1">
      <alignment horizontal="left"/>
    </xf>
    <xf numFmtId="172" fontId="10" fillId="0" borderId="41" xfId="0" applyNumberFormat="1" applyFont="1" applyBorder="1"/>
    <xf numFmtId="0" fontId="10" fillId="0" borderId="14" xfId="0" applyFont="1" applyFill="1" applyBorder="1" applyAlignment="1">
      <alignment horizontal="left"/>
    </xf>
    <xf numFmtId="0" fontId="9" fillId="0" borderId="10" xfId="0" applyFont="1" applyBorder="1" applyAlignment="1"/>
    <xf numFmtId="0" fontId="10" fillId="0" borderId="64" xfId="0" applyFont="1" applyBorder="1"/>
    <xf numFmtId="0" fontId="9" fillId="0" borderId="64" xfId="0" applyFont="1" applyFill="1" applyBorder="1"/>
    <xf numFmtId="0" fontId="9" fillId="0" borderId="67" xfId="0" applyFont="1" applyBorder="1"/>
    <xf numFmtId="172" fontId="10" fillId="0" borderId="48" xfId="0" applyNumberFormat="1" applyFont="1" applyBorder="1"/>
    <xf numFmtId="0" fontId="9" fillId="0" borderId="23" xfId="0" applyFont="1" applyFill="1" applyBorder="1" applyAlignment="1">
      <alignment horizontal="left" indent="1"/>
    </xf>
    <xf numFmtId="172" fontId="9" fillId="0" borderId="24" xfId="0" applyNumberFormat="1" applyFont="1" applyBorder="1"/>
    <xf numFmtId="172" fontId="9" fillId="0" borderId="26" xfId="0" applyNumberFormat="1" applyFont="1" applyBorder="1"/>
    <xf numFmtId="172" fontId="9" fillId="0" borderId="45" xfId="0" applyNumberFormat="1" applyFont="1" applyBorder="1"/>
    <xf numFmtId="0" fontId="10" fillId="0" borderId="60" xfId="0" applyFont="1" applyFill="1" applyBorder="1" applyAlignment="1">
      <alignment horizontal="centerContinuous" vertical="center" wrapText="1"/>
    </xf>
    <xf numFmtId="172" fontId="10" fillId="0" borderId="35" xfId="0" applyNumberFormat="1" applyFont="1" applyFill="1" applyBorder="1"/>
    <xf numFmtId="172" fontId="10" fillId="0" borderId="16" xfId="0" applyNumberFormat="1" applyFont="1" applyFill="1" applyBorder="1"/>
    <xf numFmtId="172" fontId="10" fillId="0" borderId="17" xfId="0" applyNumberFormat="1" applyFont="1" applyFill="1" applyBorder="1"/>
    <xf numFmtId="172" fontId="10" fillId="0" borderId="15" xfId="0" applyNumberFormat="1" applyFont="1" applyFill="1" applyBorder="1"/>
    <xf numFmtId="172" fontId="9" fillId="0" borderId="18" xfId="0" applyNumberFormat="1" applyFont="1" applyFill="1" applyBorder="1"/>
    <xf numFmtId="172" fontId="9" fillId="0" borderId="49" xfId="0" applyNumberFormat="1" applyFont="1" applyFill="1" applyBorder="1"/>
    <xf numFmtId="172" fontId="9" fillId="0" borderId="15" xfId="0" applyNumberFormat="1" applyFont="1" applyFill="1" applyBorder="1"/>
    <xf numFmtId="172" fontId="9" fillId="0" borderId="16" xfId="0" applyNumberFormat="1" applyFont="1" applyFill="1" applyBorder="1"/>
    <xf numFmtId="172" fontId="9" fillId="0" borderId="19" xfId="0" applyNumberFormat="1" applyFont="1" applyFill="1" applyBorder="1" applyProtection="1">
      <protection locked="0"/>
    </xf>
    <xf numFmtId="172" fontId="9" fillId="0" borderId="21" xfId="0" applyNumberFormat="1" applyFont="1" applyFill="1" applyBorder="1" applyProtection="1">
      <protection locked="0"/>
    </xf>
    <xf numFmtId="0" fontId="10" fillId="0" borderId="54" xfId="0" applyFont="1" applyBorder="1" applyAlignment="1">
      <alignment vertical="center" wrapText="1"/>
    </xf>
    <xf numFmtId="0" fontId="10" fillId="0" borderId="54" xfId="0" applyFont="1" applyBorder="1" applyAlignment="1">
      <alignment horizontal="left" indent="1"/>
    </xf>
    <xf numFmtId="0" fontId="14" fillId="0" borderId="0" xfId="0" applyFont="1" applyFill="1" applyBorder="1" applyAlignment="1">
      <alignment vertical="center" wrapText="1"/>
    </xf>
    <xf numFmtId="0" fontId="15" fillId="0" borderId="0" xfId="0" applyFont="1" applyFill="1" applyBorder="1" applyAlignment="1">
      <alignment vertical="center" wrapText="1"/>
    </xf>
    <xf numFmtId="0" fontId="10" fillId="0" borderId="68" xfId="0" applyFont="1" applyFill="1" applyBorder="1" applyAlignment="1">
      <alignment horizontal="centerContinuous" vertical="center" wrapText="1"/>
    </xf>
    <xf numFmtId="0" fontId="9" fillId="0" borderId="10" xfId="0" applyNumberFormat="1" applyFont="1" applyBorder="1" applyAlignment="1">
      <alignment horizontal="left" indent="1"/>
    </xf>
    <xf numFmtId="0" fontId="13" fillId="0" borderId="10" xfId="0" applyNumberFormat="1" applyFont="1" applyBorder="1" applyAlignment="1">
      <alignment horizontal="left" indent="2"/>
    </xf>
    <xf numFmtId="0" fontId="9" fillId="0" borderId="10" xfId="0" applyNumberFormat="1" applyFont="1" applyFill="1" applyBorder="1" applyAlignment="1">
      <alignment horizontal="left" indent="1"/>
    </xf>
    <xf numFmtId="0" fontId="15" fillId="0" borderId="0" xfId="0" applyFont="1" applyBorder="1"/>
    <xf numFmtId="0" fontId="8" fillId="0" borderId="11" xfId="0" applyFont="1" applyFill="1" applyBorder="1" applyAlignment="1">
      <alignment horizontal="left"/>
    </xf>
    <xf numFmtId="0" fontId="8" fillId="0" borderId="11" xfId="0" applyFont="1" applyFill="1" applyBorder="1" applyAlignment="1">
      <alignment horizontal="center"/>
    </xf>
    <xf numFmtId="0" fontId="10" fillId="0" borderId="24" xfId="0" applyFont="1" applyFill="1" applyBorder="1" applyAlignment="1">
      <alignment horizontal="center" vertical="top" wrapText="1"/>
    </xf>
    <xf numFmtId="0" fontId="10" fillId="0" borderId="26" xfId="0" applyFont="1" applyFill="1" applyBorder="1" applyAlignment="1">
      <alignment horizontal="center" vertical="top" wrapText="1"/>
    </xf>
    <xf numFmtId="0" fontId="10" fillId="0" borderId="27" xfId="0" applyFont="1" applyFill="1" applyBorder="1" applyAlignment="1">
      <alignment horizontal="center" vertical="top" wrapText="1"/>
    </xf>
    <xf numFmtId="0" fontId="10" fillId="0" borderId="28" xfId="0" applyNumberFormat="1" applyFont="1" applyFill="1" applyBorder="1"/>
    <xf numFmtId="0" fontId="10" fillId="0" borderId="30" xfId="0" applyNumberFormat="1" applyFont="1" applyFill="1" applyBorder="1" applyAlignment="1">
      <alignment horizontal="center"/>
    </xf>
    <xf numFmtId="173" fontId="10" fillId="0" borderId="30" xfId="30" applyNumberFormat="1" applyFont="1" applyFill="1" applyBorder="1" applyAlignment="1">
      <alignment horizontal="center"/>
    </xf>
    <xf numFmtId="0" fontId="13" fillId="0" borderId="30" xfId="0" applyNumberFormat="1" applyFont="1" applyFill="1" applyBorder="1" applyAlignment="1">
      <alignment horizontal="center"/>
    </xf>
    <xf numFmtId="172" fontId="10" fillId="0" borderId="29" xfId="0" applyNumberFormat="1" applyFont="1" applyFill="1" applyBorder="1" applyAlignment="1">
      <alignment horizontal="center"/>
    </xf>
    <xf numFmtId="172" fontId="10" fillId="0" borderId="31" xfId="0" applyNumberFormat="1" applyFont="1" applyFill="1" applyBorder="1" applyAlignment="1">
      <alignment horizontal="center"/>
    </xf>
    <xf numFmtId="172" fontId="10" fillId="0" borderId="32" xfId="0" applyNumberFormat="1" applyFont="1" applyFill="1" applyBorder="1" applyAlignment="1">
      <alignment horizontal="center"/>
    </xf>
    <xf numFmtId="172" fontId="10" fillId="0" borderId="60" xfId="0" applyNumberFormat="1" applyFont="1" applyFill="1" applyBorder="1" applyAlignment="1">
      <alignment horizontal="center"/>
    </xf>
    <xf numFmtId="0" fontId="13" fillId="24" borderId="10" xfId="0" applyNumberFormat="1" applyFont="1" applyFill="1" applyBorder="1" applyAlignment="1" applyProtection="1">
      <alignment horizontal="left" indent="1"/>
      <protection locked="0"/>
    </xf>
    <xf numFmtId="173" fontId="10" fillId="24" borderId="20" xfId="30" applyNumberFormat="1" applyFont="1" applyFill="1" applyBorder="1" applyAlignment="1" applyProtection="1">
      <alignment horizontal="center"/>
      <protection locked="0"/>
    </xf>
    <xf numFmtId="172" fontId="10" fillId="24" borderId="19" xfId="0" applyNumberFormat="1" applyFont="1" applyFill="1" applyBorder="1" applyAlignment="1" applyProtection="1">
      <alignment horizontal="center"/>
      <protection locked="0"/>
    </xf>
    <xf numFmtId="172" fontId="10" fillId="24" borderId="21" xfId="0" applyNumberFormat="1" applyFont="1" applyFill="1" applyBorder="1" applyAlignment="1" applyProtection="1">
      <alignment horizontal="center"/>
      <protection locked="0"/>
    </xf>
    <xf numFmtId="0" fontId="9" fillId="24" borderId="10" xfId="0" applyNumberFormat="1" applyFont="1" applyFill="1" applyBorder="1" applyAlignment="1" applyProtection="1">
      <alignment horizontal="left" indent="1"/>
      <protection locked="0"/>
    </xf>
    <xf numFmtId="0" fontId="9" fillId="24" borderId="20" xfId="0" applyNumberFormat="1" applyFont="1" applyFill="1" applyBorder="1" applyProtection="1">
      <protection locked="0"/>
    </xf>
    <xf numFmtId="173" fontId="9" fillId="24" borderId="20" xfId="30" applyNumberFormat="1" applyFont="1" applyFill="1" applyBorder="1" applyAlignment="1" applyProtection="1">
      <alignment horizontal="center"/>
      <protection locked="0"/>
    </xf>
    <xf numFmtId="0" fontId="10" fillId="24" borderId="37" xfId="0" applyNumberFormat="1" applyFont="1" applyFill="1" applyBorder="1" applyAlignment="1" applyProtection="1">
      <alignment horizontal="left" indent="1"/>
      <protection locked="0"/>
    </xf>
    <xf numFmtId="0" fontId="9" fillId="24" borderId="39" xfId="0" applyNumberFormat="1" applyFont="1" applyFill="1" applyBorder="1" applyProtection="1">
      <protection locked="0"/>
    </xf>
    <xf numFmtId="173" fontId="9" fillId="24" borderId="39" xfId="30" applyNumberFormat="1" applyFont="1" applyFill="1" applyBorder="1" applyAlignment="1" applyProtection="1">
      <alignment horizontal="center"/>
      <protection locked="0"/>
    </xf>
    <xf numFmtId="172" fontId="9" fillId="24" borderId="62" xfId="0" applyNumberFormat="1" applyFont="1" applyFill="1" applyBorder="1" applyProtection="1">
      <protection locked="0"/>
    </xf>
    <xf numFmtId="0" fontId="10" fillId="0" borderId="10" xfId="0" applyNumberFormat="1" applyFont="1" applyFill="1" applyBorder="1"/>
    <xf numFmtId="0" fontId="9" fillId="0" borderId="20" xfId="0" applyNumberFormat="1" applyFont="1" applyFill="1" applyBorder="1"/>
    <xf numFmtId="173" fontId="9" fillId="0" borderId="20" xfId="30" applyNumberFormat="1" applyFont="1" applyFill="1" applyBorder="1" applyAlignment="1">
      <alignment horizontal="center"/>
    </xf>
    <xf numFmtId="172" fontId="9" fillId="0" borderId="19" xfId="0" applyNumberFormat="1" applyFont="1" applyFill="1" applyBorder="1"/>
    <xf numFmtId="0" fontId="10" fillId="24" borderId="10" xfId="0" applyNumberFormat="1" applyFont="1" applyFill="1" applyBorder="1" applyAlignment="1" applyProtection="1">
      <alignment horizontal="left" indent="1"/>
      <protection locked="0"/>
    </xf>
    <xf numFmtId="0" fontId="9" fillId="24" borderId="23" xfId="0" applyNumberFormat="1" applyFont="1" applyFill="1" applyBorder="1" applyAlignment="1" applyProtection="1">
      <alignment horizontal="left" indent="1"/>
      <protection locked="0"/>
    </xf>
    <xf numFmtId="0" fontId="9" fillId="24" borderId="25" xfId="0" applyNumberFormat="1" applyFont="1" applyFill="1" applyBorder="1" applyProtection="1">
      <protection locked="0"/>
    </xf>
    <xf numFmtId="173" fontId="9" fillId="24" borderId="25" xfId="30" applyNumberFormat="1" applyFont="1" applyFill="1" applyBorder="1" applyAlignment="1" applyProtection="1">
      <alignment horizontal="center"/>
      <protection locked="0"/>
    </xf>
    <xf numFmtId="172" fontId="9" fillId="24" borderId="26" xfId="0" applyNumberFormat="1" applyFont="1" applyFill="1" applyBorder="1" applyProtection="1">
      <protection locked="0"/>
    </xf>
    <xf numFmtId="0" fontId="14" fillId="0" borderId="0" xfId="0" applyNumberFormat="1" applyFont="1" applyBorder="1"/>
    <xf numFmtId="0" fontId="13" fillId="0" borderId="0" xfId="0" applyNumberFormat="1" applyFont="1" applyBorder="1"/>
    <xf numFmtId="9" fontId="10" fillId="0" borderId="21" xfId="47" applyFont="1" applyFill="1" applyBorder="1" applyAlignment="1">
      <alignment horizontal="center" vertical="center" wrapText="1"/>
    </xf>
    <xf numFmtId="9" fontId="10" fillId="0" borderId="22" xfId="47" applyFont="1" applyFill="1" applyBorder="1" applyAlignment="1">
      <alignment horizontal="center" vertical="center" wrapText="1"/>
    </xf>
    <xf numFmtId="0" fontId="9" fillId="0" borderId="14" xfId="0" applyFont="1" applyFill="1" applyBorder="1" applyAlignment="1" applyProtection="1">
      <alignment horizontal="center"/>
      <protection locked="0"/>
    </xf>
    <xf numFmtId="0" fontId="9" fillId="0" borderId="14" xfId="0" applyNumberFormat="1" applyFont="1" applyBorder="1" applyAlignment="1">
      <alignment horizontal="left" indent="1"/>
    </xf>
    <xf numFmtId="0" fontId="10" fillId="0" borderId="14" xfId="0" applyFont="1" applyFill="1" applyBorder="1" applyAlignment="1">
      <alignment wrapText="1"/>
    </xf>
    <xf numFmtId="0" fontId="13" fillId="0" borderId="0" xfId="0" applyFont="1" applyBorder="1" applyAlignment="1" applyProtection="1">
      <alignment horizontal="left"/>
    </xf>
    <xf numFmtId="172" fontId="10" fillId="0" borderId="42" xfId="0" applyNumberFormat="1" applyFont="1" applyBorder="1" applyAlignment="1">
      <alignment vertical="top"/>
    </xf>
    <xf numFmtId="172" fontId="10" fillId="0" borderId="43" xfId="0" applyNumberFormat="1" applyFont="1" applyBorder="1" applyAlignment="1">
      <alignment vertical="top"/>
    </xf>
    <xf numFmtId="172" fontId="10" fillId="0" borderId="44" xfId="0" applyNumberFormat="1" applyFont="1" applyBorder="1" applyAlignment="1">
      <alignment vertical="top"/>
    </xf>
    <xf numFmtId="0" fontId="10" fillId="0" borderId="57" xfId="0" applyFont="1" applyBorder="1" applyAlignment="1">
      <alignment vertical="top" wrapText="1"/>
    </xf>
    <xf numFmtId="0" fontId="9" fillId="0" borderId="41" xfId="0" applyFont="1" applyBorder="1" applyAlignment="1">
      <alignment horizontal="center" vertical="top"/>
    </xf>
    <xf numFmtId="0" fontId="13" fillId="0" borderId="0" xfId="0" quotePrefix="1" applyFont="1" applyBorder="1" applyProtection="1"/>
    <xf numFmtId="0" fontId="14" fillId="0" borderId="0" xfId="0" applyFont="1" applyFill="1" applyBorder="1"/>
    <xf numFmtId="0" fontId="14" fillId="0" borderId="0" xfId="0" applyFont="1" applyBorder="1" applyAlignment="1" applyProtection="1">
      <alignment horizontal="left"/>
    </xf>
    <xf numFmtId="0" fontId="9" fillId="0" borderId="19" xfId="0" applyNumberFormat="1" applyFont="1" applyBorder="1" applyAlignment="1">
      <alignment horizontal="center"/>
    </xf>
    <xf numFmtId="0" fontId="6" fillId="27" borderId="28" xfId="0" applyFont="1" applyFill="1" applyBorder="1"/>
    <xf numFmtId="0" fontId="6" fillId="27" borderId="46" xfId="0" applyFont="1" applyFill="1" applyBorder="1" applyAlignment="1">
      <alignment horizontal="left"/>
    </xf>
    <xf numFmtId="0" fontId="6" fillId="27" borderId="69" xfId="0" applyFont="1" applyFill="1" applyBorder="1" applyAlignment="1">
      <alignment horizontal="left"/>
    </xf>
    <xf numFmtId="0" fontId="6" fillId="27" borderId="28" xfId="0" applyFont="1" applyFill="1" applyBorder="1" applyAlignment="1">
      <alignment horizontal="left"/>
    </xf>
    <xf numFmtId="0" fontId="7" fillId="28" borderId="0" xfId="0" applyFont="1" applyFill="1"/>
    <xf numFmtId="0" fontId="4" fillId="0" borderId="10" xfId="0" applyFont="1" applyBorder="1"/>
    <xf numFmtId="0" fontId="4" fillId="0" borderId="0" xfId="0" applyFont="1" applyBorder="1"/>
    <xf numFmtId="0" fontId="4" fillId="0" borderId="0" xfId="0" applyFont="1"/>
    <xf numFmtId="0" fontId="4" fillId="0" borderId="0" xfId="0" quotePrefix="1" applyFont="1" applyBorder="1"/>
    <xf numFmtId="0" fontId="4" fillId="0" borderId="14" xfId="0" applyFont="1" applyBorder="1"/>
    <xf numFmtId="0" fontId="4" fillId="0" borderId="14" xfId="0" quotePrefix="1" applyFont="1" applyBorder="1"/>
    <xf numFmtId="0" fontId="4" fillId="0" borderId="23" xfId="0" applyFont="1" applyBorder="1"/>
    <xf numFmtId="0" fontId="4" fillId="0" borderId="11" xfId="0" applyFont="1" applyBorder="1"/>
    <xf numFmtId="0" fontId="4" fillId="0" borderId="45" xfId="0" applyFont="1" applyBorder="1"/>
    <xf numFmtId="0" fontId="22" fillId="0" borderId="0" xfId="0" applyFont="1"/>
    <xf numFmtId="0" fontId="4" fillId="0" borderId="14" xfId="0" applyFont="1" applyBorder="1" applyAlignment="1">
      <alignment horizontal="center"/>
    </xf>
    <xf numFmtId="0" fontId="4" fillId="0" borderId="70" xfId="0" applyFont="1" applyBorder="1"/>
    <xf numFmtId="0" fontId="4" fillId="0" borderId="70" xfId="0" applyFont="1" applyBorder="1" applyAlignment="1">
      <alignment horizontal="center"/>
    </xf>
    <xf numFmtId="0" fontId="4" fillId="0" borderId="0" xfId="0" applyFont="1" applyAlignment="1">
      <alignment horizontal="center"/>
    </xf>
    <xf numFmtId="0" fontId="6" fillId="29" borderId="71" xfId="0" applyFont="1" applyFill="1" applyBorder="1" applyAlignment="1">
      <alignment horizontal="center"/>
    </xf>
    <xf numFmtId="0" fontId="23" fillId="29" borderId="0" xfId="0" applyFont="1" applyFill="1"/>
    <xf numFmtId="0" fontId="4" fillId="0" borderId="70" xfId="0" applyFont="1" applyFill="1" applyBorder="1" applyAlignment="1">
      <alignment horizontal="center"/>
    </xf>
    <xf numFmtId="0" fontId="4" fillId="0" borderId="0" xfId="0" applyFont="1" applyFill="1" applyBorder="1"/>
    <xf numFmtId="0" fontId="4" fillId="0" borderId="0" xfId="0" applyFont="1" applyFill="1"/>
    <xf numFmtId="0" fontId="4" fillId="0" borderId="45" xfId="0" applyFont="1" applyBorder="1" applyAlignment="1">
      <alignment horizontal="center"/>
    </xf>
    <xf numFmtId="0" fontId="4" fillId="0" borderId="72" xfId="0" applyFont="1" applyBorder="1" applyAlignment="1">
      <alignment horizontal="center"/>
    </xf>
    <xf numFmtId="0" fontId="4" fillId="0" borderId="0" xfId="0" applyFont="1" applyBorder="1" applyAlignment="1">
      <alignment horizontal="center"/>
    </xf>
    <xf numFmtId="0" fontId="0" fillId="0" borderId="0" xfId="0" applyProtection="1">
      <protection locked="0"/>
    </xf>
    <xf numFmtId="0" fontId="4" fillId="24" borderId="0" xfId="0" applyFont="1" applyFill="1" applyProtection="1">
      <protection locked="0"/>
    </xf>
    <xf numFmtId="0" fontId="4" fillId="0" borderId="0" xfId="0" applyFont="1" applyProtection="1">
      <protection locked="0"/>
    </xf>
    <xf numFmtId="16" fontId="0" fillId="0" borderId="0" xfId="0" applyNumberFormat="1" applyProtection="1">
      <protection locked="0"/>
    </xf>
    <xf numFmtId="173" fontId="9" fillId="0" borderId="20" xfId="30" applyNumberFormat="1" applyFont="1" applyFill="1" applyBorder="1" applyProtection="1">
      <protection locked="0"/>
    </xf>
    <xf numFmtId="173" fontId="9" fillId="0" borderId="20" xfId="0" applyNumberFormat="1" applyFont="1" applyFill="1" applyBorder="1" applyProtection="1">
      <protection locked="0"/>
    </xf>
    <xf numFmtId="173" fontId="9" fillId="0" borderId="22" xfId="0" applyNumberFormat="1" applyFont="1" applyFill="1" applyBorder="1" applyProtection="1">
      <protection locked="0"/>
    </xf>
    <xf numFmtId="172" fontId="10" fillId="0" borderId="63" xfId="0" applyNumberFormat="1" applyFont="1" applyBorder="1" applyAlignment="1">
      <alignment vertical="top"/>
    </xf>
    <xf numFmtId="172" fontId="10" fillId="0" borderId="63" xfId="0" applyNumberFormat="1" applyFont="1" applyFill="1" applyBorder="1"/>
    <xf numFmtId="172" fontId="10" fillId="0" borderId="43" xfId="0" applyNumberFormat="1" applyFont="1" applyFill="1" applyBorder="1"/>
    <xf numFmtId="172" fontId="10" fillId="0" borderId="44" xfId="0" applyNumberFormat="1" applyFont="1" applyFill="1" applyBorder="1"/>
    <xf numFmtId="172" fontId="10" fillId="0" borderId="42" xfId="0" applyNumberFormat="1" applyFont="1" applyFill="1" applyBorder="1"/>
    <xf numFmtId="0" fontId="16" fillId="0" borderId="0" xfId="0" applyFont="1" applyFill="1" applyBorder="1" applyAlignment="1">
      <alignment horizontal="left"/>
    </xf>
    <xf numFmtId="172" fontId="10" fillId="0" borderId="52" xfId="0" applyNumberFormat="1" applyFont="1" applyFill="1" applyBorder="1" applyProtection="1"/>
    <xf numFmtId="0" fontId="9" fillId="0" borderId="21" xfId="0" applyFont="1" applyFill="1" applyBorder="1" applyAlignment="1">
      <alignment horizontal="left" vertical="top" wrapText="1"/>
    </xf>
    <xf numFmtId="172" fontId="10" fillId="0" borderId="73" xfId="0" applyNumberFormat="1" applyFont="1" applyFill="1" applyBorder="1"/>
    <xf numFmtId="172" fontId="10" fillId="0" borderId="61" xfId="0" applyNumberFormat="1" applyFont="1" applyFill="1" applyBorder="1"/>
    <xf numFmtId="172" fontId="10" fillId="0" borderId="41" xfId="0" applyNumberFormat="1" applyFont="1" applyFill="1" applyBorder="1"/>
    <xf numFmtId="172" fontId="10" fillId="0" borderId="56" xfId="0" applyNumberFormat="1" applyFont="1" applyFill="1" applyBorder="1"/>
    <xf numFmtId="172" fontId="10" fillId="0" borderId="74" xfId="0" applyNumberFormat="1" applyFont="1" applyFill="1" applyBorder="1"/>
    <xf numFmtId="172" fontId="10" fillId="0" borderId="50" xfId="0" applyNumberFormat="1" applyFont="1" applyFill="1" applyBorder="1"/>
    <xf numFmtId="172" fontId="10" fillId="0" borderId="66" xfId="0" applyNumberFormat="1" applyFont="1" applyFill="1" applyBorder="1"/>
    <xf numFmtId="172" fontId="10" fillId="0" borderId="51" xfId="0" applyNumberFormat="1" applyFont="1" applyFill="1" applyBorder="1"/>
    <xf numFmtId="172" fontId="10" fillId="0" borderId="52" xfId="0" applyNumberFormat="1" applyFont="1" applyFill="1" applyBorder="1"/>
    <xf numFmtId="172" fontId="10" fillId="0" borderId="20" xfId="0" applyNumberFormat="1" applyFont="1" applyFill="1" applyBorder="1"/>
    <xf numFmtId="172" fontId="10" fillId="0" borderId="39" xfId="0" applyNumberFormat="1" applyFont="1" applyFill="1" applyBorder="1"/>
    <xf numFmtId="172" fontId="10" fillId="0" borderId="22" xfId="0" applyNumberFormat="1" applyFont="1" applyFill="1" applyBorder="1"/>
    <xf numFmtId="0" fontId="0" fillId="0" borderId="0" xfId="0" applyProtection="1"/>
    <xf numFmtId="0" fontId="5" fillId="0" borderId="0" xfId="0" applyFont="1" applyProtection="1"/>
    <xf numFmtId="0" fontId="7" fillId="30" borderId="75" xfId="0" applyFont="1" applyFill="1" applyBorder="1" applyAlignment="1" applyProtection="1">
      <alignment horizontal="center"/>
    </xf>
    <xf numFmtId="172" fontId="10" fillId="0" borderId="22" xfId="0" applyNumberFormat="1" applyFont="1" applyFill="1" applyBorder="1" applyProtection="1"/>
    <xf numFmtId="172" fontId="9" fillId="0" borderId="15" xfId="0" applyNumberFormat="1" applyFont="1" applyFill="1" applyBorder="1" applyProtection="1"/>
    <xf numFmtId="173" fontId="9" fillId="0" borderId="16" xfId="0" applyNumberFormat="1" applyFont="1" applyFill="1" applyBorder="1" applyProtection="1"/>
    <xf numFmtId="173" fontId="9" fillId="0" borderId="18" xfId="0" applyNumberFormat="1" applyFont="1" applyFill="1" applyBorder="1" applyProtection="1"/>
    <xf numFmtId="172" fontId="10" fillId="0" borderId="21" xfId="0" applyNumberFormat="1" applyFont="1" applyFill="1" applyBorder="1" applyProtection="1"/>
    <xf numFmtId="172" fontId="10" fillId="0" borderId="19" xfId="0" applyNumberFormat="1" applyFont="1" applyFill="1" applyBorder="1" applyProtection="1"/>
    <xf numFmtId="0" fontId="10" fillId="0" borderId="29" xfId="0" applyFont="1" applyFill="1" applyBorder="1" applyAlignment="1">
      <alignment horizontal="center" vertical="center"/>
    </xf>
    <xf numFmtId="0" fontId="10" fillId="0" borderId="30" xfId="0" applyFont="1" applyBorder="1" applyAlignment="1">
      <alignment horizontal="center"/>
    </xf>
    <xf numFmtId="172" fontId="10" fillId="0" borderId="43" xfId="0" applyNumberFormat="1" applyFont="1" applyFill="1" applyBorder="1" applyProtection="1"/>
    <xf numFmtId="172" fontId="10" fillId="0" borderId="63" xfId="0" applyNumberFormat="1" applyFont="1" applyFill="1" applyBorder="1" applyProtection="1"/>
    <xf numFmtId="172" fontId="10" fillId="0" borderId="44" xfId="0" applyNumberFormat="1" applyFont="1" applyFill="1" applyBorder="1" applyProtection="1"/>
    <xf numFmtId="0" fontId="9" fillId="0" borderId="19" xfId="0" applyNumberFormat="1" applyFont="1" applyFill="1" applyBorder="1" applyAlignment="1" applyProtection="1">
      <alignment horizontal="left" indent="2"/>
    </xf>
    <xf numFmtId="172" fontId="10" fillId="0" borderId="15" xfId="0" applyNumberFormat="1" applyFont="1" applyFill="1" applyBorder="1" applyProtection="1"/>
    <xf numFmtId="172" fontId="10" fillId="0" borderId="18" xfId="0" applyNumberFormat="1" applyFont="1" applyFill="1" applyBorder="1"/>
    <xf numFmtId="0" fontId="10" fillId="0" borderId="54" xfId="0" applyNumberFormat="1" applyFont="1" applyBorder="1" applyProtection="1"/>
    <xf numFmtId="0" fontId="13" fillId="0" borderId="0" xfId="0" applyFont="1" applyBorder="1" applyAlignment="1" applyProtection="1">
      <alignment horizontal="center"/>
    </xf>
    <xf numFmtId="169" fontId="12" fillId="0" borderId="0" xfId="0" applyNumberFormat="1" applyFont="1" applyBorder="1" applyProtection="1">
      <protection locked="0"/>
    </xf>
    <xf numFmtId="0" fontId="12" fillId="0" borderId="0" xfId="0" applyFont="1" applyBorder="1" applyProtection="1"/>
    <xf numFmtId="169" fontId="12" fillId="0" borderId="0" xfId="0" applyNumberFormat="1" applyFont="1" applyBorder="1" applyProtection="1"/>
    <xf numFmtId="0" fontId="10" fillId="0" borderId="32" xfId="0" applyFont="1" applyFill="1" applyBorder="1" applyAlignment="1">
      <alignment vertical="center"/>
    </xf>
    <xf numFmtId="0" fontId="10" fillId="0" borderId="22" xfId="0" applyFont="1" applyFill="1" applyBorder="1" applyAlignment="1">
      <alignment horizontal="center" vertical="center"/>
    </xf>
    <xf numFmtId="0" fontId="10" fillId="0" borderId="27" xfId="0" applyFont="1" applyFill="1" applyBorder="1" applyAlignment="1">
      <alignment horizontal="center" vertical="center"/>
    </xf>
    <xf numFmtId="0" fontId="9" fillId="0" borderId="22" xfId="0" applyNumberFormat="1" applyFont="1" applyBorder="1" applyAlignment="1">
      <alignment horizontal="center"/>
    </xf>
    <xf numFmtId="0" fontId="9" fillId="0" borderId="22" xfId="0" applyNumberFormat="1" applyFont="1" applyBorder="1" applyAlignment="1" applyProtection="1">
      <alignment horizontal="center"/>
    </xf>
    <xf numFmtId="0" fontId="9" fillId="0" borderId="22" xfId="0" applyNumberFormat="1" applyFont="1" applyFill="1" applyBorder="1" applyAlignment="1" applyProtection="1">
      <alignment horizontal="center"/>
    </xf>
    <xf numFmtId="0" fontId="15" fillId="0" borderId="22" xfId="0" applyNumberFormat="1" applyFont="1" applyBorder="1" applyAlignment="1" applyProtection="1">
      <alignment horizontal="center"/>
    </xf>
    <xf numFmtId="0" fontId="9" fillId="0" borderId="52" xfId="0" applyNumberFormat="1" applyFont="1" applyBorder="1" applyAlignment="1" applyProtection="1">
      <alignment horizontal="center"/>
    </xf>
    <xf numFmtId="0" fontId="10" fillId="0" borderId="29" xfId="0" applyFont="1" applyBorder="1" applyAlignment="1">
      <alignment horizontal="center"/>
    </xf>
    <xf numFmtId="172" fontId="10" fillId="0" borderId="25" xfId="0" applyNumberFormat="1" applyFont="1" applyFill="1" applyBorder="1"/>
    <xf numFmtId="0" fontId="10" fillId="0" borderId="32" xfId="0" applyFont="1" applyBorder="1" applyAlignment="1">
      <alignment horizontal="center"/>
    </xf>
    <xf numFmtId="0" fontId="11" fillId="0" borderId="10" xfId="0" applyFont="1" applyBorder="1" applyProtection="1"/>
    <xf numFmtId="0" fontId="10" fillId="0" borderId="30" xfId="0" applyFont="1" applyBorder="1" applyAlignment="1" applyProtection="1">
      <alignment horizontal="center"/>
    </xf>
    <xf numFmtId="0" fontId="10" fillId="0" borderId="29" xfId="0" applyFont="1" applyBorder="1" applyAlignment="1" applyProtection="1">
      <alignment horizontal="center"/>
    </xf>
    <xf numFmtId="172" fontId="10" fillId="0" borderId="20" xfId="0" applyNumberFormat="1" applyFont="1" applyBorder="1" applyAlignment="1">
      <alignment horizontal="right"/>
    </xf>
    <xf numFmtId="172" fontId="10" fillId="0" borderId="19" xfId="0" applyNumberFormat="1" applyFont="1" applyBorder="1" applyAlignment="1">
      <alignment horizontal="right"/>
    </xf>
    <xf numFmtId="172" fontId="9" fillId="24" borderId="20" xfId="0" applyNumberFormat="1" applyFont="1" applyFill="1" applyBorder="1" applyAlignment="1" applyProtection="1">
      <alignment horizontal="right"/>
      <protection locked="0"/>
    </xf>
    <xf numFmtId="172" fontId="9" fillId="24" borderId="19" xfId="0" applyNumberFormat="1" applyFont="1" applyFill="1" applyBorder="1" applyAlignment="1" applyProtection="1">
      <alignment horizontal="right"/>
      <protection locked="0"/>
    </xf>
    <xf numFmtId="172" fontId="9" fillId="24" borderId="22" xfId="0" applyNumberFormat="1" applyFont="1" applyFill="1" applyBorder="1" applyAlignment="1" applyProtection="1">
      <alignment horizontal="right"/>
      <protection locked="0"/>
    </xf>
    <xf numFmtId="0" fontId="10" fillId="0" borderId="10" xfId="0" applyFont="1" applyBorder="1" applyAlignment="1" applyProtection="1">
      <alignment horizontal="left"/>
    </xf>
    <xf numFmtId="172" fontId="10" fillId="0" borderId="16" xfId="0" applyNumberFormat="1" applyFont="1" applyBorder="1" applyAlignment="1" applyProtection="1">
      <alignment horizontal="right"/>
    </xf>
    <xf numFmtId="172" fontId="10" fillId="0" borderId="15" xfId="0" applyNumberFormat="1" applyFont="1" applyBorder="1" applyAlignment="1" applyProtection="1">
      <alignment horizontal="right"/>
    </xf>
    <xf numFmtId="0" fontId="9" fillId="0" borderId="23" xfId="0" applyFont="1" applyBorder="1" applyProtection="1"/>
    <xf numFmtId="172" fontId="9" fillId="0" borderId="25" xfId="0" applyNumberFormat="1" applyFont="1" applyBorder="1" applyProtection="1"/>
    <xf numFmtId="172" fontId="9" fillId="0" borderId="24" xfId="0" applyNumberFormat="1" applyFont="1" applyBorder="1" applyProtection="1"/>
    <xf numFmtId="0" fontId="11" fillId="0" borderId="28" xfId="0" applyFont="1" applyBorder="1" applyProtection="1"/>
    <xf numFmtId="172" fontId="9" fillId="0" borderId="30" xfId="0" applyNumberFormat="1" applyFont="1" applyBorder="1" applyProtection="1"/>
    <xf numFmtId="172" fontId="9" fillId="0" borderId="29" xfId="0" applyNumberFormat="1" applyFont="1" applyBorder="1" applyProtection="1"/>
    <xf numFmtId="0" fontId="10" fillId="0" borderId="10" xfId="0" applyFont="1" applyFill="1" applyBorder="1" applyAlignment="1" applyProtection="1">
      <alignment horizontal="left" indent="1"/>
    </xf>
    <xf numFmtId="172" fontId="10" fillId="0" borderId="20" xfId="0" applyNumberFormat="1" applyFont="1" applyBorder="1" applyAlignment="1" applyProtection="1">
      <alignment horizontal="right"/>
    </xf>
    <xf numFmtId="172" fontId="10" fillId="0" borderId="19" xfId="0" applyNumberFormat="1" applyFont="1" applyBorder="1" applyAlignment="1" applyProtection="1">
      <alignment horizontal="right"/>
    </xf>
    <xf numFmtId="0" fontId="9" fillId="0" borderId="10" xfId="0" applyFont="1" applyFill="1" applyBorder="1" applyAlignment="1" applyProtection="1">
      <alignment horizontal="left" indent="1"/>
    </xf>
    <xf numFmtId="0" fontId="10" fillId="0" borderId="10" xfId="0" applyFont="1" applyBorder="1" applyAlignment="1">
      <alignment horizontal="left"/>
    </xf>
    <xf numFmtId="0" fontId="9" fillId="0" borderId="0" xfId="0" applyFont="1" applyBorder="1" applyAlignment="1" applyProtection="1">
      <alignment horizontal="center"/>
      <protection locked="0"/>
    </xf>
    <xf numFmtId="0" fontId="13" fillId="0" borderId="0" xfId="0" applyFont="1" applyFill="1" applyBorder="1" applyProtection="1">
      <protection locked="0"/>
    </xf>
    <xf numFmtId="169" fontId="10" fillId="0" borderId="0" xfId="0" applyNumberFormat="1" applyFont="1" applyFill="1" applyBorder="1" applyProtection="1">
      <protection locked="0"/>
    </xf>
    <xf numFmtId="0" fontId="10" fillId="0" borderId="0" xfId="0" applyFont="1" applyBorder="1" applyProtection="1">
      <protection locked="0"/>
    </xf>
    <xf numFmtId="169" fontId="10" fillId="0" borderId="0" xfId="0" applyNumberFormat="1" applyFont="1" applyBorder="1" applyProtection="1">
      <protection locked="0"/>
    </xf>
    <xf numFmtId="0" fontId="13" fillId="0" borderId="0" xfId="0" applyFont="1" applyBorder="1" applyAlignment="1" applyProtection="1">
      <alignment horizontal="center"/>
      <protection locked="0"/>
    </xf>
    <xf numFmtId="0" fontId="13" fillId="0" borderId="0" xfId="0" applyFont="1" applyBorder="1" applyAlignment="1" applyProtection="1">
      <alignment horizontal="right"/>
      <protection locked="0"/>
    </xf>
    <xf numFmtId="166" fontId="9" fillId="0" borderId="0" xfId="28" applyNumberFormat="1" applyFont="1" applyProtection="1">
      <protection locked="0"/>
    </xf>
    <xf numFmtId="0" fontId="10" fillId="0" borderId="32" xfId="0" applyFont="1" applyBorder="1" applyAlignment="1" applyProtection="1">
      <alignment horizontal="center"/>
    </xf>
    <xf numFmtId="172" fontId="10" fillId="0" borderId="22" xfId="0" applyNumberFormat="1" applyFont="1" applyBorder="1" applyAlignment="1">
      <alignment horizontal="right"/>
    </xf>
    <xf numFmtId="172" fontId="10" fillId="0" borderId="18" xfId="0" applyNumberFormat="1" applyFont="1" applyBorder="1" applyAlignment="1" applyProtection="1">
      <alignment horizontal="right"/>
    </xf>
    <xf numFmtId="172" fontId="9" fillId="0" borderId="27" xfId="0" applyNumberFormat="1" applyFont="1" applyBorder="1" applyProtection="1"/>
    <xf numFmtId="172" fontId="9" fillId="0" borderId="32" xfId="0" applyNumberFormat="1" applyFont="1" applyBorder="1" applyProtection="1"/>
    <xf numFmtId="172" fontId="10" fillId="0" borderId="22" xfId="0" applyNumberFormat="1" applyFont="1" applyBorder="1" applyAlignment="1" applyProtection="1">
      <alignment horizontal="right"/>
    </xf>
    <xf numFmtId="172" fontId="9" fillId="0" borderId="51" xfId="0" applyNumberFormat="1" applyFont="1" applyBorder="1"/>
    <xf numFmtId="172" fontId="9" fillId="0" borderId="19" xfId="0" applyNumberFormat="1" applyFont="1" applyBorder="1" applyProtection="1"/>
    <xf numFmtId="0" fontId="10" fillId="0" borderId="19" xfId="0" applyFont="1" applyBorder="1" applyAlignment="1" applyProtection="1">
      <alignment horizontal="center"/>
    </xf>
    <xf numFmtId="0" fontId="10" fillId="0" borderId="20" xfId="0" applyFont="1" applyBorder="1" applyAlignment="1" applyProtection="1">
      <alignment horizontal="center"/>
    </xf>
    <xf numFmtId="0" fontId="10" fillId="0" borderId="22" xfId="0" applyFont="1" applyBorder="1" applyAlignment="1" applyProtection="1">
      <alignment horizontal="center"/>
    </xf>
    <xf numFmtId="0" fontId="0" fillId="0" borderId="0" xfId="0" applyBorder="1"/>
    <xf numFmtId="172" fontId="10" fillId="0" borderId="76" xfId="0" applyNumberFormat="1" applyFont="1" applyBorder="1"/>
    <xf numFmtId="172" fontId="10" fillId="0" borderId="77" xfId="0" applyNumberFormat="1" applyFont="1" applyBorder="1"/>
    <xf numFmtId="172" fontId="9" fillId="0" borderId="77" xfId="0" applyNumberFormat="1" applyFont="1" applyBorder="1"/>
    <xf numFmtId="172" fontId="10" fillId="0" borderId="78" xfId="0" applyNumberFormat="1" applyFont="1" applyBorder="1"/>
    <xf numFmtId="172" fontId="9" fillId="0" borderId="20" xfId="0" applyNumberFormat="1" applyFont="1" applyBorder="1" applyAlignment="1">
      <alignment horizontal="right"/>
    </xf>
    <xf numFmtId="172" fontId="10" fillId="0" borderId="16" xfId="0" applyNumberFormat="1" applyFont="1" applyFill="1" applyBorder="1" applyAlignment="1">
      <alignment horizontal="right"/>
    </xf>
    <xf numFmtId="172" fontId="9" fillId="0" borderId="20" xfId="0" applyNumberFormat="1" applyFont="1" applyBorder="1" applyAlignment="1">
      <alignment horizontal="center"/>
    </xf>
    <xf numFmtId="172" fontId="9" fillId="0" borderId="20" xfId="0" applyNumberFormat="1" applyFont="1" applyFill="1" applyBorder="1" applyAlignment="1" applyProtection="1">
      <alignment horizontal="center"/>
    </xf>
    <xf numFmtId="172" fontId="10" fillId="0" borderId="16" xfId="0" applyNumberFormat="1" applyFont="1" applyFill="1" applyBorder="1" applyAlignment="1">
      <alignment horizontal="center"/>
    </xf>
    <xf numFmtId="172" fontId="9" fillId="0" borderId="20" xfId="30" applyNumberFormat="1" applyFont="1" applyFill="1" applyBorder="1" applyProtection="1"/>
    <xf numFmtId="172" fontId="9" fillId="0" borderId="22" xfId="30" applyNumberFormat="1" applyFont="1" applyFill="1" applyBorder="1" applyProtection="1"/>
    <xf numFmtId="0" fontId="9" fillId="0" borderId="0" xfId="0" applyFont="1" applyFill="1" applyBorder="1" applyAlignment="1">
      <alignment horizontal="center"/>
    </xf>
    <xf numFmtId="0" fontId="13" fillId="0" borderId="10" xfId="0" applyFont="1" applyFill="1" applyBorder="1" applyAlignment="1">
      <alignment horizontal="right"/>
    </xf>
    <xf numFmtId="166" fontId="9" fillId="0" borderId="0" xfId="30" applyNumberFormat="1" applyFont="1" applyFill="1" applyBorder="1"/>
    <xf numFmtId="0" fontId="4" fillId="24" borderId="69" xfId="0" applyFont="1" applyFill="1" applyBorder="1" applyAlignment="1" applyProtection="1">
      <alignment horizontal="center"/>
      <protection locked="0"/>
    </xf>
    <xf numFmtId="17" fontId="4" fillId="24" borderId="46" xfId="0" quotePrefix="1" applyNumberFormat="1" applyFont="1" applyFill="1" applyBorder="1" applyProtection="1">
      <protection locked="0"/>
    </xf>
    <xf numFmtId="0" fontId="4" fillId="24" borderId="46" xfId="0" applyFont="1" applyFill="1" applyBorder="1" applyProtection="1">
      <protection locked="0"/>
    </xf>
    <xf numFmtId="0" fontId="4" fillId="24" borderId="79" xfId="0" applyFont="1" applyFill="1" applyBorder="1" applyProtection="1">
      <protection locked="0"/>
    </xf>
    <xf numFmtId="0" fontId="4" fillId="24" borderId="14" xfId="0" applyFont="1" applyFill="1" applyBorder="1" applyAlignment="1" applyProtection="1">
      <alignment horizontal="center"/>
      <protection locked="0"/>
    </xf>
    <xf numFmtId="17" fontId="4" fillId="24" borderId="0" xfId="0" quotePrefix="1" applyNumberFormat="1" applyFont="1" applyFill="1" applyBorder="1" applyProtection="1">
      <protection locked="0"/>
    </xf>
    <xf numFmtId="0" fontId="4" fillId="24" borderId="0" xfId="0" applyFont="1" applyFill="1" applyBorder="1" applyProtection="1">
      <protection locked="0"/>
    </xf>
    <xf numFmtId="0" fontId="4" fillId="24" borderId="70" xfId="0" applyFont="1" applyFill="1" applyBorder="1" applyProtection="1">
      <protection locked="0"/>
    </xf>
    <xf numFmtId="0" fontId="4" fillId="24" borderId="70" xfId="0" applyFont="1" applyFill="1" applyBorder="1" applyAlignment="1" applyProtection="1">
      <alignment horizontal="center"/>
      <protection locked="0"/>
    </xf>
    <xf numFmtId="0" fontId="4" fillId="24" borderId="0" xfId="0" applyFont="1" applyFill="1" applyAlignment="1" applyProtection="1">
      <alignment horizontal="center"/>
      <protection locked="0"/>
    </xf>
    <xf numFmtId="0" fontId="4" fillId="24" borderId="0" xfId="0" applyFont="1" applyFill="1" applyAlignment="1" applyProtection="1">
      <alignment horizontal="left"/>
      <protection locked="0"/>
    </xf>
    <xf numFmtId="0" fontId="13" fillId="24" borderId="0" xfId="0" applyFont="1" applyFill="1" applyBorder="1" applyProtection="1">
      <protection locked="0"/>
    </xf>
    <xf numFmtId="168" fontId="9" fillId="24" borderId="75" xfId="0" applyNumberFormat="1" applyFont="1" applyFill="1" applyBorder="1" applyAlignment="1" applyProtection="1">
      <alignment horizontal="center"/>
      <protection locked="0"/>
    </xf>
    <xf numFmtId="0" fontId="9" fillId="24" borderId="10" xfId="0" applyNumberFormat="1" applyFont="1" applyFill="1" applyBorder="1" applyAlignment="1" applyProtection="1">
      <alignment horizontal="left" vertical="top" wrapText="1" indent="1"/>
      <protection locked="0"/>
    </xf>
    <xf numFmtId="9" fontId="9" fillId="24" borderId="80" xfId="47" applyFont="1" applyFill="1" applyBorder="1" applyAlignment="1" applyProtection="1">
      <alignment horizontal="center"/>
      <protection locked="0"/>
    </xf>
    <xf numFmtId="9" fontId="9" fillId="24" borderId="81" xfId="47" applyFont="1" applyFill="1" applyBorder="1" applyAlignment="1" applyProtection="1">
      <alignment horizontal="center"/>
      <protection locked="0"/>
    </xf>
    <xf numFmtId="9" fontId="9" fillId="24" borderId="71" xfId="47" applyFont="1" applyFill="1" applyBorder="1" applyAlignment="1" applyProtection="1">
      <alignment horizontal="center"/>
      <protection locked="0"/>
    </xf>
    <xf numFmtId="0" fontId="9" fillId="24" borderId="10" xfId="0" quotePrefix="1" applyFont="1" applyFill="1" applyBorder="1" applyAlignment="1" applyProtection="1">
      <alignment horizontal="left" indent="1"/>
      <protection locked="0"/>
    </xf>
    <xf numFmtId="0" fontId="10" fillId="24" borderId="58" xfId="0" applyFont="1" applyFill="1" applyBorder="1" applyAlignment="1" applyProtection="1">
      <alignment horizontal="center" vertical="top" wrapText="1"/>
      <protection locked="0"/>
    </xf>
    <xf numFmtId="0" fontId="10" fillId="24" borderId="39" xfId="0" applyFont="1" applyFill="1" applyBorder="1" applyAlignment="1" applyProtection="1">
      <alignment horizontal="center" vertical="top" wrapText="1"/>
      <protection locked="0"/>
    </xf>
    <xf numFmtId="0" fontId="10" fillId="24" borderId="62" xfId="0" applyFont="1" applyFill="1" applyBorder="1" applyAlignment="1" applyProtection="1">
      <alignment horizontal="center" vertical="top" wrapText="1"/>
      <protection locked="0"/>
    </xf>
    <xf numFmtId="0" fontId="10" fillId="24" borderId="19" xfId="0" applyFont="1" applyFill="1" applyBorder="1" applyAlignment="1" applyProtection="1">
      <alignment horizontal="center" vertical="top" wrapText="1"/>
      <protection locked="0"/>
    </xf>
    <xf numFmtId="0" fontId="10" fillId="24" borderId="20" xfId="0" applyFont="1" applyFill="1" applyBorder="1" applyAlignment="1" applyProtection="1">
      <alignment horizontal="center" vertical="top" wrapText="1"/>
      <protection locked="0"/>
    </xf>
    <xf numFmtId="0" fontId="10" fillId="24" borderId="21" xfId="0" applyFont="1" applyFill="1" applyBorder="1" applyAlignment="1" applyProtection="1">
      <alignment horizontal="center" vertical="top" wrapText="1"/>
      <protection locked="0"/>
    </xf>
    <xf numFmtId="0" fontId="10" fillId="24" borderId="38" xfId="0" applyFont="1" applyFill="1" applyBorder="1" applyAlignment="1" applyProtection="1">
      <alignment horizontal="center" vertical="top" wrapText="1"/>
      <protection locked="0"/>
    </xf>
    <xf numFmtId="172" fontId="10" fillId="24" borderId="20" xfId="0" applyNumberFormat="1" applyFont="1" applyFill="1" applyBorder="1" applyProtection="1">
      <protection locked="0"/>
    </xf>
    <xf numFmtId="0" fontId="12" fillId="24" borderId="10" xfId="0" applyNumberFormat="1" applyFont="1" applyFill="1" applyBorder="1" applyProtection="1">
      <protection locked="0"/>
    </xf>
    <xf numFmtId="0" fontId="0" fillId="24" borderId="0" xfId="0" applyFill="1" applyProtection="1">
      <protection locked="0"/>
    </xf>
    <xf numFmtId="0" fontId="2" fillId="24" borderId="0" xfId="0" applyFont="1" applyFill="1" applyBorder="1" applyProtection="1">
      <protection locked="0"/>
    </xf>
    <xf numFmtId="0" fontId="41" fillId="24" borderId="0" xfId="0" applyFont="1" applyFill="1" applyProtection="1">
      <protection locked="0"/>
    </xf>
    <xf numFmtId="0" fontId="0" fillId="0" borderId="0" xfId="0" applyFill="1"/>
    <xf numFmtId="0" fontId="10" fillId="31" borderId="45" xfId="0" applyFont="1" applyFill="1" applyBorder="1" applyAlignment="1" applyProtection="1">
      <alignment horizontal="left" vertical="top" wrapText="1"/>
      <protection locked="0"/>
    </xf>
    <xf numFmtId="0" fontId="10" fillId="32" borderId="75" xfId="0" applyFont="1" applyFill="1" applyBorder="1" applyAlignment="1" applyProtection="1">
      <alignment horizontal="left" vertical="top" wrapText="1" indent="1"/>
      <protection locked="0"/>
    </xf>
    <xf numFmtId="0" fontId="10" fillId="33" borderId="75" xfId="0" applyFont="1" applyFill="1" applyBorder="1" applyAlignment="1" applyProtection="1">
      <alignment horizontal="left" vertical="top" wrapText="1" indent="2"/>
      <protection locked="0"/>
    </xf>
    <xf numFmtId="0" fontId="13" fillId="24" borderId="45" xfId="0" applyFont="1" applyFill="1" applyBorder="1" applyAlignment="1" applyProtection="1">
      <alignment horizontal="left" wrapText="1"/>
      <protection locked="0"/>
    </xf>
    <xf numFmtId="0" fontId="10" fillId="24" borderId="45" xfId="0" applyFont="1" applyFill="1" applyBorder="1" applyAlignment="1" applyProtection="1">
      <alignment horizontal="left" vertical="top" wrapText="1"/>
      <protection locked="0"/>
    </xf>
    <xf numFmtId="0" fontId="10" fillId="24" borderId="75" xfId="0" applyFont="1" applyFill="1" applyBorder="1" applyAlignment="1" applyProtection="1">
      <alignment horizontal="left" vertical="top" wrapText="1"/>
      <protection locked="0"/>
    </xf>
    <xf numFmtId="0" fontId="10" fillId="24" borderId="75" xfId="0" applyFont="1" applyFill="1" applyBorder="1" applyAlignment="1" applyProtection="1">
      <alignment horizontal="left" wrapText="1" indent="1"/>
      <protection locked="0"/>
    </xf>
    <xf numFmtId="0" fontId="9" fillId="24" borderId="45" xfId="0" applyFont="1" applyFill="1" applyBorder="1" applyAlignment="1" applyProtection="1">
      <alignment horizontal="left" wrapText="1"/>
      <protection locked="0"/>
    </xf>
    <xf numFmtId="0" fontId="13" fillId="0" borderId="0" xfId="0" applyFont="1" applyFill="1" applyBorder="1" applyAlignment="1">
      <alignment horizontal="left" vertical="top" wrapText="1"/>
    </xf>
    <xf numFmtId="0" fontId="10" fillId="0" borderId="10" xfId="0" applyNumberFormat="1" applyFont="1" applyBorder="1" applyAlignment="1">
      <alignment horizontal="left" indent="1"/>
    </xf>
    <xf numFmtId="0" fontId="15" fillId="0" borderId="10" xfId="0" applyFont="1" applyFill="1" applyBorder="1" applyAlignment="1">
      <alignment horizontal="left" indent="1"/>
    </xf>
    <xf numFmtId="0" fontId="13" fillId="0" borderId="10" xfId="0" applyNumberFormat="1" applyFont="1" applyBorder="1" applyAlignment="1" applyProtection="1">
      <alignment horizontal="right" indent="1"/>
    </xf>
    <xf numFmtId="0" fontId="13" fillId="0" borderId="0" xfId="0" applyFont="1" applyFill="1" applyBorder="1" applyProtection="1"/>
    <xf numFmtId="0" fontId="10" fillId="0" borderId="10" xfId="0" applyNumberFormat="1" applyFont="1" applyFill="1" applyBorder="1" applyAlignment="1">
      <alignment horizontal="left"/>
    </xf>
    <xf numFmtId="0" fontId="42" fillId="0" borderId="0" xfId="0" applyFont="1"/>
    <xf numFmtId="0" fontId="42" fillId="0" borderId="22" xfId="0" applyFont="1" applyBorder="1"/>
    <xf numFmtId="0" fontId="43" fillId="0" borderId="19" xfId="0" applyFont="1" applyFill="1" applyBorder="1" applyAlignment="1">
      <alignment horizontal="left" vertical="top" wrapText="1" indent="3"/>
    </xf>
    <xf numFmtId="0" fontId="11" fillId="0" borderId="14" xfId="0" applyFont="1" applyFill="1" applyBorder="1" applyAlignment="1">
      <alignment horizontal="left" indent="1"/>
    </xf>
    <xf numFmtId="0" fontId="10" fillId="0" borderId="37" xfId="0" applyFont="1" applyFill="1" applyBorder="1"/>
    <xf numFmtId="0" fontId="9" fillId="0" borderId="0" xfId="0" applyFont="1" applyFill="1" applyAlignment="1">
      <alignment horizontal="center"/>
    </xf>
    <xf numFmtId="0" fontId="9" fillId="0" borderId="0" xfId="0" applyFont="1" applyFill="1" applyProtection="1"/>
    <xf numFmtId="0" fontId="9" fillId="0" borderId="20" xfId="0" applyFont="1" applyFill="1" applyBorder="1" applyAlignment="1">
      <alignment horizontal="center"/>
    </xf>
    <xf numFmtId="0" fontId="9" fillId="0" borderId="0" xfId="0" applyFont="1" applyFill="1" applyBorder="1" applyAlignment="1">
      <alignment vertical="top" wrapText="1"/>
    </xf>
    <xf numFmtId="0" fontId="9" fillId="0" borderId="0" xfId="0" applyFont="1" applyFill="1" applyAlignment="1"/>
    <xf numFmtId="0" fontId="10" fillId="0" borderId="0" xfId="0" applyFont="1" applyFill="1" applyBorder="1" applyAlignment="1">
      <alignment horizontal="center"/>
    </xf>
    <xf numFmtId="172" fontId="10" fillId="0" borderId="0" xfId="0" applyNumberFormat="1" applyFont="1" applyFill="1" applyBorder="1" applyAlignment="1">
      <alignment horizontal="left"/>
    </xf>
    <xf numFmtId="172" fontId="9" fillId="0" borderId="0" xfId="0" applyNumberFormat="1" applyFont="1" applyFill="1" applyBorder="1" applyAlignment="1">
      <alignment horizontal="left"/>
    </xf>
    <xf numFmtId="0" fontId="18" fillId="0" borderId="0" xfId="0" applyFont="1" applyFill="1"/>
    <xf numFmtId="0" fontId="9" fillId="0" borderId="0" xfId="0" applyFont="1" applyFill="1" applyAlignment="1">
      <alignment wrapText="1"/>
    </xf>
    <xf numFmtId="0" fontId="11" fillId="0" borderId="28" xfId="0" applyNumberFormat="1" applyFont="1" applyBorder="1"/>
    <xf numFmtId="0" fontId="10" fillId="0" borderId="54" xfId="0" applyNumberFormat="1" applyFont="1" applyBorder="1"/>
    <xf numFmtId="0" fontId="13" fillId="0" borderId="0" xfId="0" applyNumberFormat="1" applyFont="1" applyBorder="1" applyProtection="1"/>
    <xf numFmtId="0" fontId="10" fillId="0" borderId="54" xfId="0" applyNumberFormat="1" applyFont="1" applyBorder="1" applyAlignment="1">
      <alignment wrapText="1"/>
    </xf>
    <xf numFmtId="0" fontId="10" fillId="0" borderId="54" xfId="0" applyNumberFormat="1" applyFont="1" applyBorder="1" applyAlignment="1">
      <alignment vertical="top" wrapText="1"/>
    </xf>
    <xf numFmtId="172" fontId="10" fillId="0" borderId="63" xfId="0" applyNumberFormat="1" applyFont="1" applyBorder="1" applyAlignment="1">
      <alignment horizontal="center"/>
    </xf>
    <xf numFmtId="0" fontId="44" fillId="0" borderId="0" xfId="0" applyFont="1" applyFill="1" applyBorder="1" applyAlignment="1">
      <alignment horizontal="left"/>
    </xf>
    <xf numFmtId="0" fontId="45" fillId="0" borderId="0" xfId="0" applyFont="1"/>
    <xf numFmtId="0" fontId="47" fillId="0" borderId="10" xfId="0" applyFont="1" applyFill="1" applyBorder="1" applyAlignment="1">
      <alignment horizontal="center" vertical="center"/>
    </xf>
    <xf numFmtId="0" fontId="46" fillId="0" borderId="37" xfId="0" applyFont="1" applyFill="1" applyBorder="1" applyAlignment="1">
      <alignment horizontal="left" vertical="center"/>
    </xf>
    <xf numFmtId="0" fontId="48" fillId="0" borderId="10" xfId="0" applyFont="1" applyBorder="1"/>
    <xf numFmtId="0" fontId="45" fillId="0" borderId="30" xfId="0" applyFont="1" applyBorder="1" applyAlignment="1">
      <alignment horizontal="center"/>
    </xf>
    <xf numFmtId="0" fontId="45" fillId="0" borderId="20" xfId="0" applyFont="1" applyBorder="1" applyAlignment="1">
      <alignment horizontal="center"/>
    </xf>
    <xf numFmtId="0" fontId="46" fillId="0" borderId="10" xfId="0" applyFont="1" applyFill="1" applyBorder="1" applyAlignment="1" applyProtection="1">
      <alignment horizontal="left" indent="1"/>
    </xf>
    <xf numFmtId="0" fontId="46" fillId="0" borderId="20" xfId="0" applyFont="1" applyBorder="1" applyAlignment="1">
      <alignment horizontal="center"/>
    </xf>
    <xf numFmtId="0" fontId="45" fillId="0" borderId="10" xfId="0" applyFont="1" applyFill="1" applyBorder="1" applyAlignment="1" applyProtection="1">
      <alignment horizontal="left" indent="1"/>
    </xf>
    <xf numFmtId="0" fontId="45" fillId="0" borderId="20" xfId="0" applyFont="1" applyFill="1" applyBorder="1" applyAlignment="1">
      <alignment horizontal="center"/>
    </xf>
    <xf numFmtId="0" fontId="46" fillId="0" borderId="10" xfId="0" applyFont="1" applyBorder="1" applyAlignment="1">
      <alignment horizontal="left"/>
    </xf>
    <xf numFmtId="0" fontId="45" fillId="0" borderId="23" xfId="0" applyFont="1" applyBorder="1"/>
    <xf numFmtId="0" fontId="45" fillId="0" borderId="32" xfId="0" applyFont="1" applyBorder="1" applyAlignment="1">
      <alignment horizontal="center"/>
    </xf>
    <xf numFmtId="0" fontId="45" fillId="0" borderId="22" xfId="0" applyFont="1" applyBorder="1" applyAlignment="1">
      <alignment horizontal="center"/>
    </xf>
    <xf numFmtId="0" fontId="46" fillId="0" borderId="80" xfId="0" applyFont="1" applyBorder="1"/>
    <xf numFmtId="0" fontId="45" fillId="0" borderId="77" xfId="0" applyFont="1" applyBorder="1" applyAlignment="1">
      <alignment horizontal="center"/>
    </xf>
    <xf numFmtId="0" fontId="49" fillId="0" borderId="0" xfId="0" applyFont="1"/>
    <xf numFmtId="0" fontId="45" fillId="0" borderId="0" xfId="0" applyFont="1" applyBorder="1" applyAlignment="1" applyProtection="1">
      <alignment horizontal="center"/>
      <protection locked="0"/>
    </xf>
    <xf numFmtId="0" fontId="50" fillId="0" borderId="0" xfId="0" applyFont="1" applyBorder="1" applyProtection="1"/>
    <xf numFmtId="0" fontId="47" fillId="0" borderId="0" xfId="0" quotePrefix="1" applyFont="1" applyBorder="1" applyProtection="1"/>
    <xf numFmtId="0" fontId="47" fillId="0" borderId="0" xfId="0" applyFont="1" applyBorder="1" applyAlignment="1" applyProtection="1">
      <alignment horizontal="center"/>
      <protection locked="0"/>
    </xf>
    <xf numFmtId="0" fontId="47" fillId="0" borderId="0" xfId="0" applyFont="1" applyBorder="1" applyAlignment="1" applyProtection="1">
      <alignment horizontal="left"/>
    </xf>
    <xf numFmtId="172" fontId="10" fillId="0" borderId="40" xfId="0" applyNumberFormat="1" applyFont="1" applyFill="1" applyBorder="1" applyProtection="1"/>
    <xf numFmtId="0" fontId="10" fillId="0" borderId="30" xfId="0" applyFont="1" applyFill="1" applyBorder="1" applyAlignment="1">
      <alignment horizontal="center"/>
    </xf>
    <xf numFmtId="169" fontId="12" fillId="0" borderId="0" xfId="0" applyNumberFormat="1" applyFont="1" applyFill="1" applyBorder="1" applyProtection="1">
      <protection locked="0"/>
    </xf>
    <xf numFmtId="169" fontId="12" fillId="0" borderId="0" xfId="0" applyNumberFormat="1" applyFont="1" applyFill="1" applyBorder="1" applyProtection="1"/>
    <xf numFmtId="172" fontId="10" fillId="24" borderId="21" xfId="0" applyNumberFormat="1" applyFont="1" applyFill="1" applyBorder="1" applyProtection="1">
      <protection locked="0"/>
    </xf>
    <xf numFmtId="172" fontId="10" fillId="24" borderId="19" xfId="0" applyNumberFormat="1" applyFont="1" applyFill="1" applyBorder="1" applyProtection="1">
      <protection locked="0"/>
    </xf>
    <xf numFmtId="170" fontId="9" fillId="0" borderId="20" xfId="47" applyNumberFormat="1" applyFont="1" applyFill="1" applyBorder="1" applyAlignment="1">
      <alignment horizontal="center" vertical="top" wrapText="1"/>
    </xf>
    <xf numFmtId="170" fontId="9" fillId="0" borderId="21" xfId="47" applyNumberFormat="1" applyFont="1" applyFill="1" applyBorder="1" applyAlignment="1">
      <alignment horizontal="center" vertical="top" wrapText="1"/>
    </xf>
    <xf numFmtId="170" fontId="9" fillId="0" borderId="22" xfId="47" applyNumberFormat="1" applyFont="1" applyFill="1" applyBorder="1" applyAlignment="1">
      <alignment horizontal="center" vertical="top" wrapText="1"/>
    </xf>
    <xf numFmtId="0" fontId="51" fillId="0" borderId="11" xfId="0" applyFont="1" applyFill="1" applyBorder="1" applyAlignment="1" applyProtection="1">
      <alignment horizontal="left"/>
    </xf>
    <xf numFmtId="172" fontId="10" fillId="0" borderId="76" xfId="0" applyNumberFormat="1" applyFont="1" applyFill="1" applyBorder="1" applyProtection="1"/>
    <xf numFmtId="172" fontId="10" fillId="0" borderId="77" xfId="0" applyNumberFormat="1" applyFont="1" applyFill="1" applyBorder="1" applyProtection="1"/>
    <xf numFmtId="172" fontId="10" fillId="0" borderId="82" xfId="0" applyNumberFormat="1" applyFont="1" applyFill="1" applyBorder="1" applyProtection="1"/>
    <xf numFmtId="172" fontId="10" fillId="0" borderId="82" xfId="0" applyNumberFormat="1" applyFont="1" applyBorder="1"/>
    <xf numFmtId="172" fontId="9" fillId="0" borderId="0" xfId="0" applyNumberFormat="1" applyFont="1" applyFill="1" applyBorder="1" applyProtection="1"/>
    <xf numFmtId="172" fontId="9" fillId="0" borderId="83" xfId="0" applyNumberFormat="1" applyFont="1" applyFill="1" applyBorder="1" applyProtection="1"/>
    <xf numFmtId="172" fontId="9" fillId="0" borderId="16" xfId="30" applyNumberFormat="1" applyFont="1" applyFill="1" applyBorder="1" applyProtection="1"/>
    <xf numFmtId="173" fontId="9" fillId="0" borderId="20" xfId="0" applyNumberFormat="1" applyFont="1" applyFill="1" applyBorder="1" applyProtection="1"/>
    <xf numFmtId="173" fontId="9" fillId="0" borderId="39" xfId="0" applyNumberFormat="1" applyFont="1" applyFill="1" applyBorder="1" applyProtection="1"/>
    <xf numFmtId="173" fontId="9" fillId="0" borderId="43" xfId="0" applyNumberFormat="1" applyFont="1" applyFill="1" applyBorder="1" applyProtection="1"/>
    <xf numFmtId="173" fontId="9" fillId="0" borderId="44" xfId="0" applyNumberFormat="1" applyFont="1" applyFill="1" applyBorder="1" applyProtection="1"/>
    <xf numFmtId="173" fontId="10" fillId="0" borderId="16" xfId="0" applyNumberFormat="1" applyFont="1" applyFill="1" applyBorder="1" applyProtection="1"/>
    <xf numFmtId="173" fontId="10" fillId="0" borderId="18" xfId="0" applyNumberFormat="1" applyFont="1" applyFill="1" applyBorder="1" applyProtection="1"/>
    <xf numFmtId="173" fontId="9" fillId="0" borderId="22" xfId="0" applyNumberFormat="1" applyFont="1" applyFill="1" applyBorder="1" applyProtection="1"/>
    <xf numFmtId="172" fontId="9" fillId="36" borderId="36" xfId="0" applyNumberFormat="1" applyFont="1" applyFill="1" applyBorder="1" applyProtection="1">
      <protection locked="0"/>
    </xf>
    <xf numFmtId="172" fontId="9" fillId="36" borderId="20" xfId="0" applyNumberFormat="1" applyFont="1" applyFill="1" applyBorder="1" applyProtection="1">
      <protection locked="0"/>
    </xf>
    <xf numFmtId="172" fontId="9" fillId="36" borderId="22" xfId="0" applyNumberFormat="1" applyFont="1" applyFill="1" applyBorder="1" applyProtection="1">
      <protection locked="0"/>
    </xf>
    <xf numFmtId="0" fontId="13" fillId="0" borderId="0" xfId="0" applyNumberFormat="1" applyFont="1" applyFill="1" applyBorder="1" applyAlignment="1" applyProtection="1">
      <alignment horizontal="left"/>
    </xf>
    <xf numFmtId="0" fontId="9" fillId="0" borderId="14" xfId="0" applyNumberFormat="1" applyFont="1" applyBorder="1" applyAlignment="1" applyProtection="1">
      <alignment horizontal="center"/>
    </xf>
    <xf numFmtId="0" fontId="10" fillId="0" borderId="14" xfId="0" applyNumberFormat="1" applyFont="1" applyBorder="1" applyAlignment="1" applyProtection="1">
      <alignment horizontal="center"/>
      <protection locked="0"/>
    </xf>
    <xf numFmtId="0" fontId="9" fillId="0" borderId="14" xfId="0" applyNumberFormat="1" applyFont="1" applyBorder="1" applyAlignment="1" applyProtection="1">
      <alignment horizontal="center"/>
      <protection locked="0"/>
    </xf>
    <xf numFmtId="0" fontId="9" fillId="0" borderId="14" xfId="0" applyNumberFormat="1" applyFont="1" applyFill="1" applyBorder="1" applyAlignment="1" applyProtection="1">
      <alignment horizontal="center"/>
      <protection locked="0"/>
    </xf>
    <xf numFmtId="0" fontId="9" fillId="0" borderId="45" xfId="0" applyNumberFormat="1" applyFont="1" applyBorder="1" applyAlignment="1" applyProtection="1">
      <alignment horizontal="center"/>
    </xf>
    <xf numFmtId="0" fontId="9" fillId="0" borderId="69" xfId="0" applyNumberFormat="1" applyFont="1" applyBorder="1" applyAlignment="1" applyProtection="1">
      <alignment horizontal="center"/>
    </xf>
    <xf numFmtId="0" fontId="10" fillId="0" borderId="14" xfId="0" applyNumberFormat="1" applyFont="1" applyBorder="1" applyAlignment="1" applyProtection="1">
      <alignment horizontal="center"/>
    </xf>
    <xf numFmtId="0" fontId="9" fillId="0" borderId="55" xfId="0" applyNumberFormat="1" applyFont="1" applyBorder="1" applyAlignment="1" applyProtection="1">
      <alignment horizontal="center"/>
      <protection locked="0"/>
    </xf>
    <xf numFmtId="172" fontId="9" fillId="36" borderId="19" xfId="0" applyNumberFormat="1" applyFont="1" applyFill="1" applyBorder="1" applyProtection="1">
      <protection locked="0"/>
    </xf>
    <xf numFmtId="0" fontId="9" fillId="36" borderId="14" xfId="0" applyFont="1" applyFill="1" applyBorder="1" applyAlignment="1" applyProtection="1">
      <alignment horizontal="left" wrapText="1"/>
      <protection locked="0"/>
    </xf>
    <xf numFmtId="0" fontId="61" fillId="37" borderId="0" xfId="0" applyFont="1" applyFill="1" applyProtection="1"/>
    <xf numFmtId="0" fontId="62" fillId="37" borderId="0" xfId="0" applyFont="1" applyFill="1" applyAlignment="1" applyProtection="1">
      <alignment horizontal="right"/>
    </xf>
    <xf numFmtId="0" fontId="54" fillId="37" borderId="0" xfId="0" applyFont="1" applyFill="1" applyProtection="1"/>
    <xf numFmtId="0" fontId="63" fillId="37" borderId="0" xfId="0" applyFont="1" applyFill="1" applyProtection="1"/>
    <xf numFmtId="0" fontId="64" fillId="37" borderId="0" xfId="0" applyFont="1" applyFill="1" applyAlignment="1" applyProtection="1">
      <alignment horizontal="right"/>
    </xf>
    <xf numFmtId="0" fontId="55" fillId="36" borderId="75" xfId="0" applyFont="1" applyFill="1" applyBorder="1" applyProtection="1">
      <protection locked="0"/>
    </xf>
    <xf numFmtId="0" fontId="63" fillId="37" borderId="0" xfId="0" applyFont="1" applyFill="1" applyProtection="1">
      <protection locked="0"/>
    </xf>
    <xf numFmtId="49" fontId="63" fillId="37" borderId="0" xfId="0" applyNumberFormat="1" applyFont="1" applyFill="1" applyAlignment="1" applyProtection="1">
      <alignment horizontal="right"/>
    </xf>
    <xf numFmtId="0" fontId="43" fillId="36" borderId="0" xfId="0" applyFont="1" applyFill="1" applyAlignment="1" applyProtection="1">
      <alignment horizontal="left" indent="1"/>
      <protection locked="0"/>
    </xf>
    <xf numFmtId="0" fontId="63" fillId="37" borderId="10" xfId="0" applyFont="1" applyFill="1" applyBorder="1" applyAlignment="1" applyProtection="1">
      <alignment horizontal="left" indent="1"/>
      <protection locked="0"/>
    </xf>
    <xf numFmtId="49" fontId="64" fillId="37" borderId="0" xfId="0" applyNumberFormat="1" applyFont="1" applyFill="1" applyAlignment="1" applyProtection="1">
      <alignment horizontal="right"/>
    </xf>
    <xf numFmtId="0" fontId="63" fillId="37" borderId="0" xfId="0" applyFont="1" applyFill="1" applyAlignment="1" applyProtection="1">
      <alignment horizontal="right"/>
    </xf>
    <xf numFmtId="0" fontId="43" fillId="37" borderId="0" xfId="0" applyFont="1" applyFill="1" applyProtection="1">
      <protection locked="0"/>
    </xf>
    <xf numFmtId="0" fontId="9" fillId="0" borderId="14" xfId="0" applyFont="1" applyFill="1" applyBorder="1" applyAlignment="1" applyProtection="1">
      <alignment horizontal="left" indent="1"/>
    </xf>
    <xf numFmtId="172" fontId="9" fillId="0" borderId="10" xfId="0" applyNumberFormat="1" applyFont="1" applyBorder="1" applyAlignment="1">
      <alignment horizontal="left" indent="1"/>
    </xf>
    <xf numFmtId="0" fontId="19" fillId="0" borderId="72" xfId="0" applyFont="1" applyBorder="1" applyProtection="1">
      <protection hidden="1"/>
    </xf>
    <xf numFmtId="0" fontId="19" fillId="0" borderId="0" xfId="0" applyFont="1" applyProtection="1">
      <protection hidden="1"/>
    </xf>
    <xf numFmtId="0" fontId="19" fillId="0" borderId="0" xfId="0" applyFont="1"/>
    <xf numFmtId="0" fontId="19" fillId="0" borderId="0" xfId="0" applyFont="1" applyBorder="1" applyProtection="1">
      <protection hidden="1"/>
    </xf>
    <xf numFmtId="0" fontId="19" fillId="0" borderId="70" xfId="0" applyFont="1" applyBorder="1" applyProtection="1">
      <protection hidden="1"/>
    </xf>
    <xf numFmtId="0" fontId="56" fillId="0" borderId="0" xfId="0" applyFont="1" applyBorder="1" applyProtection="1">
      <protection hidden="1"/>
    </xf>
    <xf numFmtId="0" fontId="57" fillId="0" borderId="70" xfId="0" applyFont="1" applyBorder="1" applyProtection="1">
      <protection hidden="1"/>
    </xf>
    <xf numFmtId="0" fontId="8" fillId="0" borderId="84" xfId="0" applyFont="1" applyBorder="1" applyAlignment="1" applyProtection="1">
      <alignment horizontal="left" vertical="top" wrapText="1"/>
    </xf>
    <xf numFmtId="0" fontId="8" fillId="36" borderId="85" xfId="0" applyFont="1" applyFill="1" applyBorder="1" applyAlignment="1" applyProtection="1">
      <alignment horizontal="justify" vertical="center" wrapText="1"/>
      <protection locked="0" hidden="1"/>
    </xf>
    <xf numFmtId="0" fontId="19" fillId="0" borderId="0" xfId="0" applyFont="1" applyBorder="1" applyAlignment="1" applyProtection="1">
      <alignment horizontal="left" vertical="center"/>
    </xf>
    <xf numFmtId="0" fontId="19" fillId="0" borderId="0" xfId="0" applyFont="1" applyBorder="1" applyAlignment="1" applyProtection="1">
      <alignment horizontal="center" vertical="center" wrapText="1"/>
    </xf>
    <xf numFmtId="0" fontId="8" fillId="0" borderId="0" xfId="0" applyFont="1" applyBorder="1" applyAlignment="1" applyProtection="1">
      <alignment horizontal="left" vertical="center" wrapText="1"/>
    </xf>
    <xf numFmtId="0" fontId="8" fillId="0" borderId="0" xfId="0" applyFont="1" applyFill="1" applyBorder="1" applyAlignment="1" applyProtection="1">
      <alignment horizontal="left" vertical="center" wrapText="1"/>
    </xf>
    <xf numFmtId="0" fontId="8" fillId="0" borderId="0" xfId="0" quotePrefix="1" applyNumberFormat="1" applyFont="1" applyProtection="1"/>
    <xf numFmtId="0" fontId="58" fillId="0" borderId="0" xfId="0" applyFont="1" applyAlignment="1">
      <alignment wrapText="1"/>
    </xf>
    <xf numFmtId="0" fontId="19" fillId="0" borderId="0" xfId="0" applyNumberFormat="1" applyFont="1" applyProtection="1"/>
    <xf numFmtId="0" fontId="8" fillId="0" borderId="23" xfId="0" applyFont="1" applyFill="1" applyBorder="1" applyAlignment="1" applyProtection="1">
      <alignment horizontal="left" vertical="top" wrapText="1"/>
    </xf>
    <xf numFmtId="0" fontId="8" fillId="0" borderId="72" xfId="0" applyFont="1" applyFill="1" applyBorder="1" applyAlignment="1" applyProtection="1">
      <alignment horizontal="justify" vertical="center" wrapText="1"/>
      <protection locked="0"/>
    </xf>
    <xf numFmtId="0" fontId="19" fillId="0" borderId="0" xfId="0" applyFont="1" applyAlignment="1" applyProtection="1">
      <alignment vertical="center"/>
    </xf>
    <xf numFmtId="0" fontId="8" fillId="0" borderId="28" xfId="0" applyFont="1" applyBorder="1" applyAlignment="1">
      <alignment vertical="center"/>
    </xf>
    <xf numFmtId="0" fontId="19" fillId="36" borderId="79" xfId="0" applyFont="1" applyFill="1" applyBorder="1" applyAlignment="1" applyProtection="1">
      <alignment vertical="center"/>
      <protection locked="0"/>
    </xf>
    <xf numFmtId="0" fontId="13" fillId="0" borderId="0" xfId="38" applyFont="1" applyAlignment="1" applyProtection="1"/>
    <xf numFmtId="0" fontId="19" fillId="0" borderId="0" xfId="0" applyFont="1" applyBorder="1" applyAlignment="1">
      <alignment vertical="center"/>
    </xf>
    <xf numFmtId="0" fontId="19" fillId="0" borderId="0" xfId="0" applyFont="1" applyAlignment="1" applyProtection="1">
      <alignment vertical="center"/>
      <protection hidden="1"/>
    </xf>
    <xf numFmtId="0" fontId="19" fillId="0" borderId="0" xfId="0" applyFont="1" applyAlignment="1">
      <alignment vertical="center"/>
    </xf>
    <xf numFmtId="0" fontId="19" fillId="0" borderId="23" xfId="0" applyFont="1" applyBorder="1" applyAlignment="1">
      <alignment vertical="center"/>
    </xf>
    <xf numFmtId="0" fontId="19" fillId="0" borderId="72" xfId="0" applyFont="1" applyBorder="1" applyAlignment="1">
      <alignment vertical="center"/>
    </xf>
    <xf numFmtId="0" fontId="8" fillId="0" borderId="10" xfId="0" applyFont="1" applyFill="1" applyBorder="1" applyAlignment="1" applyProtection="1">
      <alignment horizontal="justify" vertical="center" wrapText="1"/>
    </xf>
    <xf numFmtId="0" fontId="8" fillId="0" borderId="70" xfId="0" applyFont="1" applyFill="1" applyBorder="1" applyAlignment="1" applyProtection="1">
      <alignment horizontal="justify" vertical="center" wrapText="1"/>
      <protection locked="0" hidden="1"/>
    </xf>
    <xf numFmtId="0" fontId="8" fillId="0" borderId="0" xfId="0" applyFont="1" applyBorder="1" applyAlignment="1" applyProtection="1">
      <alignment horizontal="justify" vertical="top" wrapText="1"/>
    </xf>
    <xf numFmtId="0" fontId="8" fillId="0" borderId="23" xfId="0" applyFont="1" applyFill="1" applyBorder="1" applyAlignment="1" applyProtection="1">
      <alignment horizontal="justify" vertical="center" wrapText="1"/>
    </xf>
    <xf numFmtId="0" fontId="8" fillId="0" borderId="72" xfId="0" applyFont="1" applyFill="1" applyBorder="1" applyAlignment="1" applyProtection="1">
      <alignment horizontal="justify" vertical="center" wrapText="1"/>
    </xf>
    <xf numFmtId="0" fontId="8" fillId="0" borderId="10" xfId="0" applyFont="1" applyFill="1" applyBorder="1" applyAlignment="1" applyProtection="1">
      <alignment horizontal="left" vertical="top" wrapText="1"/>
    </xf>
    <xf numFmtId="0" fontId="8" fillId="36" borderId="70" xfId="0" applyFont="1" applyFill="1" applyBorder="1" applyAlignment="1" applyProtection="1">
      <alignment horizontal="justify" vertical="top" wrapText="1"/>
      <protection locked="0"/>
    </xf>
    <xf numFmtId="0" fontId="19" fillId="0" borderId="0" xfId="38" applyFont="1" applyBorder="1" applyAlignment="1" applyProtection="1"/>
    <xf numFmtId="0" fontId="8" fillId="0" borderId="0" xfId="0" applyFont="1" applyFill="1" applyBorder="1" applyAlignment="1" applyProtection="1">
      <alignment horizontal="left" vertical="top" wrapText="1"/>
      <protection locked="0"/>
    </xf>
    <xf numFmtId="0" fontId="8" fillId="0" borderId="23" xfId="0" applyFont="1" applyFill="1" applyBorder="1" applyAlignment="1" applyProtection="1">
      <alignment horizontal="justify" vertical="top" wrapText="1"/>
    </xf>
    <xf numFmtId="0" fontId="8" fillId="0" borderId="72" xfId="0" applyFont="1" applyBorder="1" applyAlignment="1" applyProtection="1">
      <alignment horizontal="justify" vertical="top" wrapText="1"/>
    </xf>
    <xf numFmtId="0" fontId="8" fillId="36" borderId="70" xfId="0" applyFont="1" applyFill="1" applyBorder="1" applyAlignment="1" applyProtection="1">
      <alignment horizontal="left" vertical="top" wrapText="1"/>
      <protection locked="0"/>
    </xf>
    <xf numFmtId="0" fontId="8" fillId="0" borderId="0" xfId="0" applyFont="1" applyFill="1" applyBorder="1" applyAlignment="1" applyProtection="1">
      <alignment horizontal="justify" vertical="top" wrapText="1"/>
    </xf>
    <xf numFmtId="0" fontId="19" fillId="0" borderId="23" xfId="0" applyFont="1" applyBorder="1" applyAlignment="1" applyProtection="1">
      <alignment horizontal="justify" vertical="top" wrapText="1"/>
    </xf>
    <xf numFmtId="0" fontId="19" fillId="0" borderId="72" xfId="0" applyFont="1" applyBorder="1" applyAlignment="1" applyProtection="1">
      <alignment horizontal="justify" vertical="top" wrapText="1"/>
    </xf>
    <xf numFmtId="0" fontId="8" fillId="0" borderId="0" xfId="0" applyFont="1" applyAlignment="1" applyProtection="1">
      <alignment vertical="center"/>
    </xf>
    <xf numFmtId="0" fontId="8" fillId="0" borderId="0" xfId="0" applyFont="1" applyProtection="1"/>
    <xf numFmtId="0" fontId="8" fillId="0" borderId="84" xfId="0" applyFont="1" applyBorder="1" applyAlignment="1" applyProtection="1">
      <alignment horizontal="justify" wrapText="1"/>
    </xf>
    <xf numFmtId="0" fontId="19" fillId="0" borderId="85" xfId="0" applyFont="1" applyBorder="1" applyAlignment="1" applyProtection="1">
      <alignment horizontal="justify" wrapText="1"/>
    </xf>
    <xf numFmtId="0" fontId="19" fillId="0" borderId="80" xfId="0" applyFont="1" applyBorder="1" applyAlignment="1" applyProtection="1">
      <alignment horizontal="justify" wrapText="1"/>
    </xf>
    <xf numFmtId="0" fontId="19" fillId="36" borderId="71" xfId="0" applyFont="1" applyFill="1" applyBorder="1" applyAlignment="1" applyProtection="1">
      <alignment horizontal="justify" wrapText="1"/>
      <protection locked="0"/>
    </xf>
    <xf numFmtId="0" fontId="19" fillId="0" borderId="28" xfId="0" applyFont="1" applyBorder="1" applyAlignment="1" applyProtection="1">
      <alignment horizontal="justify" wrapText="1"/>
    </xf>
    <xf numFmtId="174" fontId="19" fillId="36" borderId="79" xfId="0" applyNumberFormat="1" applyFont="1" applyFill="1" applyBorder="1" applyAlignment="1" applyProtection="1">
      <alignment horizontal="justify" wrapText="1"/>
      <protection locked="0"/>
    </xf>
    <xf numFmtId="0" fontId="19" fillId="0" borderId="23" xfId="0" applyFont="1" applyFill="1" applyBorder="1" applyAlignment="1" applyProtection="1">
      <alignment horizontal="justify" wrapText="1"/>
    </xf>
    <xf numFmtId="174" fontId="19" fillId="0" borderId="72" xfId="0" applyNumberFormat="1" applyFont="1" applyFill="1" applyBorder="1" applyAlignment="1" applyProtection="1">
      <alignment horizontal="justify" wrapText="1"/>
      <protection locked="0"/>
    </xf>
    <xf numFmtId="0" fontId="8" fillId="0" borderId="80" xfId="0" applyFont="1" applyBorder="1" applyAlignment="1" applyProtection="1">
      <alignment horizontal="justify" wrapText="1"/>
    </xf>
    <xf numFmtId="0" fontId="19" fillId="0" borderId="71" xfId="0" applyFont="1" applyBorder="1" applyAlignment="1" applyProtection="1">
      <alignment horizontal="justify" wrapText="1"/>
    </xf>
    <xf numFmtId="0" fontId="19" fillId="0" borderId="71" xfId="0" applyFont="1" applyFill="1" applyBorder="1" applyAlignment="1" applyProtection="1">
      <alignment horizontal="justify" wrapText="1"/>
    </xf>
    <xf numFmtId="0" fontId="19" fillId="36" borderId="79" xfId="0" applyFont="1" applyFill="1" applyBorder="1" applyAlignment="1" applyProtection="1">
      <alignment horizontal="justify" wrapText="1"/>
      <protection locked="0"/>
    </xf>
    <xf numFmtId="0" fontId="19" fillId="0" borderId="72" xfId="0" applyFont="1" applyFill="1" applyBorder="1" applyAlignment="1" applyProtection="1">
      <alignment horizontal="justify" wrapText="1"/>
      <protection locked="0"/>
    </xf>
    <xf numFmtId="0" fontId="13" fillId="0" borderId="0" xfId="0" applyFont="1" applyProtection="1">
      <protection hidden="1"/>
    </xf>
    <xf numFmtId="0" fontId="19" fillId="0" borderId="0" xfId="38" applyFont="1" applyAlignment="1" applyProtection="1">
      <protection hidden="1"/>
    </xf>
    <xf numFmtId="0" fontId="59" fillId="0" borderId="0" xfId="38" applyFont="1" applyAlignment="1" applyProtection="1">
      <protection hidden="1"/>
    </xf>
    <xf numFmtId="0" fontId="19" fillId="0" borderId="0" xfId="0" applyFont="1" applyProtection="1">
      <protection locked="0" hidden="1"/>
    </xf>
    <xf numFmtId="0" fontId="19" fillId="0" borderId="0" xfId="0" applyFont="1" applyProtection="1">
      <protection locked="0"/>
    </xf>
    <xf numFmtId="0" fontId="59" fillId="0" borderId="0" xfId="38" applyFont="1" applyAlignment="1" applyProtection="1">
      <protection locked="0" hidden="1"/>
    </xf>
    <xf numFmtId="0" fontId="19" fillId="0" borderId="0" xfId="0" applyFont="1" applyFill="1" applyProtection="1"/>
    <xf numFmtId="0" fontId="10" fillId="0" borderId="20"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9" fillId="0" borderId="10" xfId="0" applyNumberFormat="1" applyFont="1" applyFill="1" applyBorder="1" applyAlignment="1" applyProtection="1">
      <alignment horizontal="left" vertical="top" wrapText="1" indent="1"/>
      <protection locked="0"/>
    </xf>
    <xf numFmtId="166" fontId="9" fillId="24" borderId="36" xfId="30" applyNumberFormat="1" applyFont="1" applyFill="1" applyBorder="1" applyAlignment="1" applyProtection="1">
      <alignment horizontal="left" vertical="top" wrapText="1"/>
      <protection locked="0"/>
    </xf>
    <xf numFmtId="2" fontId="9" fillId="24" borderId="36" xfId="30" applyNumberFormat="1" applyFont="1" applyFill="1" applyBorder="1" applyAlignment="1" applyProtection="1">
      <alignment horizontal="center" vertical="top" wrapText="1"/>
      <protection locked="0"/>
    </xf>
    <xf numFmtId="166" fontId="9" fillId="24" borderId="22" xfId="30" applyNumberFormat="1" applyFont="1" applyFill="1" applyBorder="1" applyAlignment="1" applyProtection="1">
      <alignment horizontal="left" vertical="top" wrapText="1"/>
      <protection locked="0"/>
    </xf>
    <xf numFmtId="173" fontId="9" fillId="24" borderId="36" xfId="30" applyNumberFormat="1" applyFont="1" applyFill="1" applyBorder="1" applyAlignment="1" applyProtection="1">
      <alignment horizontal="left" vertical="top" wrapText="1"/>
      <protection locked="0"/>
    </xf>
    <xf numFmtId="173" fontId="9" fillId="0" borderId="36" xfId="30" applyNumberFormat="1" applyFont="1" applyFill="1" applyBorder="1" applyAlignment="1" applyProtection="1">
      <alignment horizontal="left" vertical="top" wrapText="1"/>
    </xf>
    <xf numFmtId="173" fontId="9" fillId="24" borderId="36" xfId="47" applyNumberFormat="1" applyFont="1" applyFill="1" applyBorder="1" applyAlignment="1" applyProtection="1">
      <alignment horizontal="center" vertical="top" wrapText="1"/>
      <protection locked="0"/>
    </xf>
    <xf numFmtId="173" fontId="9" fillId="24" borderId="22" xfId="30" applyNumberFormat="1" applyFont="1" applyFill="1" applyBorder="1" applyAlignment="1" applyProtection="1">
      <alignment horizontal="left" vertical="top" wrapText="1"/>
      <protection locked="0"/>
    </xf>
    <xf numFmtId="0" fontId="9" fillId="0" borderId="32" xfId="0" applyNumberFormat="1" applyFont="1" applyBorder="1" applyAlignment="1" applyProtection="1">
      <alignment horizontal="center" vertical="top" wrapText="1"/>
    </xf>
    <xf numFmtId="0" fontId="9" fillId="0" borderId="22" xfId="0" applyNumberFormat="1" applyFont="1" applyFill="1" applyBorder="1" applyAlignment="1" applyProtection="1">
      <alignment horizontal="center" vertical="top" wrapText="1"/>
    </xf>
    <xf numFmtId="0" fontId="9" fillId="0" borderId="40" xfId="0" applyNumberFormat="1" applyFont="1" applyFill="1" applyBorder="1" applyAlignment="1" applyProtection="1">
      <alignment horizontal="center" vertical="top" wrapText="1"/>
    </xf>
    <xf numFmtId="0" fontId="9" fillId="0" borderId="22" xfId="0" applyNumberFormat="1" applyFont="1" applyFill="1" applyBorder="1" applyAlignment="1" applyProtection="1">
      <alignment horizontal="center" wrapText="1"/>
    </xf>
    <xf numFmtId="0" fontId="9" fillId="0" borderId="22" xfId="0" applyNumberFormat="1" applyFont="1" applyFill="1" applyBorder="1" applyAlignment="1" applyProtection="1">
      <alignment horizontal="center" vertical="top" wrapText="1"/>
      <protection locked="0"/>
    </xf>
    <xf numFmtId="0" fontId="9" fillId="0" borderId="40" xfId="0" applyNumberFormat="1" applyFont="1" applyFill="1" applyBorder="1" applyAlignment="1" applyProtection="1">
      <alignment horizontal="center" vertical="top" wrapText="1"/>
      <protection locked="0"/>
    </xf>
    <xf numFmtId="0" fontId="9" fillId="0" borderId="27" xfId="0" applyFont="1" applyBorder="1" applyAlignment="1" applyProtection="1">
      <alignment horizontal="center" vertical="top" wrapText="1"/>
    </xf>
    <xf numFmtId="0" fontId="13" fillId="0" borderId="0" xfId="0" applyFont="1" applyAlignment="1">
      <alignment horizontal="left"/>
    </xf>
    <xf numFmtId="0" fontId="4" fillId="0" borderId="0" xfId="0" applyFont="1" applyAlignment="1">
      <alignment horizontal="left" indent="1"/>
    </xf>
    <xf numFmtId="0" fontId="13" fillId="0" borderId="46" xfId="0" applyNumberFormat="1" applyFont="1" applyFill="1" applyBorder="1" applyAlignment="1">
      <alignment horizontal="center"/>
    </xf>
    <xf numFmtId="0" fontId="9" fillId="0" borderId="0" xfId="0" applyNumberFormat="1" applyFont="1" applyFill="1" applyBorder="1"/>
    <xf numFmtId="0" fontId="10" fillId="0" borderId="20" xfId="0" applyFont="1" applyFill="1" applyBorder="1" applyAlignment="1">
      <alignment vertical="center" wrapText="1"/>
    </xf>
    <xf numFmtId="0" fontId="10" fillId="0" borderId="31" xfId="0" applyFont="1" applyFill="1" applyBorder="1" applyAlignment="1">
      <alignment horizontal="center" vertical="center" wrapText="1"/>
    </xf>
    <xf numFmtId="0" fontId="10" fillId="0" borderId="21" xfId="0" applyFont="1" applyFill="1" applyBorder="1" applyAlignment="1">
      <alignment vertical="center" wrapText="1"/>
    </xf>
    <xf numFmtId="0" fontId="10" fillId="0" borderId="32" xfId="0" applyFont="1" applyFill="1" applyBorder="1" applyAlignment="1">
      <alignment horizontal="center" vertical="center" wrapText="1"/>
    </xf>
    <xf numFmtId="0" fontId="10" fillId="0" borderId="27" xfId="0" applyFont="1" applyFill="1" applyBorder="1" applyAlignment="1">
      <alignment horizontal="center" vertical="center" wrapText="1"/>
    </xf>
    <xf numFmtId="0" fontId="13" fillId="0" borderId="32" xfId="0" applyNumberFormat="1" applyFont="1" applyFill="1" applyBorder="1" applyAlignment="1">
      <alignment horizontal="center"/>
    </xf>
    <xf numFmtId="0" fontId="13" fillId="24" borderId="22" xfId="0" applyNumberFormat="1" applyFont="1" applyFill="1" applyBorder="1" applyAlignment="1" applyProtection="1">
      <alignment horizontal="center"/>
      <protection locked="0"/>
    </xf>
    <xf numFmtId="0" fontId="13" fillId="24" borderId="40" xfId="0" applyNumberFormat="1" applyFont="1" applyFill="1" applyBorder="1" applyAlignment="1" applyProtection="1">
      <alignment horizontal="center"/>
      <protection locked="0"/>
    </xf>
    <xf numFmtId="0" fontId="9" fillId="0" borderId="22" xfId="0" applyNumberFormat="1" applyFont="1" applyFill="1" applyBorder="1"/>
    <xf numFmtId="0" fontId="13" fillId="24" borderId="27" xfId="0" applyNumberFormat="1" applyFont="1" applyFill="1" applyBorder="1" applyAlignment="1" applyProtection="1">
      <alignment horizontal="center"/>
      <protection locked="0"/>
    </xf>
    <xf numFmtId="0" fontId="10" fillId="0" borderId="26" xfId="0" applyFont="1" applyFill="1" applyBorder="1" applyAlignment="1">
      <alignment horizontal="center" vertical="center" wrapText="1"/>
    </xf>
    <xf numFmtId="0" fontId="13" fillId="0" borderId="0" xfId="0" applyNumberFormat="1" applyFont="1" applyProtection="1"/>
    <xf numFmtId="0" fontId="7" fillId="0" borderId="0" xfId="0" applyFont="1" applyFill="1"/>
    <xf numFmtId="0" fontId="7" fillId="0" borderId="0" xfId="0" applyFont="1" applyFill="1" applyAlignment="1">
      <alignment horizontal="left" indent="1"/>
    </xf>
    <xf numFmtId="0" fontId="4" fillId="0" borderId="0" xfId="0" applyFont="1" applyFill="1" applyAlignment="1">
      <alignment horizontal="left" indent="1"/>
    </xf>
    <xf numFmtId="0" fontId="42" fillId="0" borderId="0" xfId="0" applyFont="1" applyProtection="1"/>
    <xf numFmtId="0" fontId="4" fillId="0" borderId="0" xfId="0" applyFont="1" applyAlignment="1">
      <alignment horizontal="left"/>
    </xf>
    <xf numFmtId="0" fontId="13" fillId="24" borderId="20" xfId="0" applyNumberFormat="1" applyFont="1" applyFill="1" applyBorder="1" applyAlignment="1" applyProtection="1">
      <alignment horizontal="center"/>
      <protection locked="0"/>
    </xf>
    <xf numFmtId="0" fontId="13" fillId="24" borderId="0" xfId="0" applyNumberFormat="1" applyFont="1" applyFill="1" applyBorder="1" applyAlignment="1" applyProtection="1">
      <alignment horizontal="center"/>
      <protection locked="0"/>
    </xf>
    <xf numFmtId="173" fontId="10" fillId="24" borderId="39" xfId="30" applyNumberFormat="1" applyFont="1" applyFill="1" applyBorder="1" applyAlignment="1" applyProtection="1">
      <alignment horizontal="center"/>
      <protection locked="0"/>
    </xf>
    <xf numFmtId="0" fontId="13" fillId="24" borderId="39" xfId="0" applyNumberFormat="1" applyFont="1" applyFill="1" applyBorder="1" applyAlignment="1" applyProtection="1">
      <alignment horizontal="center"/>
      <protection locked="0"/>
    </xf>
    <xf numFmtId="173" fontId="10" fillId="24" borderId="25" xfId="30" applyNumberFormat="1" applyFont="1" applyFill="1" applyBorder="1" applyAlignment="1" applyProtection="1">
      <alignment horizontal="center"/>
      <protection locked="0"/>
    </xf>
    <xf numFmtId="0" fontId="13" fillId="24" borderId="25" xfId="0" applyNumberFormat="1" applyFont="1" applyFill="1" applyBorder="1" applyAlignment="1" applyProtection="1">
      <alignment horizontal="center"/>
      <protection locked="0"/>
    </xf>
    <xf numFmtId="168" fontId="9" fillId="0" borderId="20" xfId="47" applyNumberFormat="1" applyFont="1" applyFill="1" applyBorder="1" applyAlignment="1" applyProtection="1">
      <alignment horizontal="center" vertical="top" wrapText="1"/>
      <protection locked="0"/>
    </xf>
    <xf numFmtId="168" fontId="13" fillId="0" borderId="16" xfId="47" applyNumberFormat="1" applyFont="1" applyFill="1" applyBorder="1" applyAlignment="1">
      <alignment horizontal="center" vertical="top" wrapText="1"/>
    </xf>
    <xf numFmtId="0" fontId="9" fillId="0" borderId="0" xfId="0" applyFont="1" applyFill="1" applyAlignment="1">
      <alignment horizontal="right"/>
    </xf>
    <xf numFmtId="172" fontId="9" fillId="0" borderId="0" xfId="0" applyNumberFormat="1" applyFont="1" applyFill="1"/>
    <xf numFmtId="173" fontId="9" fillId="24" borderId="58" xfId="30" applyNumberFormat="1" applyFont="1" applyFill="1" applyBorder="1" applyAlignment="1" applyProtection="1">
      <alignment horizontal="left" vertical="top" wrapText="1"/>
      <protection locked="0"/>
    </xf>
    <xf numFmtId="173" fontId="9" fillId="24" borderId="39" xfId="30" applyNumberFormat="1" applyFont="1" applyFill="1" applyBorder="1" applyAlignment="1" applyProtection="1">
      <alignment horizontal="left" vertical="top" wrapText="1"/>
      <protection locked="0"/>
    </xf>
    <xf numFmtId="0" fontId="9" fillId="0" borderId="60" xfId="0" applyFont="1" applyBorder="1" applyAlignment="1" applyProtection="1">
      <alignment horizontal="center" vertical="top" wrapText="1"/>
    </xf>
    <xf numFmtId="173" fontId="9" fillId="24" borderId="38" xfId="30" applyNumberFormat="1" applyFont="1" applyFill="1" applyBorder="1" applyAlignment="1" applyProtection="1">
      <alignment horizontal="left" vertical="top" wrapText="1"/>
      <protection locked="0"/>
    </xf>
    <xf numFmtId="173" fontId="9" fillId="24" borderId="40" xfId="30" applyNumberFormat="1" applyFont="1" applyFill="1" applyBorder="1" applyAlignment="1" applyProtection="1">
      <alignment horizontal="left" vertical="top" wrapText="1"/>
      <protection locked="0"/>
    </xf>
    <xf numFmtId="0" fontId="14" fillId="0" borderId="81" xfId="0" applyFont="1" applyBorder="1"/>
    <xf numFmtId="0" fontId="13" fillId="0" borderId="81" xfId="0" applyFont="1" applyBorder="1" applyAlignment="1">
      <alignment horizontal="center"/>
    </xf>
    <xf numFmtId="169" fontId="12" fillId="0" borderId="81" xfId="0" applyNumberFormat="1" applyFont="1" applyBorder="1"/>
    <xf numFmtId="0" fontId="10" fillId="0" borderId="57" xfId="0" applyFont="1" applyBorder="1" applyAlignment="1">
      <alignment wrapText="1"/>
    </xf>
    <xf numFmtId="0" fontId="10" fillId="0" borderId="80" xfId="0" applyFont="1" applyBorder="1"/>
    <xf numFmtId="0" fontId="9" fillId="0" borderId="75" xfId="0" applyFont="1" applyBorder="1" applyAlignment="1">
      <alignment horizontal="center"/>
    </xf>
    <xf numFmtId="172" fontId="10" fillId="0" borderId="86" xfId="0" applyNumberFormat="1" applyFont="1" applyBorder="1"/>
    <xf numFmtId="172" fontId="9" fillId="24" borderId="22" xfId="0" applyNumberFormat="1" applyFont="1" applyFill="1" applyBorder="1" applyAlignment="1" applyProtection="1">
      <alignment horizontal="center"/>
      <protection locked="0"/>
    </xf>
    <xf numFmtId="0" fontId="9" fillId="24" borderId="22" xfId="0" applyNumberFormat="1" applyFont="1" applyFill="1" applyBorder="1" applyProtection="1">
      <protection locked="0"/>
    </xf>
    <xf numFmtId="0" fontId="9" fillId="24" borderId="40" xfId="0" applyNumberFormat="1" applyFont="1" applyFill="1" applyBorder="1" applyProtection="1">
      <protection locked="0"/>
    </xf>
    <xf numFmtId="0" fontId="9" fillId="24" borderId="20" xfId="30" applyNumberFormat="1" applyFont="1" applyFill="1" applyBorder="1" applyProtection="1">
      <protection locked="0"/>
    </xf>
    <xf numFmtId="0" fontId="9" fillId="24" borderId="39" xfId="30" applyNumberFormat="1" applyFont="1" applyFill="1" applyBorder="1" applyProtection="1">
      <protection locked="0"/>
    </xf>
    <xf numFmtId="168" fontId="9" fillId="0" borderId="10" xfId="47" applyNumberFormat="1" applyFont="1" applyFill="1" applyBorder="1" applyAlignment="1" applyProtection="1">
      <alignment horizontal="center" vertical="top" wrapText="1"/>
    </xf>
    <xf numFmtId="168" fontId="9" fillId="0" borderId="22" xfId="47" applyNumberFormat="1" applyFont="1" applyFill="1" applyBorder="1" applyAlignment="1" applyProtection="1">
      <alignment horizontal="center" vertical="top" wrapText="1"/>
    </xf>
    <xf numFmtId="172" fontId="9" fillId="24" borderId="69" xfId="0" applyNumberFormat="1" applyFont="1" applyFill="1" applyBorder="1" applyProtection="1">
      <protection locked="0"/>
    </xf>
    <xf numFmtId="172" fontId="9" fillId="24" borderId="28" xfId="0" applyNumberFormat="1" applyFont="1" applyFill="1" applyBorder="1" applyProtection="1">
      <protection locked="0"/>
    </xf>
    <xf numFmtId="172" fontId="9" fillId="24" borderId="46" xfId="0" applyNumberFormat="1" applyFont="1" applyFill="1" applyBorder="1" applyProtection="1">
      <protection locked="0"/>
    </xf>
    <xf numFmtId="172" fontId="9" fillId="24" borderId="79" xfId="0" applyNumberFormat="1" applyFont="1" applyFill="1" applyBorder="1" applyProtection="1">
      <protection locked="0"/>
    </xf>
    <xf numFmtId="172" fontId="9" fillId="24" borderId="10" xfId="0" applyNumberFormat="1" applyFont="1" applyFill="1" applyBorder="1" applyProtection="1">
      <protection locked="0"/>
    </xf>
    <xf numFmtId="172" fontId="9" fillId="24" borderId="0" xfId="0" applyNumberFormat="1" applyFont="1" applyFill="1" applyBorder="1" applyProtection="1">
      <protection locked="0"/>
    </xf>
    <xf numFmtId="172" fontId="9" fillId="24" borderId="11" xfId="0" applyNumberFormat="1" applyFont="1" applyFill="1" applyBorder="1" applyProtection="1">
      <protection locked="0"/>
    </xf>
    <xf numFmtId="172" fontId="9" fillId="24" borderId="72" xfId="0" applyNumberFormat="1" applyFont="1" applyFill="1" applyBorder="1" applyProtection="1">
      <protection locked="0"/>
    </xf>
    <xf numFmtId="172" fontId="9" fillId="24" borderId="70" xfId="0" applyNumberFormat="1" applyFont="1" applyFill="1" applyBorder="1" applyProtection="1">
      <protection locked="0"/>
    </xf>
    <xf numFmtId="172" fontId="9" fillId="24" borderId="23" xfId="0" applyNumberFormat="1" applyFont="1" applyFill="1" applyBorder="1" applyProtection="1">
      <protection locked="0"/>
    </xf>
    <xf numFmtId="172" fontId="9" fillId="24" borderId="81" xfId="0" applyNumberFormat="1" applyFont="1" applyFill="1" applyBorder="1" applyProtection="1">
      <protection locked="0"/>
    </xf>
    <xf numFmtId="172" fontId="9" fillId="24" borderId="71" xfId="0" applyNumberFormat="1" applyFont="1" applyFill="1" applyBorder="1" applyProtection="1">
      <protection locked="0"/>
    </xf>
    <xf numFmtId="0" fontId="9" fillId="0" borderId="19" xfId="0" applyFont="1" applyBorder="1" applyAlignment="1">
      <alignment horizontal="left" vertical="center" wrapText="1"/>
    </xf>
    <xf numFmtId="0" fontId="13" fillId="36" borderId="19" xfId="0" applyFont="1" applyFill="1" applyBorder="1" applyAlignment="1" applyProtection="1">
      <alignment horizontal="left" indent="1"/>
      <protection locked="0"/>
    </xf>
    <xf numFmtId="0" fontId="13" fillId="36" borderId="20" xfId="0" applyFont="1" applyFill="1" applyBorder="1" applyAlignment="1" applyProtection="1">
      <alignment horizontal="left" indent="1"/>
      <protection locked="0"/>
    </xf>
    <xf numFmtId="0" fontId="13" fillId="36" borderId="22" xfId="0" applyFont="1" applyFill="1" applyBorder="1" applyAlignment="1" applyProtection="1">
      <alignment horizontal="left" indent="1"/>
      <protection locked="0"/>
    </xf>
    <xf numFmtId="172" fontId="65" fillId="0" borderId="16" xfId="0" applyNumberFormat="1" applyFont="1" applyBorder="1"/>
    <xf numFmtId="172" fontId="65" fillId="0" borderId="18" xfId="0" applyNumberFormat="1" applyFont="1" applyBorder="1"/>
    <xf numFmtId="172" fontId="10" fillId="0" borderId="81" xfId="0" applyNumberFormat="1" applyFont="1" applyBorder="1"/>
    <xf numFmtId="0" fontId="9" fillId="0" borderId="78" xfId="0" applyFont="1" applyBorder="1" applyAlignment="1">
      <alignment horizontal="center"/>
    </xf>
    <xf numFmtId="0" fontId="9" fillId="0" borderId="22" xfId="0" applyFont="1" applyBorder="1" applyAlignment="1">
      <alignment horizontal="center"/>
    </xf>
    <xf numFmtId="0" fontId="9" fillId="0" borderId="27" xfId="0" applyFont="1" applyBorder="1" applyAlignment="1">
      <alignment horizontal="center"/>
    </xf>
    <xf numFmtId="0" fontId="9" fillId="0" borderId="0" xfId="0" applyFont="1" applyAlignment="1">
      <alignment horizontal="left"/>
    </xf>
    <xf numFmtId="172" fontId="10" fillId="0" borderId="15" xfId="0" applyNumberFormat="1" applyFont="1" applyBorder="1" applyAlignment="1">
      <alignment vertical="top"/>
    </xf>
    <xf numFmtId="172" fontId="10" fillId="0" borderId="16" xfId="0" applyNumberFormat="1" applyFont="1" applyBorder="1" applyAlignment="1">
      <alignment vertical="top"/>
    </xf>
    <xf numFmtId="172" fontId="10" fillId="0" borderId="18" xfId="0" applyNumberFormat="1" applyFont="1" applyBorder="1" applyAlignment="1">
      <alignment vertical="top"/>
    </xf>
    <xf numFmtId="0" fontId="9" fillId="0" borderId="21" xfId="0" applyFont="1" applyBorder="1" applyAlignment="1">
      <alignment horizontal="left" vertical="top" wrapText="1"/>
    </xf>
    <xf numFmtId="0" fontId="9" fillId="0" borderId="62" xfId="0" applyFont="1" applyFill="1" applyBorder="1" applyAlignment="1">
      <alignment horizontal="left" vertical="top" wrapText="1"/>
    </xf>
    <xf numFmtId="0" fontId="9" fillId="0" borderId="10" xfId="0" applyFont="1" applyBorder="1" applyAlignment="1">
      <alignment horizontal="left" vertical="center" wrapText="1"/>
    </xf>
    <xf numFmtId="0" fontId="9" fillId="0" borderId="23" xfId="0" applyFont="1" applyBorder="1" applyAlignment="1">
      <alignment horizontal="left" vertical="top" wrapText="1" indent="1"/>
    </xf>
    <xf numFmtId="0" fontId="9" fillId="0" borderId="45" xfId="0" applyFont="1" applyBorder="1" applyAlignment="1">
      <alignment horizontal="left" vertical="top" wrapText="1"/>
    </xf>
    <xf numFmtId="168" fontId="9" fillId="24" borderId="53" xfId="47" applyNumberFormat="1" applyFont="1" applyFill="1" applyBorder="1" applyAlignment="1" applyProtection="1">
      <alignment horizontal="center" vertical="top" wrapText="1"/>
      <protection locked="0"/>
    </xf>
    <xf numFmtId="170" fontId="9" fillId="0" borderId="25" xfId="47" applyNumberFormat="1" applyFont="1" applyFill="1" applyBorder="1" applyAlignment="1">
      <alignment horizontal="center" vertical="top" wrapText="1"/>
    </xf>
    <xf numFmtId="170" fontId="9" fillId="0" borderId="26" xfId="47" applyNumberFormat="1" applyFont="1" applyFill="1" applyBorder="1" applyAlignment="1">
      <alignment horizontal="center" vertical="top" wrapText="1"/>
    </xf>
    <xf numFmtId="170" fontId="9" fillId="0" borderId="27" xfId="47" applyNumberFormat="1" applyFont="1" applyFill="1" applyBorder="1" applyAlignment="1">
      <alignment horizontal="center" vertical="top" wrapText="1"/>
    </xf>
    <xf numFmtId="0" fontId="51" fillId="0" borderId="0" xfId="0" applyFont="1"/>
    <xf numFmtId="0" fontId="9" fillId="0" borderId="0" xfId="0" applyFont="1" applyProtection="1">
      <protection locked="0"/>
    </xf>
    <xf numFmtId="172" fontId="19" fillId="0" borderId="69" xfId="0" applyNumberFormat="1" applyFont="1" applyFill="1" applyBorder="1" applyAlignment="1" applyProtection="1">
      <alignment horizontal="center"/>
      <protection locked="0"/>
    </xf>
    <xf numFmtId="0" fontId="9" fillId="0" borderId="46" xfId="0" applyFont="1" applyBorder="1"/>
    <xf numFmtId="0" fontId="9" fillId="0" borderId="79" xfId="0" applyFont="1" applyBorder="1"/>
    <xf numFmtId="0" fontId="10" fillId="0" borderId="68" xfId="0" applyFont="1" applyFill="1" applyBorder="1" applyAlignment="1" applyProtection="1">
      <alignment horizontal="center" vertical="center" wrapText="1"/>
    </xf>
    <xf numFmtId="0" fontId="10" fillId="0" borderId="47" xfId="0" applyFont="1" applyFill="1" applyBorder="1" applyAlignment="1" applyProtection="1">
      <alignment horizontal="center" vertical="center" wrapText="1"/>
    </xf>
    <xf numFmtId="0" fontId="10" fillId="0" borderId="13" xfId="0" applyFont="1" applyFill="1" applyBorder="1" applyAlignment="1" applyProtection="1">
      <alignment horizontal="center" vertical="center" wrapText="1"/>
    </xf>
    <xf numFmtId="0" fontId="9" fillId="0" borderId="45" xfId="0" applyFont="1" applyFill="1" applyBorder="1" applyAlignment="1">
      <alignment horizontal="center"/>
    </xf>
    <xf numFmtId="0" fontId="9" fillId="0" borderId="11" xfId="0" applyFont="1" applyBorder="1"/>
    <xf numFmtId="0" fontId="9" fillId="0" borderId="72" xfId="0" applyFont="1" applyBorder="1"/>
    <xf numFmtId="0" fontId="10" fillId="0" borderId="19" xfId="0" applyFont="1" applyFill="1" applyBorder="1" applyAlignment="1" applyProtection="1">
      <alignment horizontal="center" vertical="center" wrapText="1"/>
    </xf>
    <xf numFmtId="0" fontId="10" fillId="0" borderId="20" xfId="0" applyFont="1" applyFill="1" applyBorder="1" applyAlignment="1" applyProtection="1">
      <alignment horizontal="center" vertical="center" wrapText="1"/>
    </xf>
    <xf numFmtId="0" fontId="10" fillId="0" borderId="70" xfId="0" applyFont="1" applyFill="1" applyBorder="1" applyAlignment="1" applyProtection="1">
      <alignment horizontal="center" vertical="center" wrapText="1"/>
    </xf>
    <xf numFmtId="0" fontId="10" fillId="0" borderId="10" xfId="0" applyFont="1" applyFill="1" applyBorder="1" applyAlignment="1" applyProtection="1">
      <alignment horizontal="center" vertical="center" wrapText="1"/>
    </xf>
    <xf numFmtId="0" fontId="11" fillId="0" borderId="0" xfId="0" applyNumberFormat="1" applyFont="1" applyBorder="1" applyProtection="1"/>
    <xf numFmtId="0" fontId="9" fillId="0" borderId="79" xfId="0" applyNumberFormat="1" applyFont="1" applyFill="1" applyBorder="1" applyAlignment="1" applyProtection="1">
      <alignment horizontal="center"/>
    </xf>
    <xf numFmtId="0" fontId="9" fillId="0" borderId="29" xfId="0" applyFont="1" applyBorder="1"/>
    <xf numFmtId="172" fontId="19" fillId="0" borderId="30" xfId="0" applyNumberFormat="1" applyFont="1" applyFill="1" applyBorder="1" applyProtection="1">
      <protection locked="0"/>
    </xf>
    <xf numFmtId="172" fontId="19" fillId="0" borderId="32" xfId="0" applyNumberFormat="1" applyFont="1" applyFill="1" applyBorder="1" applyProtection="1">
      <protection locked="0"/>
    </xf>
    <xf numFmtId="172" fontId="10" fillId="0" borderId="28" xfId="0" applyNumberFormat="1" applyFont="1" applyFill="1" applyBorder="1" applyProtection="1"/>
    <xf numFmtId="172" fontId="10" fillId="0" borderId="30" xfId="0" applyNumberFormat="1" applyFont="1" applyFill="1" applyBorder="1" applyProtection="1"/>
    <xf numFmtId="172" fontId="10" fillId="0" borderId="46" xfId="0" applyNumberFormat="1" applyFont="1" applyFill="1" applyBorder="1" applyProtection="1"/>
    <xf numFmtId="172" fontId="10" fillId="0" borderId="29" xfId="0" applyNumberFormat="1" applyFont="1" applyFill="1" applyBorder="1" applyProtection="1"/>
    <xf numFmtId="172" fontId="10" fillId="0" borderId="79" xfId="0" applyNumberFormat="1" applyFont="1" applyFill="1" applyBorder="1" applyProtection="1"/>
    <xf numFmtId="0" fontId="17" fillId="0" borderId="0" xfId="0" applyNumberFormat="1" applyFont="1" applyBorder="1" applyAlignment="1" applyProtection="1">
      <alignment horizontal="left"/>
    </xf>
    <xf numFmtId="0" fontId="9" fillId="0" borderId="70" xfId="0" applyNumberFormat="1" applyFont="1" applyFill="1" applyBorder="1" applyAlignment="1" applyProtection="1">
      <alignment horizontal="center"/>
    </xf>
    <xf numFmtId="172" fontId="10" fillId="0" borderId="0" xfId="0" applyNumberFormat="1" applyFont="1" applyFill="1" applyBorder="1" applyProtection="1"/>
    <xf numFmtId="172" fontId="9" fillId="0" borderId="10" xfId="0" applyNumberFormat="1" applyFont="1" applyFill="1" applyBorder="1" applyProtection="1"/>
    <xf numFmtId="172" fontId="9" fillId="0" borderId="19" xfId="0" applyNumberFormat="1" applyFont="1" applyFill="1" applyBorder="1" applyProtection="1"/>
    <xf numFmtId="172" fontId="9" fillId="0" borderId="70" xfId="0" applyNumberFormat="1" applyFont="1" applyFill="1" applyBorder="1" applyProtection="1"/>
    <xf numFmtId="0" fontId="9" fillId="0" borderId="0" xfId="0" applyNumberFormat="1" applyFont="1" applyBorder="1" applyAlignment="1" applyProtection="1">
      <alignment horizontal="left" indent="1"/>
    </xf>
    <xf numFmtId="173" fontId="9" fillId="36" borderId="19" xfId="0" applyNumberFormat="1" applyFont="1" applyFill="1" applyBorder="1" applyProtection="1">
      <protection locked="0"/>
    </xf>
    <xf numFmtId="173" fontId="9" fillId="36" borderId="20" xfId="0" applyNumberFormat="1" applyFont="1" applyFill="1" applyBorder="1" applyProtection="1">
      <protection locked="0"/>
    </xf>
    <xf numFmtId="173" fontId="9" fillId="36" borderId="70" xfId="0" applyNumberFormat="1" applyFont="1" applyFill="1" applyBorder="1" applyProtection="1">
      <protection locked="0"/>
    </xf>
    <xf numFmtId="173" fontId="9" fillId="36" borderId="10" xfId="0" applyNumberFormat="1" applyFont="1" applyFill="1" applyBorder="1" applyProtection="1">
      <protection locked="0"/>
    </xf>
    <xf numFmtId="173" fontId="9" fillId="36" borderId="0" xfId="0" applyNumberFormat="1" applyFont="1" applyFill="1" applyBorder="1" applyProtection="1">
      <protection locked="0"/>
    </xf>
    <xf numFmtId="0" fontId="9" fillId="0" borderId="14" xfId="0" applyNumberFormat="1" applyFont="1" applyFill="1" applyBorder="1" applyAlignment="1" applyProtection="1">
      <alignment horizontal="center"/>
    </xf>
    <xf numFmtId="173" fontId="9" fillId="0" borderId="15" xfId="0" applyNumberFormat="1" applyFont="1" applyFill="1" applyBorder="1" applyProtection="1"/>
    <xf numFmtId="173" fontId="9" fillId="0" borderId="87" xfId="0" applyNumberFormat="1" applyFont="1" applyFill="1" applyBorder="1" applyProtection="1"/>
    <xf numFmtId="173" fontId="9" fillId="0" borderId="64" xfId="0" applyNumberFormat="1" applyFont="1" applyFill="1" applyBorder="1" applyProtection="1"/>
    <xf numFmtId="173" fontId="9" fillId="0" borderId="67" xfId="0" applyNumberFormat="1" applyFont="1" applyFill="1" applyBorder="1" applyProtection="1"/>
    <xf numFmtId="173" fontId="9" fillId="0" borderId="63" xfId="0" applyNumberFormat="1" applyFont="1" applyFill="1" applyBorder="1" applyProtection="1"/>
    <xf numFmtId="173" fontId="9" fillId="0" borderId="88" xfId="0" applyNumberFormat="1" applyFont="1" applyFill="1" applyBorder="1" applyProtection="1"/>
    <xf numFmtId="173" fontId="9" fillId="0" borderId="57" xfId="0" applyNumberFormat="1" applyFont="1" applyFill="1" applyBorder="1" applyProtection="1"/>
    <xf numFmtId="173" fontId="9" fillId="0" borderId="73" xfId="0" applyNumberFormat="1" applyFont="1" applyFill="1" applyBorder="1" applyProtection="1"/>
    <xf numFmtId="0" fontId="10" fillId="0" borderId="0" xfId="0" applyNumberFormat="1" applyFont="1" applyBorder="1" applyAlignment="1" applyProtection="1">
      <alignment horizontal="left"/>
    </xf>
    <xf numFmtId="173" fontId="10" fillId="0" borderId="15" xfId="0" applyNumberFormat="1" applyFont="1" applyFill="1" applyBorder="1" applyProtection="1"/>
    <xf numFmtId="173" fontId="10" fillId="0" borderId="87" xfId="0" applyNumberFormat="1" applyFont="1" applyFill="1" applyBorder="1" applyProtection="1"/>
    <xf numFmtId="173" fontId="10" fillId="0" borderId="64" xfId="0" applyNumberFormat="1" applyFont="1" applyFill="1" applyBorder="1" applyProtection="1"/>
    <xf numFmtId="173" fontId="10" fillId="0" borderId="67" xfId="0" applyNumberFormat="1" applyFont="1" applyFill="1" applyBorder="1" applyProtection="1"/>
    <xf numFmtId="173" fontId="9" fillId="0" borderId="19" xfId="0" applyNumberFormat="1" applyFont="1" applyFill="1" applyBorder="1" applyProtection="1"/>
    <xf numFmtId="173" fontId="9" fillId="0" borderId="0" xfId="0" applyNumberFormat="1" applyFont="1" applyFill="1" applyBorder="1" applyProtection="1"/>
    <xf numFmtId="173" fontId="9" fillId="0" borderId="10" xfId="0" applyNumberFormat="1" applyFont="1" applyFill="1" applyBorder="1" applyProtection="1"/>
    <xf numFmtId="173" fontId="9" fillId="0" borderId="70" xfId="0" applyNumberFormat="1" applyFont="1" applyFill="1" applyBorder="1" applyProtection="1"/>
    <xf numFmtId="173" fontId="9" fillId="36" borderId="58" xfId="0" applyNumberFormat="1" applyFont="1" applyFill="1" applyBorder="1" applyProtection="1">
      <protection locked="0"/>
    </xf>
    <xf numFmtId="173" fontId="9" fillId="36" borderId="39" xfId="0" applyNumberFormat="1" applyFont="1" applyFill="1" applyBorder="1" applyProtection="1">
      <protection locked="0"/>
    </xf>
    <xf numFmtId="173" fontId="9" fillId="36" borderId="89" xfId="0" applyNumberFormat="1" applyFont="1" applyFill="1" applyBorder="1" applyProtection="1">
      <protection locked="0"/>
    </xf>
    <xf numFmtId="173" fontId="9" fillId="36" borderId="37" xfId="0" applyNumberFormat="1" applyFont="1" applyFill="1" applyBorder="1" applyProtection="1">
      <protection locked="0"/>
    </xf>
    <xf numFmtId="173" fontId="9" fillId="36" borderId="90" xfId="0" applyNumberFormat="1" applyFont="1" applyFill="1" applyBorder="1" applyProtection="1">
      <protection locked="0"/>
    </xf>
    <xf numFmtId="0" fontId="9" fillId="0" borderId="90" xfId="0" applyNumberFormat="1" applyFont="1" applyBorder="1" applyProtection="1"/>
    <xf numFmtId="0" fontId="9" fillId="0" borderId="89" xfId="0" applyNumberFormat="1" applyFont="1" applyFill="1" applyBorder="1" applyAlignment="1" applyProtection="1">
      <alignment horizontal="center"/>
    </xf>
    <xf numFmtId="172" fontId="9" fillId="0" borderId="58" xfId="0" applyNumberFormat="1" applyFont="1" applyFill="1" applyBorder="1" applyProtection="1"/>
    <xf numFmtId="172" fontId="9" fillId="0" borderId="89" xfId="0" applyNumberFormat="1" applyFont="1" applyFill="1" applyBorder="1" applyProtection="1"/>
    <xf numFmtId="172" fontId="9" fillId="0" borderId="37" xfId="0" applyNumberFormat="1" applyFont="1" applyFill="1" applyBorder="1" applyProtection="1"/>
    <xf numFmtId="172" fontId="9" fillId="0" borderId="90" xfId="0" applyNumberFormat="1" applyFont="1" applyFill="1" applyBorder="1" applyProtection="1"/>
    <xf numFmtId="172" fontId="10" fillId="36" borderId="14" xfId="0" applyNumberFormat="1" applyFont="1" applyFill="1" applyBorder="1" applyProtection="1">
      <protection locked="0"/>
    </xf>
    <xf numFmtId="172" fontId="10" fillId="36" borderId="11" xfId="0" applyNumberFormat="1" applyFont="1" applyFill="1" applyBorder="1" applyProtection="1">
      <protection locked="0"/>
    </xf>
    <xf numFmtId="172" fontId="10" fillId="36" borderId="0" xfId="0" applyNumberFormat="1" applyFont="1" applyFill="1" applyBorder="1" applyProtection="1">
      <protection locked="0"/>
    </xf>
    <xf numFmtId="172" fontId="10" fillId="0" borderId="0" xfId="0" applyNumberFormat="1" applyFont="1" applyFill="1" applyBorder="1" applyProtection="1">
      <protection locked="0"/>
    </xf>
    <xf numFmtId="0" fontId="9" fillId="0" borderId="11" xfId="0" applyNumberFormat="1" applyFont="1" applyBorder="1" applyProtection="1"/>
    <xf numFmtId="0" fontId="9" fillId="0" borderId="72" xfId="0" applyNumberFormat="1" applyFont="1" applyFill="1" applyBorder="1" applyAlignment="1" applyProtection="1">
      <alignment horizontal="center"/>
    </xf>
    <xf numFmtId="172" fontId="9" fillId="0" borderId="24" xfId="0" applyNumberFormat="1" applyFont="1" applyFill="1" applyBorder="1" applyProtection="1"/>
    <xf numFmtId="172" fontId="9" fillId="0" borderId="25" xfId="0" applyNumberFormat="1" applyFont="1" applyFill="1" applyBorder="1" applyProtection="1"/>
    <xf numFmtId="172" fontId="9" fillId="0" borderId="72" xfId="0" applyNumberFormat="1" applyFont="1" applyFill="1" applyBorder="1" applyProtection="1"/>
    <xf numFmtId="172" fontId="9" fillId="0" borderId="23" xfId="0" applyNumberFormat="1" applyFont="1" applyFill="1" applyBorder="1" applyProtection="1"/>
    <xf numFmtId="172" fontId="9" fillId="0" borderId="11" xfId="0" applyNumberFormat="1" applyFont="1" applyFill="1" applyBorder="1" applyProtection="1"/>
    <xf numFmtId="0" fontId="13" fillId="0" borderId="0" xfId="0" applyNumberFormat="1" applyFont="1" applyBorder="1" applyAlignment="1" applyProtection="1">
      <alignment horizontal="left" indent="2"/>
    </xf>
    <xf numFmtId="0" fontId="10" fillId="0" borderId="91" xfId="0" applyFont="1" applyFill="1" applyBorder="1" applyAlignment="1">
      <alignment horizontal="center" vertical="top" wrapText="1"/>
    </xf>
    <xf numFmtId="0" fontId="10" fillId="0" borderId="47" xfId="0" applyFont="1" applyFill="1" applyBorder="1" applyAlignment="1">
      <alignment horizontal="center" vertical="top" wrapText="1"/>
    </xf>
    <xf numFmtId="0" fontId="10" fillId="0" borderId="33" xfId="0" applyFont="1" applyFill="1" applyBorder="1" applyAlignment="1">
      <alignment horizontal="center" vertical="top" wrapText="1"/>
    </xf>
    <xf numFmtId="0" fontId="10" fillId="0" borderId="65" xfId="0" applyFont="1" applyFill="1" applyBorder="1" applyAlignment="1">
      <alignment horizontal="center" vertical="top" wrapText="1"/>
    </xf>
    <xf numFmtId="0" fontId="10" fillId="0" borderId="54" xfId="0" applyFont="1" applyFill="1" applyBorder="1" applyAlignment="1">
      <alignment horizontal="center" vertical="top" wrapText="1"/>
    </xf>
    <xf numFmtId="0" fontId="10" fillId="0" borderId="51" xfId="0" applyFont="1" applyFill="1" applyBorder="1" applyAlignment="1">
      <alignment horizontal="center" vertical="top" wrapText="1"/>
    </xf>
    <xf numFmtId="0" fontId="10" fillId="0" borderId="66" xfId="0" applyFont="1" applyFill="1" applyBorder="1" applyAlignment="1">
      <alignment horizontal="center" vertical="top" wrapText="1"/>
    </xf>
    <xf numFmtId="0" fontId="10" fillId="0" borderId="55" xfId="0" applyFont="1" applyFill="1" applyBorder="1" applyAlignment="1">
      <alignment horizontal="center" vertical="top" wrapText="1"/>
    </xf>
    <xf numFmtId="0" fontId="10" fillId="0" borderId="50" xfId="0" applyFont="1" applyFill="1" applyBorder="1" applyAlignment="1">
      <alignment horizontal="center" vertical="top" wrapText="1"/>
    </xf>
    <xf numFmtId="0" fontId="10" fillId="0" borderId="52" xfId="0" applyFont="1" applyFill="1" applyBorder="1" applyAlignment="1">
      <alignment horizontal="center" vertical="top" wrapText="1"/>
    </xf>
    <xf numFmtId="0" fontId="4" fillId="0" borderId="10" xfId="0" applyFont="1" applyBorder="1" applyProtection="1"/>
    <xf numFmtId="0" fontId="4" fillId="0" borderId="10" xfId="0" quotePrefix="1" applyFont="1" applyBorder="1" applyProtection="1"/>
    <xf numFmtId="0" fontId="4" fillId="0" borderId="10" xfId="0" applyFont="1" applyBorder="1" applyProtection="1">
      <protection locked="0"/>
    </xf>
    <xf numFmtId="0" fontId="9" fillId="36" borderId="10" xfId="0" applyNumberFormat="1" applyFont="1" applyFill="1" applyBorder="1" applyAlignment="1" applyProtection="1">
      <alignment horizontal="left" wrapText="1" indent="2"/>
      <protection locked="0"/>
    </xf>
    <xf numFmtId="0" fontId="10" fillId="0" borderId="24" xfId="0" applyFont="1" applyBorder="1" applyAlignment="1">
      <alignment vertical="center" wrapText="1"/>
    </xf>
    <xf numFmtId="9" fontId="9" fillId="0" borderId="0" xfId="47" applyFont="1" applyFill="1" applyBorder="1" applyAlignment="1" applyProtection="1">
      <alignment horizontal="center"/>
    </xf>
    <xf numFmtId="0" fontId="2" fillId="0" borderId="0" xfId="0" applyFont="1"/>
    <xf numFmtId="0" fontId="2" fillId="0" borderId="0" xfId="0" applyFont="1" applyFill="1"/>
    <xf numFmtId="0" fontId="2" fillId="0" borderId="0" xfId="0" applyFont="1" applyProtection="1">
      <protection hidden="1"/>
    </xf>
    <xf numFmtId="0" fontId="2" fillId="0" borderId="0" xfId="0" applyFont="1" applyProtection="1"/>
    <xf numFmtId="0" fontId="49" fillId="0" borderId="0" xfId="0" applyFont="1" applyAlignment="1">
      <alignment wrapText="1"/>
    </xf>
    <xf numFmtId="49" fontId="8" fillId="0" borderId="80" xfId="0" applyNumberFormat="1" applyFont="1" applyBorder="1" applyAlignment="1" applyProtection="1">
      <alignment horizontal="justify" wrapText="1"/>
    </xf>
    <xf numFmtId="49" fontId="19" fillId="0" borderId="71" xfId="0" applyNumberFormat="1" applyFont="1" applyBorder="1" applyAlignment="1" applyProtection="1">
      <alignment horizontal="justify" wrapText="1"/>
    </xf>
    <xf numFmtId="49" fontId="19" fillId="0" borderId="80" xfId="0" applyNumberFormat="1" applyFont="1" applyBorder="1" applyAlignment="1" applyProtection="1">
      <alignment horizontal="justify" wrapText="1"/>
    </xf>
    <xf numFmtId="49" fontId="19" fillId="36" borderId="71" xfId="0" applyNumberFormat="1" applyFont="1" applyFill="1" applyBorder="1" applyAlignment="1" applyProtection="1">
      <alignment horizontal="justify" wrapText="1"/>
      <protection locked="0"/>
    </xf>
    <xf numFmtId="0" fontId="52" fillId="0" borderId="0" xfId="0" applyFont="1" applyBorder="1" applyAlignment="1" applyProtection="1">
      <alignment horizontal="left" vertical="center" wrapText="1"/>
    </xf>
    <xf numFmtId="0" fontId="52" fillId="0" borderId="0" xfId="0" quotePrefix="1" applyNumberFormat="1" applyFont="1" applyProtection="1"/>
    <xf numFmtId="0" fontId="52" fillId="0" borderId="0" xfId="0" applyFont="1" applyFill="1" applyBorder="1" applyAlignment="1" applyProtection="1">
      <alignment horizontal="left" vertical="center" wrapText="1"/>
    </xf>
    <xf numFmtId="0" fontId="52" fillId="0" borderId="0" xfId="0" applyFont="1" applyAlignment="1" applyProtection="1">
      <alignment vertical="center"/>
    </xf>
    <xf numFmtId="0" fontId="52" fillId="0" borderId="0" xfId="0" applyFont="1" applyProtection="1"/>
    <xf numFmtId="49" fontId="19" fillId="0" borderId="10" xfId="0" applyNumberFormat="1" applyFont="1" applyBorder="1" applyAlignment="1" applyProtection="1">
      <alignment horizontal="justify" wrapText="1"/>
    </xf>
    <xf numFmtId="49" fontId="19" fillId="36" borderId="70" xfId="0" applyNumberFormat="1" applyFont="1" applyFill="1" applyBorder="1" applyAlignment="1" applyProtection="1">
      <alignment horizontal="justify" wrapText="1"/>
      <protection locked="0"/>
    </xf>
    <xf numFmtId="49" fontId="19" fillId="0" borderId="23" xfId="0" applyNumberFormat="1" applyFont="1" applyFill="1" applyBorder="1" applyAlignment="1" applyProtection="1">
      <alignment horizontal="justify" wrapText="1"/>
    </xf>
    <xf numFmtId="49" fontId="19" fillId="0" borderId="72" xfId="0" applyNumberFormat="1" applyFont="1" applyFill="1" applyBorder="1" applyAlignment="1" applyProtection="1">
      <alignment horizontal="justify" wrapText="1"/>
      <protection locked="0"/>
    </xf>
    <xf numFmtId="49" fontId="19" fillId="0" borderId="28" xfId="0" applyNumberFormat="1" applyFont="1" applyBorder="1" applyAlignment="1" applyProtection="1">
      <alignment horizontal="justify" wrapText="1"/>
    </xf>
    <xf numFmtId="49" fontId="19" fillId="36" borderId="79" xfId="0" applyNumberFormat="1" applyFont="1" applyFill="1" applyBorder="1" applyAlignment="1" applyProtection="1">
      <alignment horizontal="justify" wrapText="1"/>
      <protection locked="0"/>
    </xf>
    <xf numFmtId="0" fontId="2" fillId="0" borderId="0" xfId="0" applyFont="1" applyBorder="1" applyProtection="1">
      <protection hidden="1"/>
    </xf>
    <xf numFmtId="0" fontId="52" fillId="0" borderId="0" xfId="0" applyFont="1" applyBorder="1" applyProtection="1"/>
    <xf numFmtId="0" fontId="52" fillId="0" borderId="0" xfId="0" quotePrefix="1" applyNumberFormat="1" applyFont="1" applyBorder="1" applyProtection="1"/>
    <xf numFmtId="0" fontId="2" fillId="0" borderId="0" xfId="0" applyFont="1" applyBorder="1" applyProtection="1"/>
    <xf numFmtId="0" fontId="0" fillId="0" borderId="0" xfId="0" applyBorder="1" applyProtection="1"/>
    <xf numFmtId="49" fontId="59" fillId="36" borderId="79" xfId="37" applyNumberFormat="1" applyFont="1" applyFill="1" applyBorder="1" applyAlignment="1" applyProtection="1">
      <alignment horizontal="justify" wrapText="1"/>
      <protection locked="0"/>
    </xf>
    <xf numFmtId="49" fontId="8" fillId="0" borderId="80" xfId="0" applyNumberFormat="1" applyFont="1" applyBorder="1" applyAlignment="1" applyProtection="1">
      <alignment horizontal="left"/>
    </xf>
    <xf numFmtId="49" fontId="19" fillId="0" borderId="71" xfId="0" applyNumberFormat="1" applyFont="1" applyFill="1" applyBorder="1" applyAlignment="1" applyProtection="1">
      <alignment horizontal="justify" wrapText="1"/>
    </xf>
    <xf numFmtId="0" fontId="2" fillId="0" borderId="0" xfId="0" applyFont="1" applyBorder="1"/>
    <xf numFmtId="0" fontId="43" fillId="0" borderId="0" xfId="0" applyFont="1" applyProtection="1">
      <protection hidden="1"/>
    </xf>
    <xf numFmtId="0" fontId="43" fillId="0" borderId="0" xfId="0" applyFont="1" applyProtection="1"/>
    <xf numFmtId="0" fontId="0" fillId="0" borderId="0" xfId="0" applyProtection="1">
      <protection hidden="1"/>
    </xf>
    <xf numFmtId="0" fontId="2" fillId="0" borderId="0" xfId="0" applyFont="1" applyProtection="1">
      <protection locked="0" hidden="1"/>
    </xf>
    <xf numFmtId="0" fontId="2" fillId="0" borderId="0" xfId="0" applyFont="1" applyProtection="1">
      <protection locked="0"/>
    </xf>
    <xf numFmtId="49" fontId="19" fillId="0" borderId="0" xfId="0" applyNumberFormat="1" applyFont="1" applyFill="1" applyBorder="1" applyAlignment="1" applyProtection="1">
      <alignment horizontal="justify" wrapText="1"/>
    </xf>
    <xf numFmtId="49" fontId="19" fillId="0" borderId="0" xfId="0" applyNumberFormat="1" applyFont="1" applyFill="1" applyBorder="1" applyAlignment="1" applyProtection="1">
      <alignment horizontal="justify" wrapText="1"/>
      <protection locked="0"/>
    </xf>
    <xf numFmtId="0" fontId="9" fillId="0" borderId="10" xfId="0" applyNumberFormat="1" applyFont="1" applyBorder="1" applyAlignment="1">
      <alignment horizontal="left" wrapText="1" indent="1"/>
    </xf>
    <xf numFmtId="0" fontId="10" fillId="0" borderId="54" xfId="0" applyFont="1" applyBorder="1" applyAlignment="1">
      <alignment horizontal="left"/>
    </xf>
    <xf numFmtId="0" fontId="10" fillId="0" borderId="57" xfId="0" applyNumberFormat="1" applyFont="1" applyBorder="1" applyProtection="1"/>
    <xf numFmtId="0" fontId="9" fillId="0" borderId="10" xfId="0" applyNumberFormat="1" applyFont="1" applyFill="1" applyBorder="1"/>
    <xf numFmtId="0" fontId="11" fillId="0" borderId="10" xfId="0" applyNumberFormat="1" applyFont="1" applyFill="1" applyBorder="1"/>
    <xf numFmtId="0" fontId="57" fillId="0" borderId="14" xfId="0" applyFont="1" applyBorder="1" applyAlignment="1">
      <alignment horizontal="center"/>
    </xf>
    <xf numFmtId="172" fontId="57" fillId="24" borderId="36" xfId="0" applyNumberFormat="1" applyFont="1" applyFill="1" applyBorder="1" applyProtection="1">
      <protection locked="0"/>
    </xf>
    <xf numFmtId="172" fontId="57" fillId="24" borderId="20" xfId="0" applyNumberFormat="1" applyFont="1" applyFill="1" applyBorder="1" applyProtection="1">
      <protection locked="0"/>
    </xf>
    <xf numFmtId="172" fontId="57" fillId="0" borderId="20" xfId="0" applyNumberFormat="1" applyFont="1" applyBorder="1"/>
    <xf numFmtId="172" fontId="57" fillId="24" borderId="22" xfId="0" applyNumberFormat="1" applyFont="1" applyFill="1" applyBorder="1" applyProtection="1">
      <protection locked="0"/>
    </xf>
    <xf numFmtId="0" fontId="57" fillId="0" borderId="0" xfId="0" applyFont="1" applyFill="1"/>
    <xf numFmtId="0" fontId="57" fillId="0" borderId="0" xfId="0" applyFont="1"/>
    <xf numFmtId="0" fontId="9" fillId="0" borderId="10" xfId="0" applyNumberFormat="1" applyFont="1" applyBorder="1"/>
    <xf numFmtId="0" fontId="13" fillId="0" borderId="19" xfId="0" applyNumberFormat="1" applyFont="1" applyFill="1" applyBorder="1" applyAlignment="1">
      <alignment horizontal="left" indent="3"/>
    </xf>
    <xf numFmtId="0" fontId="9" fillId="0" borderId="19" xfId="0" applyNumberFormat="1" applyFont="1" applyFill="1" applyBorder="1" applyAlignment="1">
      <alignment horizontal="left" indent="2"/>
    </xf>
    <xf numFmtId="0" fontId="9" fillId="0" borderId="19" xfId="0" applyNumberFormat="1" applyFont="1" applyBorder="1" applyAlignment="1">
      <alignment horizontal="left" indent="3"/>
    </xf>
    <xf numFmtId="0" fontId="9" fillId="0" borderId="19" xfId="0" applyNumberFormat="1" applyFont="1" applyBorder="1" applyAlignment="1">
      <alignment horizontal="left" indent="2"/>
    </xf>
    <xf numFmtId="0" fontId="9" fillId="0" borderId="19" xfId="0" applyFont="1" applyBorder="1" applyAlignment="1">
      <alignment horizontal="left" indent="2"/>
    </xf>
    <xf numFmtId="172" fontId="9" fillId="0" borderId="38" xfId="0" applyNumberFormat="1" applyFont="1" applyFill="1" applyBorder="1" applyProtection="1"/>
    <xf numFmtId="172" fontId="9" fillId="0" borderId="39" xfId="0" applyNumberFormat="1" applyFont="1" applyFill="1" applyBorder="1"/>
    <xf numFmtId="0" fontId="10" fillId="0" borderId="10" xfId="42" applyFont="1" applyFill="1" applyBorder="1"/>
    <xf numFmtId="0" fontId="9" fillId="0" borderId="0" xfId="42" applyFont="1" applyFill="1" applyBorder="1"/>
    <xf numFmtId="172" fontId="9" fillId="0" borderId="70" xfId="42" applyNumberFormat="1" applyFont="1" applyFill="1" applyBorder="1" applyProtection="1"/>
    <xf numFmtId="172" fontId="9" fillId="0" borderId="89" xfId="42" applyNumberFormat="1" applyFont="1" applyFill="1" applyBorder="1" applyProtection="1"/>
    <xf numFmtId="0" fontId="9" fillId="0" borderId="72" xfId="42" applyNumberFormat="1" applyFont="1" applyFill="1" applyBorder="1" applyAlignment="1" applyProtection="1">
      <alignment horizontal="center"/>
    </xf>
    <xf numFmtId="0" fontId="9" fillId="36" borderId="10" xfId="42" applyFont="1" applyFill="1" applyBorder="1" applyAlignment="1">
      <alignment horizontal="left" indent="1"/>
    </xf>
    <xf numFmtId="0" fontId="9" fillId="0" borderId="11" xfId="42" applyFont="1" applyBorder="1" applyAlignment="1">
      <alignment vertical="top"/>
    </xf>
    <xf numFmtId="0" fontId="8" fillId="0" borderId="46" xfId="42" applyFont="1" applyFill="1" applyBorder="1" applyAlignment="1">
      <alignment vertical="top"/>
    </xf>
    <xf numFmtId="0" fontId="8" fillId="0" borderId="79" xfId="42" applyFont="1" applyFill="1" applyBorder="1" applyAlignment="1">
      <alignment vertical="top"/>
    </xf>
    <xf numFmtId="0" fontId="8" fillId="0" borderId="28" xfId="42" applyFont="1" applyFill="1" applyBorder="1" applyAlignment="1">
      <alignment vertical="top"/>
    </xf>
    <xf numFmtId="0" fontId="9" fillId="0" borderId="23" xfId="42" applyFont="1" applyFill="1" applyBorder="1" applyAlignment="1">
      <alignment horizontal="center"/>
    </xf>
    <xf numFmtId="0" fontId="9" fillId="0" borderId="72" xfId="42" applyNumberFormat="1" applyFont="1" applyBorder="1" applyAlignment="1" applyProtection="1">
      <alignment vertical="top" wrapText="1"/>
    </xf>
    <xf numFmtId="172" fontId="9" fillId="0" borderId="79" xfId="42" applyNumberFormat="1" applyFont="1" applyFill="1" applyBorder="1" applyProtection="1"/>
    <xf numFmtId="0" fontId="10" fillId="0" borderId="10" xfId="42" applyFont="1" applyFill="1" applyBorder="1" applyAlignment="1">
      <alignment wrapText="1"/>
    </xf>
    <xf numFmtId="0" fontId="10" fillId="0" borderId="46" xfId="42" applyFont="1" applyBorder="1" applyAlignment="1">
      <alignment vertical="top"/>
    </xf>
    <xf numFmtId="0" fontId="10" fillId="0" borderId="23" xfId="42" applyNumberFormat="1" applyFont="1" applyBorder="1" applyProtection="1"/>
    <xf numFmtId="0" fontId="13" fillId="0" borderId="10" xfId="42" applyNumberFormat="1" applyFont="1" applyFill="1" applyBorder="1" applyAlignment="1" applyProtection="1">
      <alignment vertical="top" wrapText="1"/>
    </xf>
    <xf numFmtId="0" fontId="13" fillId="0" borderId="37" xfId="42" applyNumberFormat="1" applyFont="1" applyFill="1" applyBorder="1" applyAlignment="1" applyProtection="1">
      <alignment vertical="top" wrapText="1"/>
    </xf>
    <xf numFmtId="0" fontId="9" fillId="0" borderId="59" xfId="42" applyFont="1" applyFill="1" applyBorder="1" applyAlignment="1">
      <alignment horizontal="center"/>
    </xf>
    <xf numFmtId="0" fontId="17" fillId="0" borderId="28" xfId="42" applyFont="1" applyFill="1" applyBorder="1" applyAlignment="1">
      <alignment wrapText="1"/>
    </xf>
    <xf numFmtId="0" fontId="9" fillId="0" borderId="79" xfId="42" applyFont="1" applyFill="1" applyBorder="1" applyAlignment="1">
      <alignment horizontal="center"/>
    </xf>
    <xf numFmtId="0" fontId="9" fillId="0" borderId="54" xfId="42" applyFont="1" applyBorder="1"/>
    <xf numFmtId="173" fontId="9" fillId="0" borderId="59" xfId="0" applyNumberFormat="1" applyFont="1" applyFill="1" applyBorder="1" applyProtection="1"/>
    <xf numFmtId="0" fontId="13" fillId="0" borderId="10" xfId="42" applyFont="1" applyFill="1" applyBorder="1" applyAlignment="1">
      <alignment horizontal="left" wrapText="1" indent="2"/>
    </xf>
    <xf numFmtId="0" fontId="10" fillId="0" borderId="50" xfId="0" applyFont="1" applyFill="1" applyBorder="1" applyAlignment="1">
      <alignment horizontal="center" vertical="center" wrapText="1"/>
    </xf>
    <xf numFmtId="0" fontId="10" fillId="0" borderId="51" xfId="0" applyFont="1" applyFill="1" applyBorder="1" applyAlignment="1">
      <alignment horizontal="center" vertical="center" wrapText="1"/>
    </xf>
    <xf numFmtId="9" fontId="10" fillId="0" borderId="51" xfId="47" applyFont="1" applyFill="1" applyBorder="1" applyAlignment="1">
      <alignment horizontal="center" vertical="center" wrapText="1"/>
    </xf>
    <xf numFmtId="9" fontId="10" fillId="0" borderId="52" xfId="47" applyFont="1" applyFill="1" applyBorder="1" applyAlignment="1">
      <alignment horizontal="center" vertical="center" wrapText="1"/>
    </xf>
    <xf numFmtId="0" fontId="12" fillId="0" borderId="10" xfId="42" applyFont="1" applyFill="1" applyBorder="1" applyAlignment="1">
      <alignment horizontal="left" wrapText="1" indent="2"/>
    </xf>
    <xf numFmtId="0" fontId="13" fillId="0" borderId="0" xfId="0" applyFont="1" applyFill="1" applyBorder="1" applyAlignment="1">
      <alignment vertical="top"/>
    </xf>
    <xf numFmtId="0" fontId="13" fillId="0" borderId="0" xfId="0" applyFont="1" applyBorder="1" applyAlignment="1">
      <alignment vertical="top"/>
    </xf>
    <xf numFmtId="0" fontId="9" fillId="0" borderId="10" xfId="0" applyFont="1" applyFill="1" applyBorder="1" applyAlignment="1">
      <alignment horizontal="left" wrapText="1" indent="2"/>
    </xf>
    <xf numFmtId="0" fontId="13" fillId="0" borderId="10" xfId="0" applyFont="1" applyFill="1" applyBorder="1" applyAlignment="1">
      <alignment horizontal="left" wrapText="1" indent="2"/>
    </xf>
    <xf numFmtId="0" fontId="10" fillId="0" borderId="10" xfId="0" applyFont="1" applyBorder="1" applyAlignment="1">
      <alignment horizontal="left" wrapText="1" indent="1"/>
    </xf>
    <xf numFmtId="0" fontId="12" fillId="0" borderId="10" xfId="0" applyFont="1" applyFill="1" applyBorder="1" applyAlignment="1">
      <alignment horizontal="left" wrapText="1" indent="2"/>
    </xf>
    <xf numFmtId="0" fontId="9" fillId="0" borderId="10" xfId="0" applyNumberFormat="1" applyFont="1" applyBorder="1" applyAlignment="1" applyProtection="1">
      <alignment horizontal="left" wrapText="1"/>
    </xf>
    <xf numFmtId="0" fontId="10" fillId="0" borderId="10" xfId="0" applyNumberFormat="1" applyFont="1" applyBorder="1" applyAlignment="1" applyProtection="1">
      <alignment wrapText="1"/>
    </xf>
    <xf numFmtId="0" fontId="10" fillId="0" borderId="10" xfId="0" applyNumberFormat="1" applyFont="1" applyBorder="1" applyAlignment="1" applyProtection="1">
      <alignment horizontal="left" wrapText="1"/>
    </xf>
    <xf numFmtId="0" fontId="10" fillId="0" borderId="23" xfId="0" applyNumberFormat="1" applyFont="1" applyBorder="1" applyAlignment="1" applyProtection="1">
      <alignment wrapText="1"/>
    </xf>
    <xf numFmtId="173" fontId="9" fillId="0" borderId="51" xfId="0" applyNumberFormat="1" applyFont="1" applyFill="1" applyBorder="1" applyProtection="1"/>
    <xf numFmtId="173" fontId="9" fillId="0" borderId="50" xfId="0" applyNumberFormat="1" applyFont="1" applyFill="1" applyBorder="1" applyProtection="1"/>
    <xf numFmtId="173" fontId="9" fillId="0" borderId="54" xfId="0" applyNumberFormat="1" applyFont="1" applyFill="1" applyBorder="1" applyProtection="1"/>
    <xf numFmtId="173" fontId="9" fillId="0" borderId="74" xfId="0" applyNumberFormat="1" applyFont="1" applyFill="1" applyBorder="1" applyProtection="1"/>
    <xf numFmtId="172" fontId="10" fillId="0" borderId="42" xfId="0" applyNumberFormat="1" applyFont="1" applyFill="1" applyBorder="1" applyProtection="1"/>
    <xf numFmtId="49" fontId="10" fillId="0" borderId="10" xfId="0" applyNumberFormat="1" applyFont="1" applyFill="1" applyBorder="1" applyAlignment="1">
      <alignment horizontal="center" vertical="center" wrapText="1"/>
    </xf>
    <xf numFmtId="0" fontId="9" fillId="0" borderId="22" xfId="0" applyFont="1" applyBorder="1" applyAlignment="1"/>
    <xf numFmtId="0" fontId="10" fillId="0" borderId="0" xfId="0" applyFont="1" applyAlignment="1">
      <alignment horizontal="center" vertical="center"/>
    </xf>
    <xf numFmtId="0" fontId="13" fillId="24" borderId="90" xfId="0" applyNumberFormat="1" applyFont="1" applyFill="1" applyBorder="1" applyAlignment="1" applyProtection="1">
      <alignment horizontal="center"/>
      <protection locked="0"/>
    </xf>
    <xf numFmtId="0" fontId="13" fillId="24" borderId="11" xfId="0" applyNumberFormat="1" applyFont="1" applyFill="1" applyBorder="1" applyAlignment="1" applyProtection="1">
      <alignment horizontal="center"/>
      <protection locked="0"/>
    </xf>
    <xf numFmtId="0" fontId="9" fillId="0" borderId="21" xfId="0" applyFont="1" applyBorder="1" applyAlignment="1"/>
    <xf numFmtId="0" fontId="13" fillId="0" borderId="31" xfId="0" applyNumberFormat="1" applyFont="1" applyFill="1" applyBorder="1" applyAlignment="1">
      <alignment horizontal="center"/>
    </xf>
    <xf numFmtId="0" fontId="13" fillId="24" borderId="21" xfId="0" applyNumberFormat="1" applyFont="1" applyFill="1" applyBorder="1" applyAlignment="1" applyProtection="1">
      <alignment horizontal="center"/>
      <protection locked="0"/>
    </xf>
    <xf numFmtId="0" fontId="13" fillId="24" borderId="62" xfId="0" applyNumberFormat="1" applyFont="1" applyFill="1" applyBorder="1" applyAlignment="1" applyProtection="1">
      <alignment horizontal="center"/>
      <protection locked="0"/>
    </xf>
    <xf numFmtId="0" fontId="9" fillId="0" borderId="21" xfId="0" applyNumberFormat="1" applyFont="1" applyFill="1" applyBorder="1"/>
    <xf numFmtId="0" fontId="13" fillId="24" borderId="26" xfId="0" applyNumberFormat="1" applyFont="1" applyFill="1" applyBorder="1" applyAlignment="1" applyProtection="1">
      <alignment horizontal="center"/>
      <protection locked="0"/>
    </xf>
    <xf numFmtId="0" fontId="13" fillId="0" borderId="10" xfId="0" applyNumberFormat="1" applyFont="1" applyFill="1" applyBorder="1" applyAlignment="1" applyProtection="1">
      <alignment horizontal="left" indent="1"/>
    </xf>
    <xf numFmtId="173" fontId="10" fillId="36" borderId="20" xfId="29" applyNumberFormat="1" applyFont="1" applyFill="1" applyBorder="1" applyAlignment="1" applyProtection="1">
      <alignment horizontal="center"/>
      <protection locked="0"/>
    </xf>
    <xf numFmtId="0" fontId="13" fillId="36" borderId="20" xfId="0" applyNumberFormat="1" applyFont="1" applyFill="1" applyBorder="1" applyAlignment="1" applyProtection="1">
      <alignment horizontal="center"/>
      <protection locked="0"/>
    </xf>
    <xf numFmtId="0" fontId="10" fillId="38" borderId="20" xfId="0" applyNumberFormat="1" applyFont="1" applyFill="1" applyBorder="1" applyAlignment="1" applyProtection="1">
      <alignment horizontal="center"/>
      <protection locked="0"/>
    </xf>
    <xf numFmtId="173" fontId="10" fillId="38" borderId="20" xfId="30" applyNumberFormat="1" applyFont="1" applyFill="1" applyBorder="1" applyAlignment="1" applyProtection="1">
      <alignment horizontal="center"/>
      <protection locked="0"/>
    </xf>
    <xf numFmtId="0" fontId="13" fillId="38" borderId="20" xfId="0" applyNumberFormat="1" applyFont="1" applyFill="1" applyBorder="1" applyAlignment="1" applyProtection="1">
      <alignment horizontal="center"/>
      <protection locked="0"/>
    </xf>
    <xf numFmtId="0" fontId="13" fillId="38" borderId="0" xfId="0" applyNumberFormat="1" applyFont="1" applyFill="1" applyBorder="1" applyAlignment="1" applyProtection="1">
      <alignment horizontal="center"/>
      <protection locked="0"/>
    </xf>
    <xf numFmtId="0" fontId="13" fillId="38" borderId="22" xfId="0" applyNumberFormat="1" applyFont="1" applyFill="1" applyBorder="1" applyAlignment="1" applyProtection="1">
      <alignment horizontal="center"/>
      <protection locked="0"/>
    </xf>
    <xf numFmtId="0" fontId="13" fillId="38" borderId="21" xfId="0" applyNumberFormat="1" applyFont="1" applyFill="1" applyBorder="1" applyAlignment="1" applyProtection="1">
      <alignment horizontal="center"/>
      <protection locked="0"/>
    </xf>
    <xf numFmtId="172" fontId="10" fillId="38" borderId="19" xfId="0" applyNumberFormat="1" applyFont="1" applyFill="1" applyBorder="1" applyAlignment="1" applyProtection="1">
      <alignment horizontal="center"/>
      <protection locked="0"/>
    </xf>
    <xf numFmtId="172" fontId="10" fillId="38" borderId="21" xfId="0" applyNumberFormat="1" applyFont="1" applyFill="1" applyBorder="1" applyAlignment="1" applyProtection="1">
      <alignment horizontal="center"/>
      <protection locked="0"/>
    </xf>
    <xf numFmtId="172" fontId="10" fillId="38" borderId="22" xfId="0" applyNumberFormat="1" applyFont="1" applyFill="1" applyBorder="1" applyAlignment="1" applyProtection="1">
      <alignment horizontal="center"/>
      <protection locked="0"/>
    </xf>
    <xf numFmtId="172" fontId="10" fillId="38" borderId="36" xfId="0" applyNumberFormat="1" applyFont="1" applyFill="1" applyBorder="1" applyAlignment="1" applyProtection="1">
      <alignment horizontal="center"/>
      <protection locked="0"/>
    </xf>
    <xf numFmtId="0" fontId="13" fillId="38" borderId="10" xfId="0" applyNumberFormat="1" applyFont="1" applyFill="1" applyBorder="1" applyAlignment="1" applyProtection="1">
      <alignment horizontal="left" indent="1"/>
      <protection locked="0"/>
    </xf>
    <xf numFmtId="0" fontId="9" fillId="38" borderId="20" xfId="0" applyNumberFormat="1" applyFont="1" applyFill="1" applyBorder="1" applyProtection="1">
      <protection locked="0"/>
    </xf>
    <xf numFmtId="173" fontId="9" fillId="38" borderId="20" xfId="30" applyNumberFormat="1" applyFont="1" applyFill="1" applyBorder="1" applyAlignment="1" applyProtection="1">
      <alignment horizontal="center"/>
      <protection locked="0"/>
    </xf>
    <xf numFmtId="172" fontId="9" fillId="38" borderId="19" xfId="0" applyNumberFormat="1" applyFont="1" applyFill="1" applyBorder="1" applyProtection="1">
      <protection locked="0"/>
    </xf>
    <xf numFmtId="172" fontId="9" fillId="38" borderId="21" xfId="0" applyNumberFormat="1" applyFont="1" applyFill="1" applyBorder="1" applyProtection="1">
      <protection locked="0"/>
    </xf>
    <xf numFmtId="172" fontId="9" fillId="38" borderId="22" xfId="0" applyNumberFormat="1" applyFont="1" applyFill="1" applyBorder="1" applyProtection="1">
      <protection locked="0"/>
    </xf>
    <xf numFmtId="172" fontId="9" fillId="38" borderId="36" xfId="0" applyNumberFormat="1" applyFont="1" applyFill="1" applyBorder="1" applyProtection="1">
      <protection locked="0"/>
    </xf>
    <xf numFmtId="0" fontId="9" fillId="38" borderId="0" xfId="0" applyFont="1" applyFill="1"/>
    <xf numFmtId="0" fontId="9" fillId="0" borderId="20" xfId="0" applyFont="1" applyBorder="1" applyAlignment="1"/>
    <xf numFmtId="173" fontId="10" fillId="36" borderId="39" xfId="29" applyNumberFormat="1" applyFont="1" applyFill="1" applyBorder="1" applyAlignment="1" applyProtection="1">
      <alignment horizontal="center"/>
      <protection locked="0"/>
    </xf>
    <xf numFmtId="0" fontId="13" fillId="36" borderId="39" xfId="0" applyNumberFormat="1" applyFont="1" applyFill="1" applyBorder="1" applyAlignment="1" applyProtection="1">
      <alignment horizontal="center"/>
      <protection locked="0"/>
    </xf>
    <xf numFmtId="173" fontId="10" fillId="36" borderId="25" xfId="29" applyNumberFormat="1" applyFont="1" applyFill="1" applyBorder="1" applyAlignment="1" applyProtection="1">
      <alignment horizontal="center"/>
      <protection locked="0"/>
    </xf>
    <xf numFmtId="0" fontId="13" fillId="36" borderId="25" xfId="0" applyNumberFormat="1" applyFont="1" applyFill="1" applyBorder="1" applyAlignment="1" applyProtection="1">
      <alignment horizontal="center"/>
      <protection locked="0"/>
    </xf>
    <xf numFmtId="0" fontId="9" fillId="0" borderId="19" xfId="0" applyNumberFormat="1" applyFont="1" applyBorder="1" applyAlignment="1" applyProtection="1">
      <alignment horizontal="left" indent="3"/>
    </xf>
    <xf numFmtId="0" fontId="9" fillId="0" borderId="14" xfId="0" applyFont="1" applyBorder="1" applyAlignment="1" applyProtection="1">
      <alignment horizontal="center"/>
    </xf>
    <xf numFmtId="172" fontId="9" fillId="0" borderId="21" xfId="0" applyNumberFormat="1" applyFont="1" applyFill="1" applyBorder="1" applyProtection="1"/>
    <xf numFmtId="172" fontId="9" fillId="0" borderId="14" xfId="0" applyNumberFormat="1" applyFont="1" applyFill="1" applyBorder="1" applyProtection="1"/>
    <xf numFmtId="0" fontId="2" fillId="0" borderId="0" xfId="0" applyNumberFormat="1" applyFont="1" applyProtection="1"/>
    <xf numFmtId="0" fontId="2" fillId="0" borderId="0" xfId="0" applyFont="1" applyAlignment="1" applyProtection="1">
      <alignment vertical="center"/>
    </xf>
    <xf numFmtId="0" fontId="0" fillId="0" borderId="0" xfId="0" applyFont="1" applyProtection="1"/>
    <xf numFmtId="0" fontId="9" fillId="39" borderId="10" xfId="0" applyFont="1" applyFill="1" applyBorder="1" applyAlignment="1">
      <alignment horizontal="left" indent="1"/>
    </xf>
    <xf numFmtId="0" fontId="9" fillId="39" borderId="14" xfId="0" applyNumberFormat="1" applyFont="1" applyFill="1" applyBorder="1" applyAlignment="1">
      <alignment horizontal="left" vertical="top" wrapText="1" indent="1"/>
    </xf>
    <xf numFmtId="0" fontId="9" fillId="39" borderId="10" xfId="0" applyFont="1" applyFill="1" applyBorder="1" applyAlignment="1">
      <alignment horizontal="left" vertical="top" wrapText="1" indent="2"/>
    </xf>
    <xf numFmtId="0" fontId="13" fillId="0" borderId="10" xfId="0" applyFont="1" applyBorder="1" applyAlignment="1" applyProtection="1">
      <alignment horizontal="left" indent="1"/>
      <protection locked="0"/>
    </xf>
    <xf numFmtId="0" fontId="13" fillId="0" borderId="10" xfId="0" applyFont="1" applyFill="1" applyBorder="1" applyAlignment="1" applyProtection="1">
      <alignment horizontal="left" indent="1"/>
    </xf>
    <xf numFmtId="0" fontId="13" fillId="0" borderId="19" xfId="0" applyFont="1" applyFill="1" applyBorder="1" applyAlignment="1" applyProtection="1">
      <alignment horizontal="left" indent="1"/>
    </xf>
    <xf numFmtId="0" fontId="13" fillId="0" borderId="20" xfId="0" applyFont="1" applyFill="1" applyBorder="1" applyAlignment="1" applyProtection="1">
      <alignment horizontal="left" indent="1"/>
    </xf>
    <xf numFmtId="0" fontId="13" fillId="0" borderId="22" xfId="0" applyFont="1" applyFill="1" applyBorder="1" applyAlignment="1" applyProtection="1">
      <alignment horizontal="left" indent="1"/>
    </xf>
    <xf numFmtId="0" fontId="11" fillId="0" borderId="10" xfId="0" applyFont="1" applyFill="1" applyBorder="1" applyProtection="1"/>
    <xf numFmtId="0" fontId="13" fillId="0" borderId="10" xfId="0" applyFont="1" applyFill="1" applyBorder="1" applyProtection="1"/>
    <xf numFmtId="0" fontId="10" fillId="0" borderId="10" xfId="0" applyFont="1" applyFill="1" applyBorder="1" applyProtection="1"/>
    <xf numFmtId="0" fontId="13" fillId="39" borderId="10" xfId="0" applyFont="1" applyFill="1" applyBorder="1" applyAlignment="1" applyProtection="1">
      <alignment horizontal="left" indent="1"/>
      <protection locked="0"/>
    </xf>
    <xf numFmtId="0" fontId="9" fillId="39" borderId="10" xfId="0" applyFont="1" applyFill="1" applyBorder="1" applyAlignment="1" applyProtection="1">
      <alignment horizontal="left" indent="1"/>
    </xf>
    <xf numFmtId="0" fontId="13" fillId="39" borderId="10" xfId="0" applyFont="1" applyFill="1" applyBorder="1" applyAlignment="1" applyProtection="1">
      <alignment horizontal="left" indent="1"/>
    </xf>
    <xf numFmtId="0" fontId="9" fillId="0" borderId="20" xfId="0" applyFont="1" applyFill="1" applyBorder="1" applyAlignment="1" applyProtection="1">
      <alignment horizontal="center"/>
    </xf>
    <xf numFmtId="0" fontId="9" fillId="0" borderId="19" xfId="43" applyFont="1" applyBorder="1" applyAlignment="1">
      <alignment horizontal="left" indent="1"/>
    </xf>
    <xf numFmtId="0" fontId="10" fillId="0" borderId="19" xfId="0" applyFont="1" applyBorder="1"/>
    <xf numFmtId="0" fontId="10" fillId="0" borderId="0" xfId="0" applyFont="1" applyFill="1" applyBorder="1"/>
    <xf numFmtId="0" fontId="9" fillId="0" borderId="0" xfId="0" applyFont="1" applyFill="1" applyBorder="1" applyAlignment="1" applyProtection="1">
      <alignment horizontal="left" indent="1"/>
    </xf>
    <xf numFmtId="172" fontId="9" fillId="0" borderId="0" xfId="0" applyNumberFormat="1" applyFont="1" applyFill="1" applyBorder="1" applyProtection="1">
      <protection locked="0"/>
    </xf>
    <xf numFmtId="0" fontId="9" fillId="0" borderId="0" xfId="0" applyFont="1" applyFill="1" applyBorder="1" applyAlignment="1" applyProtection="1">
      <alignment horizontal="center"/>
      <protection locked="0"/>
    </xf>
    <xf numFmtId="0" fontId="9" fillId="40" borderId="10" xfId="0" applyFont="1" applyFill="1" applyBorder="1" applyAlignment="1">
      <alignment horizontal="left" wrapText="1" indent="1"/>
    </xf>
    <xf numFmtId="0" fontId="9" fillId="40" borderId="10" xfId="0" applyFont="1" applyFill="1" applyBorder="1" applyAlignment="1">
      <alignment horizontal="left" indent="1"/>
    </xf>
    <xf numFmtId="0" fontId="10" fillId="36" borderId="10" xfId="53" applyNumberFormat="1" applyFont="1" applyFill="1" applyBorder="1" applyAlignment="1" applyProtection="1">
      <alignment horizontal="left" indent="1"/>
      <protection locked="0"/>
    </xf>
    <xf numFmtId="0" fontId="10" fillId="36" borderId="20" xfId="53" applyNumberFormat="1" applyFont="1" applyFill="1" applyBorder="1" applyAlignment="1" applyProtection="1">
      <alignment horizontal="center"/>
      <protection locked="0"/>
    </xf>
    <xf numFmtId="173" fontId="10" fillId="36" borderId="20" xfId="54" applyNumberFormat="1" applyFont="1" applyFill="1" applyBorder="1" applyAlignment="1" applyProtection="1">
      <alignment horizontal="center"/>
      <protection locked="0"/>
    </xf>
    <xf numFmtId="0" fontId="13" fillId="36" borderId="20" xfId="53" applyNumberFormat="1" applyFont="1" applyFill="1" applyBorder="1" applyAlignment="1" applyProtection="1">
      <alignment horizontal="center"/>
      <protection locked="0"/>
    </xf>
    <xf numFmtId="0" fontId="13" fillId="36" borderId="0" xfId="53" applyNumberFormat="1" applyFont="1" applyFill="1" applyBorder="1" applyAlignment="1" applyProtection="1">
      <alignment horizontal="center"/>
      <protection locked="0"/>
    </xf>
    <xf numFmtId="0" fontId="9" fillId="36" borderId="20" xfId="53" applyNumberFormat="1" applyFont="1" applyFill="1" applyBorder="1" applyProtection="1">
      <protection locked="0"/>
    </xf>
    <xf numFmtId="172" fontId="9" fillId="36" borderId="20" xfId="53" applyNumberFormat="1" applyFont="1" applyFill="1" applyBorder="1" applyProtection="1">
      <protection locked="0"/>
    </xf>
    <xf numFmtId="172" fontId="9" fillId="36" borderId="70" xfId="53" applyNumberFormat="1" applyFont="1" applyFill="1" applyBorder="1" applyProtection="1">
      <protection locked="0"/>
    </xf>
    <xf numFmtId="0" fontId="9" fillId="36" borderId="10" xfId="53" applyNumberFormat="1" applyFont="1" applyFill="1" applyBorder="1" applyAlignment="1" applyProtection="1">
      <alignment horizontal="left" indent="1"/>
      <protection locked="0"/>
    </xf>
    <xf numFmtId="173" fontId="9" fillId="36" borderId="20" xfId="54" applyNumberFormat="1" applyFont="1" applyFill="1" applyBorder="1" applyAlignment="1" applyProtection="1">
      <alignment horizontal="center"/>
      <protection locked="0"/>
    </xf>
    <xf numFmtId="0" fontId="9" fillId="36" borderId="10" xfId="53" applyNumberFormat="1" applyFont="1" applyFill="1" applyBorder="1" applyProtection="1">
      <protection locked="0"/>
    </xf>
    <xf numFmtId="0" fontId="10" fillId="36" borderId="10" xfId="53" applyNumberFormat="1" applyFont="1" applyFill="1" applyBorder="1" applyProtection="1">
      <protection locked="0"/>
    </xf>
    <xf numFmtId="173" fontId="9" fillId="36" borderId="20" xfId="53" applyNumberFormat="1" applyFont="1" applyFill="1" applyBorder="1" applyProtection="1">
      <protection locked="0"/>
    </xf>
    <xf numFmtId="0" fontId="9" fillId="36" borderId="10" xfId="53" applyNumberFormat="1" applyFont="1" applyFill="1" applyBorder="1" applyAlignment="1" applyProtection="1">
      <alignment horizontal="left"/>
      <protection locked="0"/>
    </xf>
    <xf numFmtId="0" fontId="10" fillId="36" borderId="20" xfId="42" applyNumberFormat="1" applyFont="1" applyFill="1" applyBorder="1" applyAlignment="1" applyProtection="1">
      <alignment horizontal="center"/>
      <protection locked="0"/>
    </xf>
    <xf numFmtId="0" fontId="13" fillId="36" borderId="20" xfId="42" applyNumberFormat="1" applyFont="1" applyFill="1" applyBorder="1" applyAlignment="1" applyProtection="1">
      <alignment horizontal="center"/>
      <protection locked="0"/>
    </xf>
    <xf numFmtId="0" fontId="13" fillId="36" borderId="0" xfId="42" applyNumberFormat="1" applyFont="1" applyFill="1" applyBorder="1" applyAlignment="1" applyProtection="1">
      <alignment horizontal="center"/>
      <protection locked="0"/>
    </xf>
    <xf numFmtId="0" fontId="10" fillId="36" borderId="20" xfId="53" applyNumberFormat="1" applyFont="1" applyFill="1" applyBorder="1" applyAlignment="1" applyProtection="1">
      <alignment horizontal="center" wrapText="1"/>
      <protection locked="0"/>
    </xf>
    <xf numFmtId="0" fontId="10" fillId="36" borderId="20" xfId="53" applyNumberFormat="1" applyFont="1" applyFill="1" applyBorder="1" applyProtection="1">
      <protection locked="0"/>
    </xf>
    <xf numFmtId="0" fontId="10" fillId="0" borderId="0" xfId="53" applyFont="1" applyAlignment="1">
      <alignment horizontal="center"/>
    </xf>
    <xf numFmtId="0" fontId="7" fillId="34" borderId="80" xfId="0" applyFont="1" applyFill="1" applyBorder="1" applyAlignment="1">
      <alignment horizontal="center"/>
    </xf>
    <xf numFmtId="0" fontId="7" fillId="34" borderId="81" xfId="0" applyFont="1" applyFill="1" applyBorder="1" applyAlignment="1">
      <alignment horizontal="center"/>
    </xf>
    <xf numFmtId="0" fontId="7" fillId="34" borderId="71" xfId="0" applyFont="1" applyFill="1" applyBorder="1" applyAlignment="1">
      <alignment horizontal="center"/>
    </xf>
    <xf numFmtId="0" fontId="7" fillId="35" borderId="80" xfId="0" applyFont="1" applyFill="1" applyBorder="1" applyAlignment="1">
      <alignment horizontal="center"/>
    </xf>
    <xf numFmtId="0" fontId="7" fillId="35" borderId="81" xfId="0" applyFont="1" applyFill="1" applyBorder="1" applyAlignment="1">
      <alignment horizontal="center"/>
    </xf>
    <xf numFmtId="0" fontId="7" fillId="35" borderId="71" xfId="0" applyFont="1" applyFill="1" applyBorder="1" applyAlignment="1">
      <alignment horizontal="center"/>
    </xf>
    <xf numFmtId="0" fontId="6" fillId="29" borderId="80" xfId="0" applyFont="1" applyFill="1" applyBorder="1" applyAlignment="1">
      <alignment horizontal="center"/>
    </xf>
    <xf numFmtId="0" fontId="6" fillId="29" borderId="71" xfId="0" applyFont="1" applyFill="1" applyBorder="1" applyAlignment="1">
      <alignment horizontal="center"/>
    </xf>
    <xf numFmtId="49" fontId="8" fillId="0" borderId="80" xfId="0" applyNumberFormat="1" applyFont="1" applyBorder="1" applyAlignment="1" applyProtection="1">
      <alignment horizontal="justify" wrapText="1"/>
    </xf>
    <xf numFmtId="49" fontId="19" fillId="0" borderId="71" xfId="0" applyNumberFormat="1" applyFont="1" applyBorder="1" applyAlignment="1">
      <alignment horizontal="justify" wrapText="1"/>
    </xf>
    <xf numFmtId="49" fontId="8" fillId="0" borderId="0" xfId="0" applyNumberFormat="1" applyFont="1" applyFill="1" applyBorder="1" applyAlignment="1" applyProtection="1">
      <alignment horizontal="justify" wrapText="1"/>
    </xf>
    <xf numFmtId="49" fontId="19" fillId="0" borderId="0" xfId="0" applyNumberFormat="1" applyFont="1" applyFill="1" applyBorder="1" applyAlignment="1">
      <alignment horizontal="justify" wrapText="1"/>
    </xf>
    <xf numFmtId="49" fontId="56" fillId="0" borderId="97" xfId="0" applyNumberFormat="1" applyFont="1" applyBorder="1" applyAlignment="1" applyProtection="1">
      <alignment horizontal="justify" vertical="center" wrapText="1"/>
    </xf>
    <xf numFmtId="49" fontId="57" fillId="0" borderId="98" xfId="0" applyNumberFormat="1" applyFont="1" applyBorder="1" applyAlignment="1">
      <alignment horizontal="justify" vertical="center" wrapText="1"/>
    </xf>
    <xf numFmtId="49" fontId="8" fillId="0" borderId="97" xfId="0" applyNumberFormat="1" applyFont="1" applyBorder="1" applyAlignment="1" applyProtection="1">
      <alignment horizontal="justify" vertical="center" wrapText="1"/>
    </xf>
    <xf numFmtId="49" fontId="19" fillId="0" borderId="98" xfId="0" applyNumberFormat="1" applyFont="1" applyBorder="1" applyAlignment="1">
      <alignment horizontal="justify" vertical="center" wrapText="1"/>
    </xf>
    <xf numFmtId="49" fontId="8" fillId="0" borderId="92" xfId="0" applyNumberFormat="1" applyFont="1" applyBorder="1" applyAlignment="1" applyProtection="1">
      <alignment horizontal="justify" wrapText="1"/>
    </xf>
    <xf numFmtId="49" fontId="19" fillId="0" borderId="93" xfId="0" applyNumberFormat="1" applyFont="1" applyBorder="1" applyAlignment="1">
      <alignment horizontal="justify" wrapText="1"/>
    </xf>
    <xf numFmtId="0" fontId="8" fillId="0" borderId="0" xfId="0" applyFont="1" applyBorder="1" applyAlignment="1" applyProtection="1">
      <alignment horizontal="justify" vertical="top" wrapText="1"/>
    </xf>
    <xf numFmtId="0" fontId="13" fillId="0" borderId="0" xfId="0" applyFont="1" applyBorder="1" applyAlignment="1" applyProtection="1">
      <alignment horizontal="left" vertical="top" wrapText="1"/>
    </xf>
    <xf numFmtId="0" fontId="19" fillId="0" borderId="0" xfId="0" applyFont="1" applyBorder="1" applyAlignment="1" applyProtection="1">
      <alignment horizontal="left" vertical="top" wrapText="1"/>
    </xf>
    <xf numFmtId="0" fontId="19" fillId="0" borderId="0" xfId="0" applyFont="1" applyBorder="1" applyAlignment="1" applyProtection="1">
      <alignment horizontal="justify" vertical="top" wrapText="1"/>
    </xf>
    <xf numFmtId="0" fontId="56" fillId="0" borderId="94" xfId="0" applyFont="1" applyBorder="1" applyAlignment="1" applyProtection="1">
      <alignment horizontal="justify" vertical="center" wrapText="1"/>
    </xf>
    <xf numFmtId="0" fontId="57" fillId="0" borderId="94" xfId="0" applyFont="1" applyBorder="1" applyAlignment="1">
      <alignment horizontal="justify" vertical="center" wrapText="1"/>
    </xf>
    <xf numFmtId="49" fontId="56" fillId="0" borderId="95" xfId="0" applyNumberFormat="1" applyFont="1" applyBorder="1" applyAlignment="1" applyProtection="1">
      <alignment horizontal="justify" vertical="center"/>
    </xf>
    <xf numFmtId="49" fontId="19" fillId="0" borderId="96" xfId="0" applyNumberFormat="1" applyFont="1" applyBorder="1" applyAlignment="1">
      <alignment horizontal="justify" vertical="center"/>
    </xf>
    <xf numFmtId="49" fontId="8" fillId="0" borderId="95" xfId="0" applyNumberFormat="1" applyFont="1" applyBorder="1" applyAlignment="1" applyProtection="1">
      <alignment horizontal="justify" vertical="center" wrapText="1"/>
    </xf>
    <xf numFmtId="49" fontId="19" fillId="0" borderId="96" xfId="0" applyNumberFormat="1" applyFont="1" applyBorder="1" applyAlignment="1">
      <alignment horizontal="justify" vertical="center" wrapText="1"/>
    </xf>
    <xf numFmtId="0" fontId="13" fillId="0" borderId="0" xfId="0" applyFont="1" applyBorder="1" applyAlignment="1">
      <alignment horizontal="left" vertical="top" wrapText="1"/>
    </xf>
    <xf numFmtId="0" fontId="10" fillId="0" borderId="91" xfId="0" applyFont="1" applyFill="1" applyBorder="1" applyAlignment="1">
      <alignment horizontal="center" vertical="center" wrapText="1"/>
    </xf>
    <xf numFmtId="0" fontId="10" fillId="0" borderId="99"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69" xfId="0" applyFont="1" applyFill="1" applyBorder="1" applyAlignment="1">
      <alignment horizontal="center" vertical="center"/>
    </xf>
    <xf numFmtId="0" fontId="10" fillId="0" borderId="14" xfId="0" applyFont="1" applyFill="1" applyBorder="1" applyAlignment="1">
      <alignment horizontal="center" vertical="center"/>
    </xf>
    <xf numFmtId="0" fontId="13" fillId="0" borderId="0" xfId="0" applyFont="1" applyFill="1" applyBorder="1" applyAlignment="1">
      <alignment horizontal="left" vertical="top" wrapText="1"/>
    </xf>
    <xf numFmtId="0" fontId="10" fillId="0" borderId="28" xfId="0" applyFont="1" applyFill="1" applyBorder="1" applyAlignment="1">
      <alignment horizontal="center" vertical="center"/>
    </xf>
    <xf numFmtId="0" fontId="10" fillId="0" borderId="10" xfId="0" applyFont="1" applyFill="1" applyBorder="1" applyAlignment="1">
      <alignment horizontal="center" vertical="center"/>
    </xf>
    <xf numFmtId="0" fontId="13" fillId="0" borderId="0" xfId="0" applyFont="1" applyBorder="1" applyAlignment="1">
      <alignment horizontal="left"/>
    </xf>
    <xf numFmtId="0" fontId="16" fillId="0" borderId="0" xfId="0" applyFont="1" applyBorder="1" applyAlignment="1">
      <alignment horizontal="left"/>
    </xf>
    <xf numFmtId="0" fontId="13" fillId="0" borderId="0" xfId="0" applyFont="1" applyFill="1" applyBorder="1" applyAlignment="1" applyProtection="1">
      <alignment horizontal="left" vertical="top" wrapText="1"/>
    </xf>
    <xf numFmtId="0" fontId="16" fillId="0" borderId="0" xfId="0" applyFont="1" applyFill="1" applyBorder="1" applyAlignment="1" applyProtection="1">
      <alignment horizontal="left" vertical="top" wrapText="1"/>
    </xf>
    <xf numFmtId="0" fontId="10" fillId="0" borderId="48" xfId="0" applyFont="1" applyFill="1" applyBorder="1" applyAlignment="1">
      <alignment horizontal="center" vertical="center"/>
    </xf>
    <xf numFmtId="0" fontId="10" fillId="0" borderId="45" xfId="0" applyFont="1" applyFill="1" applyBorder="1" applyAlignment="1">
      <alignment horizontal="center" vertical="center"/>
    </xf>
    <xf numFmtId="0" fontId="0" fillId="0" borderId="0" xfId="0"/>
    <xf numFmtId="0" fontId="9" fillId="0" borderId="0" xfId="0" applyFont="1" applyBorder="1" applyAlignment="1">
      <alignment horizontal="left" vertical="top" wrapText="1"/>
    </xf>
    <xf numFmtId="0" fontId="13" fillId="0" borderId="0" xfId="0" quotePrefix="1" applyFont="1" applyBorder="1" applyAlignment="1">
      <alignment horizontal="left" wrapText="1"/>
    </xf>
    <xf numFmtId="0" fontId="13" fillId="0" borderId="0" xfId="0" quotePrefix="1" applyFont="1" applyBorder="1" applyAlignment="1" applyProtection="1">
      <alignment horizontal="left" wrapText="1"/>
    </xf>
    <xf numFmtId="0" fontId="13" fillId="0" borderId="0" xfId="0" applyFont="1" applyBorder="1" applyAlignment="1" applyProtection="1">
      <alignment horizontal="left" wrapText="1"/>
    </xf>
    <xf numFmtId="0" fontId="46" fillId="0" borderId="28" xfId="0" applyFont="1" applyFill="1" applyBorder="1" applyAlignment="1">
      <alignment horizontal="center" vertical="center"/>
    </xf>
    <xf numFmtId="0" fontId="46" fillId="0" borderId="10" xfId="0" applyFont="1" applyFill="1" applyBorder="1" applyAlignment="1">
      <alignment horizontal="center" vertical="center"/>
    </xf>
    <xf numFmtId="0" fontId="46" fillId="0" borderId="69" xfId="0" applyFont="1" applyFill="1" applyBorder="1" applyAlignment="1">
      <alignment horizontal="center" vertical="center"/>
    </xf>
    <xf numFmtId="0" fontId="46" fillId="0" borderId="14" xfId="0" applyFont="1" applyFill="1" applyBorder="1" applyAlignment="1">
      <alignment horizontal="center" vertical="center"/>
    </xf>
    <xf numFmtId="0" fontId="46" fillId="0" borderId="48" xfId="0" applyFont="1" applyFill="1" applyBorder="1" applyAlignment="1">
      <alignment horizontal="center" vertical="center"/>
    </xf>
    <xf numFmtId="0" fontId="10" fillId="0" borderId="69" xfId="0" applyFont="1" applyFill="1" applyBorder="1" applyAlignment="1" applyProtection="1">
      <alignment horizontal="center" vertical="center"/>
    </xf>
    <xf numFmtId="0" fontId="10" fillId="0" borderId="14" xfId="0" applyFont="1" applyFill="1" applyBorder="1" applyAlignment="1" applyProtection="1">
      <alignment horizontal="center" vertical="center"/>
    </xf>
    <xf numFmtId="0" fontId="10" fillId="0" borderId="91" xfId="0" applyFont="1" applyFill="1" applyBorder="1" applyAlignment="1" applyProtection="1">
      <alignment horizontal="center" vertical="center" wrapText="1"/>
    </xf>
    <xf numFmtId="0" fontId="10" fillId="0" borderId="99" xfId="0" applyFont="1" applyFill="1" applyBorder="1" applyAlignment="1" applyProtection="1">
      <alignment horizontal="center" vertical="center" wrapText="1"/>
    </xf>
    <xf numFmtId="0" fontId="10" fillId="0" borderId="28" xfId="0" applyFont="1" applyFill="1" applyBorder="1" applyAlignment="1" applyProtection="1">
      <alignment horizontal="center" vertical="center"/>
    </xf>
    <xf numFmtId="0" fontId="10" fillId="0" borderId="10" xfId="0" applyFont="1" applyFill="1" applyBorder="1" applyAlignment="1" applyProtection="1">
      <alignment horizontal="center" vertical="center"/>
    </xf>
    <xf numFmtId="0" fontId="10" fillId="0" borderId="23" xfId="0" applyFont="1" applyFill="1" applyBorder="1" applyAlignment="1" applyProtection="1">
      <alignment horizontal="center" vertical="center"/>
    </xf>
    <xf numFmtId="0" fontId="10" fillId="0" borderId="30" xfId="0" applyFont="1" applyFill="1" applyBorder="1" applyAlignment="1" applyProtection="1">
      <alignment horizontal="center" vertical="center"/>
    </xf>
    <xf numFmtId="0" fontId="10" fillId="0" borderId="20" xfId="0" applyFont="1" applyFill="1" applyBorder="1" applyAlignment="1" applyProtection="1">
      <alignment horizontal="center" vertical="center"/>
    </xf>
    <xf numFmtId="0" fontId="10" fillId="0" borderId="25" xfId="0" applyFont="1" applyFill="1" applyBorder="1" applyAlignment="1" applyProtection="1">
      <alignment horizontal="center" vertical="center"/>
    </xf>
    <xf numFmtId="0" fontId="10" fillId="0" borderId="47" xfId="0" applyFont="1" applyFill="1" applyBorder="1" applyAlignment="1">
      <alignment horizontal="center" vertical="center" wrapText="1"/>
    </xf>
    <xf numFmtId="0" fontId="10" fillId="0" borderId="33" xfId="0" applyFont="1" applyFill="1" applyBorder="1" applyAlignment="1">
      <alignment horizontal="center" vertical="center" wrapText="1"/>
    </xf>
    <xf numFmtId="0" fontId="10" fillId="0" borderId="30" xfId="0" applyFont="1" applyFill="1" applyBorder="1" applyAlignment="1">
      <alignment horizontal="center" vertical="center"/>
    </xf>
    <xf numFmtId="0" fontId="10" fillId="0" borderId="20" xfId="0" applyFont="1" applyFill="1" applyBorder="1" applyAlignment="1">
      <alignment horizontal="center" vertical="center"/>
    </xf>
    <xf numFmtId="0" fontId="13" fillId="0" borderId="0" xfId="0" quotePrefix="1" applyFont="1" applyBorder="1" applyAlignment="1">
      <alignment horizontal="left" vertical="top" wrapText="1"/>
    </xf>
    <xf numFmtId="0" fontId="10" fillId="0" borderId="37" xfId="0" applyFont="1" applyFill="1" applyBorder="1" applyAlignment="1">
      <alignment horizontal="center" vertical="center"/>
    </xf>
    <xf numFmtId="0" fontId="9" fillId="0" borderId="19" xfId="0" applyFont="1" applyBorder="1" applyAlignment="1">
      <alignment horizontal="left" vertical="center" wrapText="1"/>
    </xf>
    <xf numFmtId="0" fontId="8" fillId="41" borderId="79" xfId="42" applyFont="1" applyFill="1" applyBorder="1" applyAlignment="1">
      <alignment horizontal="center" vertical="center"/>
    </xf>
    <xf numFmtId="0" fontId="8" fillId="41" borderId="72" xfId="42" applyFont="1" applyFill="1" applyBorder="1" applyAlignment="1">
      <alignment horizontal="center" vertical="center"/>
    </xf>
    <xf numFmtId="172" fontId="8" fillId="41" borderId="75" xfId="0" applyNumberFormat="1" applyFont="1" applyFill="1" applyBorder="1" applyAlignment="1" applyProtection="1">
      <alignment horizontal="center" vertical="center"/>
      <protection locked="0"/>
    </xf>
    <xf numFmtId="0" fontId="10" fillId="0" borderId="13" xfId="0" applyFont="1" applyFill="1" applyBorder="1" applyAlignment="1" applyProtection="1">
      <alignment horizontal="center" vertical="center" wrapText="1"/>
    </xf>
    <xf numFmtId="0" fontId="10" fillId="0" borderId="99" xfId="0" applyFont="1" applyFill="1" applyBorder="1" applyAlignment="1">
      <alignment horizontal="center" vertical="top" wrapText="1"/>
    </xf>
    <xf numFmtId="0" fontId="10" fillId="0" borderId="13" xfId="0" applyFont="1" applyFill="1" applyBorder="1" applyAlignment="1">
      <alignment horizontal="center" vertical="top" wrapText="1"/>
    </xf>
    <xf numFmtId="0" fontId="10" fillId="0" borderId="69" xfId="0" applyFont="1" applyFill="1" applyBorder="1" applyAlignment="1">
      <alignment horizontal="center" vertical="center" wrapText="1"/>
    </xf>
    <xf numFmtId="0" fontId="10" fillId="0" borderId="45" xfId="0" applyFont="1" applyFill="1" applyBorder="1" applyAlignment="1">
      <alignment horizontal="center" vertical="center" wrapText="1"/>
    </xf>
    <xf numFmtId="0" fontId="9" fillId="0" borderId="69" xfId="0" applyFont="1" applyFill="1" applyBorder="1" applyAlignment="1">
      <alignment horizontal="center" wrapText="1"/>
    </xf>
    <xf numFmtId="0" fontId="9" fillId="0" borderId="45" xfId="0" applyFont="1" applyFill="1" applyBorder="1" applyAlignment="1">
      <alignment horizontal="center" wrapText="1"/>
    </xf>
    <xf numFmtId="0" fontId="10" fillId="0" borderId="48"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57" xfId="0" applyFont="1" applyFill="1" applyBorder="1" applyAlignment="1">
      <alignment horizontal="center" vertical="center" wrapText="1"/>
    </xf>
    <xf numFmtId="0" fontId="10" fillId="0" borderId="88" xfId="0" applyFont="1" applyFill="1" applyBorder="1" applyAlignment="1">
      <alignment horizontal="center" vertical="center" wrapText="1"/>
    </xf>
    <xf numFmtId="0" fontId="8" fillId="0" borderId="11" xfId="0" applyFont="1" applyFill="1" applyBorder="1" applyAlignment="1">
      <alignment horizontal="left"/>
    </xf>
    <xf numFmtId="172" fontId="10" fillId="42" borderId="21" xfId="0" applyNumberFormat="1" applyFont="1" applyFill="1" applyBorder="1" applyAlignment="1" applyProtection="1">
      <alignment horizontal="center"/>
      <protection locked="0"/>
    </xf>
  </cellXfs>
  <cellStyles count="5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xfId="29"/>
    <cellStyle name="Comma 3" xfId="54"/>
    <cellStyle name="Comma_B Schedule Municipal Adjustments Budget - 23 March 2009 cb" xfId="30"/>
    <cellStyle name="Explanatory Text" xfId="31" builtinId="53" customBuiltin="1"/>
    <cellStyle name="Good" xfId="32" builtinId="26" customBuiltin="1"/>
    <cellStyle name="Heading 1" xfId="33" builtinId="16" customBuiltin="1"/>
    <cellStyle name="Heading 2" xfId="34" builtinId="17" customBuiltin="1"/>
    <cellStyle name="Heading 3" xfId="35" builtinId="18" customBuiltin="1"/>
    <cellStyle name="Heading 4" xfId="36" builtinId="19" customBuiltin="1"/>
    <cellStyle name="Hyperlink" xfId="37" builtinId="8"/>
    <cellStyle name="Hyperlink_AppA_Muncde_2010" xfId="38"/>
    <cellStyle name="Input" xfId="39" builtinId="20" customBuiltin="1"/>
    <cellStyle name="Linked Cell" xfId="40" builtinId="24" customBuiltin="1"/>
    <cellStyle name="Neutral" xfId="41" builtinId="28" customBuiltin="1"/>
    <cellStyle name="Normal" xfId="0" builtinId="0"/>
    <cellStyle name="Normal 2" xfId="42"/>
    <cellStyle name="Normal 2 2" xfId="43"/>
    <cellStyle name="Normal 3" xfId="53"/>
    <cellStyle name="Normal 4" xfId="44"/>
    <cellStyle name="Note" xfId="45" builtinId="10" customBuiltin="1"/>
    <cellStyle name="Output" xfId="46" builtinId="21" customBuiltin="1"/>
    <cellStyle name="Percent" xfId="47" builtinId="5"/>
    <cellStyle name="Percent 10 2" xfId="48"/>
    <cellStyle name="Percent 10 2 2" xfId="49"/>
    <cellStyle name="Title" xfId="50" builtinId="15" customBuiltin="1"/>
    <cellStyle name="Total" xfId="51" builtinId="25" customBuiltin="1"/>
    <cellStyle name="Warning Text" xfId="52"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4.xml"/><Relationship Id="rId50" Type="http://schemas.openxmlformats.org/officeDocument/2006/relationships/externalLink" Target="externalLinks/externalLink7.xml"/><Relationship Id="rId55"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2.xml"/><Relationship Id="rId53" Type="http://schemas.openxmlformats.org/officeDocument/2006/relationships/styles" Target="styles.xml"/><Relationship Id="rId58" Type="http://schemas.openxmlformats.org/officeDocument/2006/relationships/customXml" Target="../customXml/item3.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5.xml"/><Relationship Id="rId56"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externalLink" Target="externalLinks/externalLink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3.xml"/><Relationship Id="rId59" Type="http://schemas.openxmlformats.org/officeDocument/2006/relationships/customXml" Target="../customXml/item4.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6.xml"/><Relationship Id="rId57" Type="http://schemas.openxmlformats.org/officeDocument/2006/relationships/customXml" Target="../customXml/item2.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externalLink" Target="externalLinks/externalLink1.xml"/><Relationship Id="rId52"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60-EC42-11CE-9E0D-00AA006002F3}" ax:persistence="persistStreamInit" r:id="rId1"/>
</file>

<file path=xl/activeX/activeX3.xml><?xml version="1.0" encoding="utf-8"?>
<ax:ocx xmlns:ax="http://schemas.microsoft.com/office/2006/activeX" xmlns:r="http://schemas.openxmlformats.org/officeDocument/2006/relationships" ax:classid="{8BD21D60-EC42-11CE-9E0D-00AA006002F3}" ax:persistence="persistStreamInit" r:id="rId1"/>
</file>

<file path=xl/activeX/activeX4.xml><?xml version="1.0" encoding="utf-8"?>
<ax:ocx xmlns:ax="http://schemas.microsoft.com/office/2006/activeX" xmlns:r="http://schemas.openxmlformats.org/officeDocument/2006/relationships" ax:classid="{8BD21D6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activeX/activeX8.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Drop" dropLines="2" dropStyle="combo" dx="22" fmlaLink="MuniEntities" fmlaRange="$X$4:$X$5" noThreeD="1" sel="2" val="0"/>
</file>

<file path=xl/ctrlProps/ctrlProp2.xml><?xml version="1.0" encoding="utf-8"?>
<formControlPr xmlns="http://schemas.microsoft.com/office/spreadsheetml/2009/9/main" objectType="Drop" dropLines="2" dropStyle="combo" dx="22" fmlaLink="MuniType" fmlaRange="$X$7:$X$15" noThreeD="1" sel="1" val="0"/>
</file>

<file path=xl/ctrlProps/ctrlProp3.xml><?xml version="1.0" encoding="utf-8"?>
<formControlPr xmlns="http://schemas.microsoft.com/office/spreadsheetml/2009/9/main" objectType="Drop" dropLines="6" dropStyle="combo" dx="22" fmlaLink="$X$35" fmlaRange="$X$19:$X$35" noThreeD="1" sel="13" val="10"/>
</file>

<file path=xl/ctrlProps/ctrlProp4.xml><?xml version="1.0" encoding="utf-8"?>
<formControlPr xmlns="http://schemas.microsoft.com/office/spreadsheetml/2009/9/main" objectType="Drop" dropLines="10" dropStyle="combo" dx="22" fmlaLink="'Lookup and lists'!$B$27" fmlaRange="'Lookup and lists'!$B$29:$B$286" noThreeD="1" sel="142" val="132"/>
</file>

<file path=xl/ctrlProps/ctrlProp5.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8" Type="http://schemas.openxmlformats.org/officeDocument/2006/relationships/hyperlink" Target="http://mfma.treasury.gov.za/Return_Forms/Pages/default.aspx" TargetMode="External"/><Relationship Id="rId3" Type="http://schemas.openxmlformats.org/officeDocument/2006/relationships/image" Target="../media/image17.emf"/><Relationship Id="rId7" Type="http://schemas.openxmlformats.org/officeDocument/2006/relationships/hyperlink" Target="http://mfma.treasury.gov.za/MFMA/Guidelines/MFMA%20Funding%20compliance/MFMA%20Funding%20compliance%20guideline%20-%2010%20March%202008.pdf" TargetMode="External"/><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hyperlink" Target="http://mfma.treasury.gov.za/RegulationsandGazettes/Municipal%20Budget%20and%20Reporting%20Regulations/regulation2012-2013/Documents/Budget%20Format%20Guidelines_%202012_13.pdf" TargetMode="External"/><Relationship Id="rId5" Type="http://schemas.openxmlformats.org/officeDocument/2006/relationships/hyperlink" Target="http://mfma.treasury.gov.za/Guidelines/Pages/DummyBudgetGuide.aspx" TargetMode="External"/><Relationship Id="rId4" Type="http://schemas.openxmlformats.org/officeDocument/2006/relationships/hyperlink" Target="http://mfma.treasury.gov.za/Circulars/Pages/default.aspx" TargetMode="External"/></Relationships>
</file>

<file path=xl/drawings/_rels/vmlDrawing1.vml.rels><?xml version="1.0" encoding="UTF-8" standalone="yes"?>
<Relationships xmlns="http://schemas.openxmlformats.org/package/2006/relationships"><Relationship Id="rId8" Type="http://schemas.openxmlformats.org/officeDocument/2006/relationships/image" Target="../media/image9.emf"/><Relationship Id="rId3" Type="http://schemas.openxmlformats.org/officeDocument/2006/relationships/image" Target="../media/image14.emf"/><Relationship Id="rId7" Type="http://schemas.openxmlformats.org/officeDocument/2006/relationships/image" Target="../media/image10.emf"/><Relationship Id="rId2" Type="http://schemas.openxmlformats.org/officeDocument/2006/relationships/image" Target="../media/image15.emf"/><Relationship Id="rId1" Type="http://schemas.openxmlformats.org/officeDocument/2006/relationships/image" Target="../media/image16.emf"/><Relationship Id="rId6" Type="http://schemas.openxmlformats.org/officeDocument/2006/relationships/image" Target="../media/image11.emf"/><Relationship Id="rId5" Type="http://schemas.openxmlformats.org/officeDocument/2006/relationships/image" Target="../media/image12.emf"/><Relationship Id="rId4" Type="http://schemas.openxmlformats.org/officeDocument/2006/relationships/image" Target="../media/image13.emf"/><Relationship Id="rId9" Type="http://schemas.openxmlformats.org/officeDocument/2006/relationships/image" Target="../media/image18.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14</xdr:col>
      <xdr:colOff>66675</xdr:colOff>
      <xdr:row>39</xdr:row>
      <xdr:rowOff>85725</xdr:rowOff>
    </xdr:to>
    <xdr:grpSp>
      <xdr:nvGrpSpPr>
        <xdr:cNvPr id="107081" name="Group 29"/>
        <xdr:cNvGrpSpPr>
          <a:grpSpLocks/>
        </xdr:cNvGrpSpPr>
      </xdr:nvGrpSpPr>
      <xdr:grpSpPr bwMode="auto">
        <a:xfrm>
          <a:off x="0" y="0"/>
          <a:ext cx="8601075" cy="7191375"/>
          <a:chOff x="0" y="0"/>
          <a:chExt cx="903" cy="755"/>
        </a:xfrm>
      </xdr:grpSpPr>
      <xdr:grpSp>
        <xdr:nvGrpSpPr>
          <xdr:cNvPr id="107083" name="Group 11"/>
          <xdr:cNvGrpSpPr>
            <a:grpSpLocks/>
          </xdr:cNvGrpSpPr>
        </xdr:nvGrpSpPr>
        <xdr:grpSpPr bwMode="auto">
          <a:xfrm>
            <a:off x="0" y="0"/>
            <a:ext cx="903" cy="755"/>
            <a:chOff x="0" y="0"/>
            <a:chExt cx="791" cy="672"/>
          </a:xfrm>
        </xdr:grpSpPr>
        <xdr:grpSp>
          <xdr:nvGrpSpPr>
            <xdr:cNvPr id="107085" name="Group 12"/>
            <xdr:cNvGrpSpPr>
              <a:grpSpLocks/>
            </xdr:cNvGrpSpPr>
          </xdr:nvGrpSpPr>
          <xdr:grpSpPr bwMode="auto">
            <a:xfrm>
              <a:off x="0" y="0"/>
              <a:ext cx="791" cy="672"/>
              <a:chOff x="12" y="17"/>
              <a:chExt cx="791" cy="672"/>
            </a:xfrm>
          </xdr:grpSpPr>
          <xdr:pic>
            <xdr:nvPicPr>
              <xdr:cNvPr id="107087" name="Picture 13" descr="Untitled-1 copy"/>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 y="17"/>
                <a:ext cx="791" cy="6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7088" name="Picture 14" descr="1 copy"/>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 y="249"/>
                <a:ext cx="770" cy="4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107089" name="Group 15"/>
              <xdr:cNvGrpSpPr>
                <a:grpSpLocks/>
              </xdr:cNvGrpSpPr>
            </xdr:nvGrpSpPr>
            <xdr:grpSpPr bwMode="auto">
              <a:xfrm>
                <a:off x="416" y="255"/>
                <a:ext cx="367" cy="413"/>
                <a:chOff x="416" y="255"/>
                <a:chExt cx="367" cy="413"/>
              </a:xfrm>
            </xdr:grpSpPr>
            <xdr:pic>
              <xdr:nvPicPr>
                <xdr:cNvPr id="107094" name="Picture 48" descr="Untitled-4-2"/>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lum bright="54000" contrast="-18000"/>
                  <a:extLst>
                    <a:ext uri="{28A0092B-C50C-407E-A947-70E740481C1C}">
                      <a14:useLocalDpi xmlns:a14="http://schemas.microsoft.com/office/drawing/2010/main" val="0"/>
                    </a:ext>
                  </a:extLst>
                </a:blip>
                <a:srcRect l="3902" t="4648" r="53714" b="11395"/>
                <a:stretch>
                  <a:fillRect/>
                </a:stretch>
              </xdr:blipFill>
              <xdr:spPr bwMode="auto">
                <a:xfrm>
                  <a:off x="416" y="255"/>
                  <a:ext cx="367" cy="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107095" name="Group 17"/>
                <xdr:cNvGrpSpPr>
                  <a:grpSpLocks/>
                </xdr:cNvGrpSpPr>
              </xdr:nvGrpSpPr>
              <xdr:grpSpPr bwMode="auto">
                <a:xfrm>
                  <a:off x="432" y="264"/>
                  <a:ext cx="286" cy="128"/>
                  <a:chOff x="426" y="263"/>
                  <a:chExt cx="290" cy="130"/>
                </a:xfrm>
              </xdr:grpSpPr>
              <xdr:pic>
                <xdr:nvPicPr>
                  <xdr:cNvPr id="107097" name="Picture 52" descr="Letter Head"/>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lum bright="-6000" contrast="12000"/>
                    <a:extLst>
                      <a:ext uri="{28A0092B-C50C-407E-A947-70E740481C1C}">
                        <a14:useLocalDpi xmlns:a14="http://schemas.microsoft.com/office/drawing/2010/main" val="0"/>
                      </a:ext>
                    </a:extLst>
                  </a:blip>
                  <a:srcRect l="7806" t="23810" r="4646" b="24339"/>
                  <a:stretch>
                    <a:fillRect/>
                  </a:stretch>
                </xdr:blipFill>
                <xdr:spPr bwMode="auto">
                  <a:xfrm>
                    <a:off x="426" y="263"/>
                    <a:ext cx="290" cy="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7098" name="Line 53"/>
                  <xdr:cNvSpPr>
                    <a:spLocks noChangeShapeType="1"/>
                  </xdr:cNvSpPr>
                </xdr:nvSpPr>
                <xdr:spPr bwMode="auto">
                  <a:xfrm>
                    <a:off x="515" y="325"/>
                    <a:ext cx="187" cy="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9236" name="Text Box 20"/>
                <xdr:cNvSpPr txBox="1">
                  <a:spLocks noChangeArrowheads="1"/>
                </xdr:cNvSpPr>
              </xdr:nvSpPr>
              <xdr:spPr bwMode="auto">
                <a:xfrm>
                  <a:off x="435" y="393"/>
                  <a:ext cx="333" cy="255"/>
                </a:xfrm>
                <a:prstGeom prst="rect">
                  <a:avLst/>
                </a:prstGeom>
                <a:noFill/>
                <a:ln>
                  <a:noFill/>
                </a:ln>
              </xdr:spPr>
              <xdr:txBody>
                <a:bodyPr vertOverflow="clip" wrap="square" lIns="27432" tIns="27432" rIns="0" bIns="0" anchor="t" upright="1"/>
                <a:lstStyle/>
                <a:p>
                  <a:pPr algn="l" rtl="0">
                    <a:defRPr sz="1000"/>
                  </a:pPr>
                  <a:endParaRPr lang="en-GB" sz="1200" b="1" i="0" u="sng" strike="noStrike" baseline="0">
                    <a:solidFill>
                      <a:srgbClr val="000000"/>
                    </a:solidFill>
                    <a:latin typeface="Calibri"/>
                    <a:cs typeface="Calibri"/>
                  </a:endParaRPr>
                </a:p>
                <a:p>
                  <a:pPr algn="l" rtl="0">
                    <a:defRPr sz="1000"/>
                  </a:pPr>
                  <a:r>
                    <a:rPr lang="en-GB" sz="1200" b="1" i="0" u="sng" strike="noStrike" baseline="0">
                      <a:solidFill>
                        <a:srgbClr val="000000"/>
                      </a:solidFill>
                      <a:latin typeface="Calibri"/>
                      <a:cs typeface="Calibri"/>
                    </a:rPr>
                    <a:t>Contact details:</a:t>
                  </a:r>
                  <a:endParaRPr lang="en-GB" sz="1200" b="0" i="0" u="none" strike="noStrike" baseline="0">
                    <a:solidFill>
                      <a:srgbClr val="000000"/>
                    </a:solidFill>
                    <a:latin typeface="Calibri"/>
                    <a:cs typeface="Calibri"/>
                  </a:endParaRPr>
                </a:p>
                <a:p>
                  <a:pPr algn="l" rtl="0">
                    <a:defRPr sz="1000"/>
                  </a:pPr>
                  <a:endParaRPr lang="en-GB" sz="1200" b="0" i="0" u="none" strike="noStrike" baseline="0">
                    <a:solidFill>
                      <a:srgbClr val="000000"/>
                    </a:solidFill>
                    <a:latin typeface="Calibri"/>
                    <a:cs typeface="Calibri"/>
                  </a:endParaRPr>
                </a:p>
                <a:p>
                  <a:pPr algn="l" rtl="0">
                    <a:defRPr sz="1000"/>
                  </a:pPr>
                  <a:r>
                    <a:rPr lang="en-GB" sz="1000" b="0" i="0" u="none" strike="noStrike" baseline="0">
                      <a:solidFill>
                        <a:srgbClr val="000000"/>
                      </a:solidFill>
                      <a:latin typeface="Calibri"/>
                      <a:cs typeface="Calibri"/>
                    </a:rPr>
                    <a:t>Technical enquiries to the MFMA Helpline at:</a:t>
                  </a:r>
                </a:p>
                <a:p>
                  <a:pPr algn="l" rtl="0">
                    <a:defRPr sz="1000"/>
                  </a:pPr>
                  <a:r>
                    <a:rPr lang="en-GB" sz="1000" b="0" i="0" u="none" strike="noStrike" baseline="0">
                      <a:solidFill>
                        <a:srgbClr val="000000"/>
                      </a:solidFill>
                      <a:latin typeface="Calibri"/>
                      <a:cs typeface="Calibri"/>
                    </a:rPr>
                    <a:t>mfma@treasury.gov.za</a:t>
                  </a:r>
                </a:p>
                <a:p>
                  <a:pPr algn="l" rtl="0">
                    <a:defRPr sz="1000"/>
                  </a:pPr>
                  <a:endParaRPr lang="en-GB" sz="1000" b="0" i="0" u="none" strike="noStrike" baseline="0">
                    <a:solidFill>
                      <a:srgbClr val="000000"/>
                    </a:solidFill>
                    <a:latin typeface="Calibri"/>
                    <a:cs typeface="Calibri"/>
                  </a:endParaRPr>
                </a:p>
                <a:p>
                  <a:pPr algn="l" rtl="0">
                    <a:defRPr sz="1000"/>
                  </a:pPr>
                  <a:r>
                    <a:rPr lang="en-GB" sz="1000" b="0" i="0" u="none" strike="noStrike" baseline="0">
                      <a:solidFill>
                        <a:srgbClr val="000000"/>
                      </a:solidFill>
                      <a:latin typeface="Calibri"/>
                      <a:cs typeface="Calibri"/>
                    </a:rPr>
                    <a:t>Data submission enquiries:</a:t>
                  </a:r>
                </a:p>
                <a:p>
                  <a:pPr algn="l" rtl="0">
                    <a:defRPr sz="1000"/>
                  </a:pPr>
                  <a:r>
                    <a:rPr lang="en-GB" sz="1000" b="0" i="0" u="none" strike="noStrike" baseline="0">
                      <a:solidFill>
                        <a:srgbClr val="000000"/>
                      </a:solidFill>
                      <a:latin typeface="Calibri"/>
                      <a:cs typeface="Calibri"/>
                    </a:rPr>
                    <a:t>Elsabé Rossouw </a:t>
                  </a:r>
                </a:p>
                <a:p>
                  <a:pPr algn="l" rtl="0">
                    <a:defRPr sz="1000"/>
                  </a:pPr>
                  <a:r>
                    <a:rPr lang="en-GB" sz="1000" b="0" i="0" u="none" strike="noStrike" baseline="0">
                      <a:solidFill>
                        <a:srgbClr val="000000"/>
                      </a:solidFill>
                      <a:latin typeface="Calibri"/>
                      <a:cs typeface="Calibri"/>
                    </a:rPr>
                    <a:t>National Treasury </a:t>
                  </a:r>
                </a:p>
                <a:p>
                  <a:pPr algn="l" rtl="0">
                    <a:defRPr sz="1000"/>
                  </a:pPr>
                  <a:r>
                    <a:rPr lang="en-GB" sz="1000" b="0" i="0" u="none" strike="noStrike" baseline="0">
                      <a:solidFill>
                        <a:srgbClr val="000000"/>
                      </a:solidFill>
                      <a:latin typeface="Calibri"/>
                      <a:cs typeface="Calibri"/>
                    </a:rPr>
                    <a:t>Tel: (012) 315-5534 </a:t>
                  </a:r>
                </a:p>
                <a:p>
                  <a:pPr algn="l" rtl="0">
                    <a:defRPr sz="1000"/>
                  </a:pPr>
                  <a:r>
                    <a:rPr lang="en-GB" sz="1000" b="0" i="0" u="none" strike="noStrike" baseline="0">
                      <a:solidFill>
                        <a:srgbClr val="000000"/>
                      </a:solidFill>
                      <a:latin typeface="Calibri"/>
                      <a:cs typeface="Calibri"/>
                    </a:rPr>
                    <a:t>Electronic documents: lgdocuments@treasury.gov.za</a:t>
                  </a:r>
                </a:p>
                <a:p>
                  <a:pPr algn="l" rtl="0">
                    <a:defRPr sz="1000"/>
                  </a:pPr>
                  <a:r>
                    <a:rPr lang="en-GB" sz="1000" b="0" i="0" u="none" strike="noStrike" baseline="0">
                      <a:solidFill>
                        <a:srgbClr val="000000"/>
                      </a:solidFill>
                      <a:latin typeface="Calibri"/>
                      <a:cs typeface="Calibri"/>
                    </a:rPr>
                    <a:t>Queries on formats: lgdataqueries@treasury.gov.za</a:t>
                  </a:r>
                </a:p>
                <a:p>
                  <a:pPr algn="l" rtl="0">
                    <a:defRPr sz="1000"/>
                  </a:pPr>
                  <a:endParaRPr lang="en-GB" sz="1000" b="0" i="0" u="none" strike="noStrike" baseline="0">
                    <a:solidFill>
                      <a:srgbClr val="000000"/>
                    </a:solidFill>
                    <a:latin typeface="Calibri"/>
                    <a:cs typeface="Calibri"/>
                  </a:endParaRPr>
                </a:p>
              </xdr:txBody>
            </xdr:sp>
          </xdr:grpSp>
          <xdr:grpSp>
            <xdr:nvGrpSpPr>
              <xdr:cNvPr id="107090" name="Group 21"/>
              <xdr:cNvGrpSpPr>
                <a:grpSpLocks/>
              </xdr:cNvGrpSpPr>
            </xdr:nvGrpSpPr>
            <xdr:grpSpPr bwMode="auto">
              <a:xfrm>
                <a:off x="76" y="364"/>
                <a:ext cx="289" cy="256"/>
                <a:chOff x="76" y="364"/>
                <a:chExt cx="289" cy="256"/>
              </a:xfrm>
            </xdr:grpSpPr>
            <xdr:pic>
              <xdr:nvPicPr>
                <xdr:cNvPr id="107091" name="Picture 22" descr="J1c"/>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6" y="364"/>
                  <a:ext cx="289" cy="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7092" name="Picture 23" descr="J1a"/>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6" y="536"/>
                  <a:ext cx="289" cy="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7093" name="Picture 24" descr="J1b"/>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6" y="450"/>
                  <a:ext cx="289" cy="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pic>
          <xdr:nvPicPr>
            <xdr:cNvPr id="107086" name="Picture 25" descr="B1 light"/>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1" y="11"/>
              <a:ext cx="770" cy="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9243" name="Text Box 27"/>
          <xdr:cNvSpPr txBox="1">
            <a:spLocks noChangeArrowheads="1"/>
          </xdr:cNvSpPr>
        </xdr:nvSpPr>
        <xdr:spPr bwMode="auto">
          <a:xfrm>
            <a:off x="744" y="226"/>
            <a:ext cx="147" cy="19"/>
          </a:xfrm>
          <a:prstGeom prst="rect">
            <a:avLst/>
          </a:prstGeom>
          <a:noFill/>
          <a:ln>
            <a:noFill/>
          </a:ln>
        </xdr:spPr>
        <xdr:txBody>
          <a:bodyPr vertOverflow="clip" wrap="square" lIns="27432" tIns="32004" rIns="0" bIns="0" anchor="t" upright="1"/>
          <a:lstStyle/>
          <a:p>
            <a:pPr algn="l" rtl="0">
              <a:defRPr sz="1000"/>
            </a:pPr>
            <a:r>
              <a:rPr lang="en-GB" sz="1000" b="0" i="0" u="none" strike="noStrike" baseline="0">
                <a:solidFill>
                  <a:srgbClr val="FFFFFF"/>
                </a:solidFill>
                <a:latin typeface="Bookman Old Style"/>
              </a:rPr>
              <a:t>mSCOA Version 6.4</a:t>
            </a:r>
          </a:p>
          <a:p>
            <a:pPr algn="l" rtl="0">
              <a:defRPr sz="1000"/>
            </a:pPr>
            <a:endParaRPr lang="en-GB" sz="1000" b="0" i="0" u="none" strike="noStrike" baseline="0">
              <a:solidFill>
                <a:srgbClr val="FFFFFF"/>
              </a:solidFill>
              <a:latin typeface="Bookman Old Style"/>
            </a:endParaRPr>
          </a:p>
          <a:p>
            <a:pPr algn="l" rtl="0">
              <a:defRPr sz="1000"/>
            </a:pPr>
            <a:endParaRPr lang="en-GB" sz="1000" b="0" i="0" u="none" strike="noStrike" baseline="0">
              <a:solidFill>
                <a:srgbClr val="FFFFFF"/>
              </a:solidFill>
              <a:latin typeface="Bookman Old Style"/>
            </a:endParaRPr>
          </a:p>
          <a:p>
            <a:pPr algn="l" rtl="0">
              <a:defRPr sz="1000"/>
            </a:pPr>
            <a:endParaRPr lang="en-GB" sz="1000" b="0" i="0" u="none" strike="noStrike" baseline="0">
              <a:solidFill>
                <a:srgbClr val="FFFFFF"/>
              </a:solidFill>
              <a:latin typeface="Bookman Old Style"/>
            </a:endParaRPr>
          </a:p>
        </xdr:txBody>
      </xdr:sp>
    </xdr:grpSp>
    <xdr:clientData/>
  </xdr:twoCellAnchor>
  <xdr:twoCellAnchor>
    <xdr:from>
      <xdr:col>1</xdr:col>
      <xdr:colOff>85725</xdr:colOff>
      <xdr:row>15</xdr:row>
      <xdr:rowOff>146685</xdr:rowOff>
    </xdr:from>
    <xdr:to>
      <xdr:col>4</xdr:col>
      <xdr:colOff>485775</xdr:colOff>
      <xdr:row>19</xdr:row>
      <xdr:rowOff>139</xdr:rowOff>
    </xdr:to>
    <xdr:sp macro="[0]!GoToInstructions" textlink="">
      <xdr:nvSpPr>
        <xdr:cNvPr id="9242" name="Text Box 26"/>
        <xdr:cNvSpPr txBox="1">
          <a:spLocks noChangeArrowheads="1"/>
        </xdr:cNvSpPr>
      </xdr:nvSpPr>
      <xdr:spPr bwMode="auto">
        <a:xfrm>
          <a:off x="695325" y="2876550"/>
          <a:ext cx="2228850" cy="495300"/>
        </a:xfrm>
        <a:prstGeom prst="rect">
          <a:avLst/>
        </a:prstGeom>
        <a:gradFill rotWithShape="1">
          <a:gsLst>
            <a:gs pos="0">
              <a:srgbClr xmlns:mc="http://schemas.openxmlformats.org/markup-compatibility/2006" xmlns:a14="http://schemas.microsoft.com/office/drawing/2010/main" val="000080" mc:Ignorable="a14" a14:legacySpreadsheetColorIndex="18"/>
            </a:gs>
            <a:gs pos="50000">
              <a:srgbClr xmlns:mc="http://schemas.openxmlformats.org/markup-compatibility/2006" xmlns:a14="http://schemas.microsoft.com/office/drawing/2010/main" val="FCFCFE" mc:Ignorable="a14" a14:legacySpreadsheetColorIndex="18">
                <a:gamma/>
                <a:tint val="1176"/>
                <a:invGamma/>
              </a:srgbClr>
            </a:gs>
            <a:gs pos="100000">
              <a:srgbClr xmlns:mc="http://schemas.openxmlformats.org/markup-compatibility/2006" xmlns:a14="http://schemas.microsoft.com/office/drawing/2010/main" val="000080" mc:Ignorable="a14" a14:legacySpreadsheetColorIndex="18"/>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32004" rIns="36576" bIns="32004" anchor="ctr" upright="1"/>
        <a:lstStyle/>
        <a:p>
          <a:pPr algn="ctr" rtl="0">
            <a:defRPr sz="1000"/>
          </a:pPr>
          <a:r>
            <a:rPr lang="en-GB" sz="1400" b="1" i="0" u="none" strike="noStrike" baseline="0">
              <a:solidFill>
                <a:srgbClr val="000000"/>
              </a:solidFill>
              <a:latin typeface="Calibri"/>
              <a:cs typeface="Calibri"/>
            </a:rPr>
            <a:t>Click for Instructions!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219075</xdr:colOff>
      <xdr:row>46</xdr:row>
      <xdr:rowOff>66675</xdr:rowOff>
    </xdr:to>
    <xdr:pic>
      <xdr:nvPicPr>
        <xdr:cNvPr id="110945" name="Picture 3" descr="Untitled-1 copy"/>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534275" cy="808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104775</xdr:colOff>
      <xdr:row>28</xdr:row>
      <xdr:rowOff>142875</xdr:rowOff>
    </xdr:from>
    <xdr:to>
      <xdr:col>6</xdr:col>
      <xdr:colOff>47625</xdr:colOff>
      <xdr:row>45</xdr:row>
      <xdr:rowOff>66675</xdr:rowOff>
    </xdr:to>
    <xdr:pic>
      <xdr:nvPicPr>
        <xdr:cNvPr id="110946" name="Picture 4" descr="1 copy"/>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775" y="5057775"/>
          <a:ext cx="360045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66675</xdr:colOff>
      <xdr:row>25</xdr:row>
      <xdr:rowOff>9024</xdr:rowOff>
    </xdr:from>
    <xdr:to>
      <xdr:col>11</xdr:col>
      <xdr:colOff>561975</xdr:colOff>
      <xdr:row>27</xdr:row>
      <xdr:rowOff>115657</xdr:rowOff>
    </xdr:to>
    <xdr:sp macro="[0]!GoToOrgstructure" textlink="">
      <xdr:nvSpPr>
        <xdr:cNvPr id="123920" name="Text Box 16"/>
        <xdr:cNvSpPr txBox="1">
          <a:spLocks noChangeArrowheads="1"/>
        </xdr:cNvSpPr>
      </xdr:nvSpPr>
      <xdr:spPr bwMode="auto">
        <a:xfrm>
          <a:off x="4333875" y="3990975"/>
          <a:ext cx="2933700" cy="495300"/>
        </a:xfrm>
        <a:prstGeom prst="rect">
          <a:avLst/>
        </a:prstGeom>
        <a:gradFill rotWithShape="1">
          <a:gsLst>
            <a:gs pos="0">
              <a:srgbClr val="000080"/>
            </a:gs>
            <a:gs pos="50000">
              <a:srgbClr val="000080">
                <a:gamma/>
                <a:tint val="1176"/>
                <a:invGamma/>
              </a:srgbClr>
            </a:gs>
            <a:gs pos="100000">
              <a:srgbClr val="000080"/>
            </a:gs>
          </a:gsLst>
          <a:lin ang="5400000" scaled="1"/>
        </a:gradFill>
        <a:ln w="9525">
          <a:solidFill>
            <a:srgbClr val="000000"/>
          </a:solidFill>
          <a:miter lim="800000"/>
          <a:headEnd/>
          <a:tailEnd/>
        </a:ln>
      </xdr:spPr>
      <xdr:txBody>
        <a:bodyPr vertOverflow="clip" wrap="square" lIns="36576" tIns="32004" rIns="36576" bIns="32004" anchor="ctr" upright="1"/>
        <a:lstStyle/>
        <a:p>
          <a:pPr algn="ctr" rtl="1">
            <a:defRPr sz="1000"/>
          </a:pPr>
          <a:r>
            <a:rPr lang="en-US" sz="1400" b="1" i="0" strike="noStrike">
              <a:solidFill>
                <a:srgbClr val="000000"/>
              </a:solidFill>
              <a:latin typeface="Calibri"/>
            </a:rPr>
            <a:t>Name Votes &amp; Sub-Votes</a:t>
          </a:r>
        </a:p>
      </xdr:txBody>
    </xdr:sp>
    <xdr:clientData/>
  </xdr:twoCellAnchor>
  <xdr:twoCellAnchor>
    <xdr:from>
      <xdr:col>0</xdr:col>
      <xdr:colOff>161925</xdr:colOff>
      <xdr:row>0</xdr:row>
      <xdr:rowOff>116205</xdr:rowOff>
    </xdr:from>
    <xdr:to>
      <xdr:col>11</xdr:col>
      <xdr:colOff>552450</xdr:colOff>
      <xdr:row>3</xdr:row>
      <xdr:rowOff>134011</xdr:rowOff>
    </xdr:to>
    <xdr:sp macro="" textlink="">
      <xdr:nvSpPr>
        <xdr:cNvPr id="123921" name="Text Box 17"/>
        <xdr:cNvSpPr txBox="1">
          <a:spLocks noChangeArrowheads="1"/>
        </xdr:cNvSpPr>
      </xdr:nvSpPr>
      <xdr:spPr bwMode="auto">
        <a:xfrm>
          <a:off x="161925" y="123825"/>
          <a:ext cx="7096125" cy="495300"/>
        </a:xfrm>
        <a:prstGeom prst="rect">
          <a:avLst/>
        </a:prstGeom>
        <a:gradFill rotWithShape="1">
          <a:gsLst>
            <a:gs pos="0">
              <a:srgbClr val="000080"/>
            </a:gs>
            <a:gs pos="50000">
              <a:srgbClr val="000080">
                <a:gamma/>
                <a:tint val="1176"/>
                <a:invGamma/>
              </a:srgbClr>
            </a:gs>
            <a:gs pos="100000">
              <a:srgbClr val="000080"/>
            </a:gs>
          </a:gsLst>
          <a:lin ang="5400000" scaled="1"/>
        </a:gradFill>
        <a:ln w="9525">
          <a:solidFill>
            <a:srgbClr val="000000"/>
          </a:solidFill>
          <a:miter lim="800000"/>
          <a:headEnd/>
          <a:tailEnd/>
        </a:ln>
      </xdr:spPr>
      <xdr:txBody>
        <a:bodyPr vertOverflow="clip" wrap="square" lIns="36576" tIns="32004" rIns="36576" bIns="32004" anchor="ctr" upright="1"/>
        <a:lstStyle/>
        <a:p>
          <a:pPr algn="ctr" rtl="1">
            <a:defRPr sz="1000"/>
          </a:pPr>
          <a:r>
            <a:rPr lang="en-US" sz="1400" b="1" i="0" strike="noStrike">
              <a:solidFill>
                <a:srgbClr val="000000"/>
              </a:solidFill>
              <a:latin typeface="Calibri"/>
            </a:rPr>
            <a:t>Preparation Instructions</a:t>
          </a:r>
        </a:p>
      </xdr:txBody>
    </xdr:sp>
    <xdr:clientData/>
  </xdr:twoCellAnchor>
  <xdr:twoCellAnchor>
    <xdr:from>
      <xdr:col>0</xdr:col>
      <xdr:colOff>190500</xdr:colOff>
      <xdr:row>4</xdr:row>
      <xdr:rowOff>0</xdr:rowOff>
    </xdr:from>
    <xdr:to>
      <xdr:col>5</xdr:col>
      <xdr:colOff>76200</xdr:colOff>
      <xdr:row>6</xdr:row>
      <xdr:rowOff>57150</xdr:rowOff>
    </xdr:to>
    <xdr:sp macro="" textlink="">
      <xdr:nvSpPr>
        <xdr:cNvPr id="123923" name="Text Box 19"/>
        <xdr:cNvSpPr txBox="1">
          <a:spLocks noChangeArrowheads="1"/>
        </xdr:cNvSpPr>
      </xdr:nvSpPr>
      <xdr:spPr bwMode="auto">
        <a:xfrm>
          <a:off x="190500" y="647700"/>
          <a:ext cx="2933700" cy="381000"/>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Municipality Name:</a:t>
          </a:r>
        </a:p>
      </xdr:txBody>
    </xdr:sp>
    <xdr:clientData/>
  </xdr:twoCellAnchor>
  <xdr:twoCellAnchor editAs="oneCell">
    <xdr:from>
      <xdr:col>0</xdr:col>
      <xdr:colOff>228600</xdr:colOff>
      <xdr:row>16</xdr:row>
      <xdr:rowOff>95250</xdr:rowOff>
    </xdr:from>
    <xdr:to>
      <xdr:col>5</xdr:col>
      <xdr:colOff>114300</xdr:colOff>
      <xdr:row>19</xdr:row>
      <xdr:rowOff>66675</xdr:rowOff>
    </xdr:to>
    <xdr:sp macro="" textlink="">
      <xdr:nvSpPr>
        <xdr:cNvPr id="13319" name="Text Box 22"/>
        <xdr:cNvSpPr txBox="1">
          <a:spLocks noChangeArrowheads="1"/>
        </xdr:cNvSpPr>
      </xdr:nvSpPr>
      <xdr:spPr bwMode="auto">
        <a:xfrm>
          <a:off x="228600" y="2686050"/>
          <a:ext cx="2933700" cy="495300"/>
        </a:xfrm>
        <a:prstGeom prst="rect">
          <a:avLst/>
        </a:prstGeom>
        <a:noFill/>
        <a:ln>
          <a:noFill/>
        </a:ln>
      </xdr:spPr>
      <xdr:txBody>
        <a:bodyPr vertOverflow="clip" wrap="square" lIns="0" tIns="32004" rIns="36576" bIns="32004" anchor="ctr"/>
        <a:lstStyle/>
        <a:p>
          <a:pPr algn="r" rtl="0">
            <a:defRPr sz="1000"/>
          </a:pPr>
          <a:r>
            <a:rPr lang="en-GB" sz="1400" b="1" i="0" u="none" strike="noStrike" baseline="0">
              <a:solidFill>
                <a:srgbClr val="FFFFFF"/>
              </a:solidFill>
              <a:latin typeface="Calibri"/>
              <a:cs typeface="Calibri"/>
            </a:rPr>
            <a:t>MTREF:</a:t>
          </a:r>
        </a:p>
      </xdr:txBody>
    </xdr:sp>
    <xdr:clientData/>
  </xdr:twoCellAnchor>
  <xdr:twoCellAnchor editAs="oneCell">
    <xdr:from>
      <xdr:col>7</xdr:col>
      <xdr:colOff>257175</xdr:colOff>
      <xdr:row>16</xdr:row>
      <xdr:rowOff>104775</xdr:rowOff>
    </xdr:from>
    <xdr:to>
      <xdr:col>9</xdr:col>
      <xdr:colOff>476250</xdr:colOff>
      <xdr:row>19</xdr:row>
      <xdr:rowOff>76200</xdr:rowOff>
    </xdr:to>
    <xdr:sp macro="" textlink="">
      <xdr:nvSpPr>
        <xdr:cNvPr id="13320" name="Text Box 24"/>
        <xdr:cNvSpPr txBox="1">
          <a:spLocks noChangeArrowheads="1"/>
        </xdr:cNvSpPr>
      </xdr:nvSpPr>
      <xdr:spPr bwMode="auto">
        <a:xfrm>
          <a:off x="4524375" y="2695575"/>
          <a:ext cx="1438275" cy="495300"/>
        </a:xfrm>
        <a:prstGeom prst="rect">
          <a:avLst/>
        </a:prstGeom>
        <a:noFill/>
        <a:ln>
          <a:noFill/>
        </a:ln>
      </xdr:spPr>
      <xdr:txBody>
        <a:bodyPr vertOverflow="clip" wrap="square" lIns="0" tIns="32004" rIns="36576" bIns="32004" anchor="ctr"/>
        <a:lstStyle/>
        <a:p>
          <a:pPr algn="r" rtl="0">
            <a:defRPr sz="1000"/>
          </a:pPr>
          <a:r>
            <a:rPr lang="en-GB" sz="1400" b="1" i="0" u="none" strike="noStrike" baseline="0">
              <a:solidFill>
                <a:srgbClr val="FFFFFF"/>
              </a:solidFill>
              <a:latin typeface="Calibri"/>
              <a:cs typeface="Calibri"/>
            </a:rPr>
            <a:t>Budget Year:</a:t>
          </a:r>
        </a:p>
      </xdr:txBody>
    </xdr:sp>
    <xdr:clientData/>
  </xdr:twoCellAnchor>
  <xdr:twoCellAnchor>
    <xdr:from>
      <xdr:col>0</xdr:col>
      <xdr:colOff>161925</xdr:colOff>
      <xdr:row>19</xdr:row>
      <xdr:rowOff>50533</xdr:rowOff>
    </xdr:from>
    <xdr:to>
      <xdr:col>5</xdr:col>
      <xdr:colOff>47625</xdr:colOff>
      <xdr:row>22</xdr:row>
      <xdr:rowOff>65638</xdr:rowOff>
    </xdr:to>
    <xdr:sp macro="" textlink="">
      <xdr:nvSpPr>
        <xdr:cNvPr id="123929" name="Text Box 25"/>
        <xdr:cNvSpPr txBox="1">
          <a:spLocks noChangeArrowheads="1"/>
        </xdr:cNvSpPr>
      </xdr:nvSpPr>
      <xdr:spPr bwMode="auto">
        <a:xfrm>
          <a:off x="161925" y="2809875"/>
          <a:ext cx="2933700" cy="495300"/>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Does this municipality have Entities?</a:t>
          </a:r>
        </a:p>
      </xdr:txBody>
    </xdr:sp>
    <xdr:clientData/>
  </xdr:twoCellAnchor>
  <xdr:twoCellAnchor>
    <xdr:from>
      <xdr:col>0</xdr:col>
      <xdr:colOff>161925</xdr:colOff>
      <xdr:row>22</xdr:row>
      <xdr:rowOff>103773</xdr:rowOff>
    </xdr:from>
    <xdr:to>
      <xdr:col>5</xdr:col>
      <xdr:colOff>47625</xdr:colOff>
      <xdr:row>24</xdr:row>
      <xdr:rowOff>151397</xdr:rowOff>
    </xdr:to>
    <xdr:sp macro="" textlink="">
      <xdr:nvSpPr>
        <xdr:cNvPr id="123930" name="Text Box 26"/>
        <xdr:cNvSpPr txBox="1">
          <a:spLocks noChangeArrowheads="1"/>
        </xdr:cNvSpPr>
      </xdr:nvSpPr>
      <xdr:spPr bwMode="auto">
        <a:xfrm>
          <a:off x="161925" y="3343275"/>
          <a:ext cx="2933700" cy="3714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If YES: Identify type of report:</a:t>
          </a:r>
        </a:p>
      </xdr:txBody>
    </xdr:sp>
    <xdr:clientData/>
  </xdr:twoCellAnchor>
  <xdr:twoCellAnchor>
    <xdr:from>
      <xdr:col>0</xdr:col>
      <xdr:colOff>200025</xdr:colOff>
      <xdr:row>7</xdr:row>
      <xdr:rowOff>0</xdr:rowOff>
    </xdr:from>
    <xdr:to>
      <xdr:col>5</xdr:col>
      <xdr:colOff>85725</xdr:colOff>
      <xdr:row>8</xdr:row>
      <xdr:rowOff>133350</xdr:rowOff>
    </xdr:to>
    <xdr:sp macro="" textlink="">
      <xdr:nvSpPr>
        <xdr:cNvPr id="123943" name="Text Box 39"/>
        <xdr:cNvSpPr txBox="1">
          <a:spLocks noChangeArrowheads="1"/>
        </xdr:cNvSpPr>
      </xdr:nvSpPr>
      <xdr:spPr bwMode="auto">
        <a:xfrm>
          <a:off x="200025" y="1133475"/>
          <a:ext cx="2933700" cy="2952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CFO Name:</a:t>
          </a:r>
        </a:p>
      </xdr:txBody>
    </xdr:sp>
    <xdr:clientData/>
  </xdr:twoCellAnchor>
  <xdr:twoCellAnchor>
    <xdr:from>
      <xdr:col>3</xdr:col>
      <xdr:colOff>428625</xdr:colOff>
      <xdr:row>9</xdr:row>
      <xdr:rowOff>57150</xdr:rowOff>
    </xdr:from>
    <xdr:to>
      <xdr:col>5</xdr:col>
      <xdr:colOff>85725</xdr:colOff>
      <xdr:row>11</xdr:row>
      <xdr:rowOff>28575</xdr:rowOff>
    </xdr:to>
    <xdr:sp macro="" textlink="">
      <xdr:nvSpPr>
        <xdr:cNvPr id="123944" name="Text Box 40"/>
        <xdr:cNvSpPr txBox="1">
          <a:spLocks noChangeArrowheads="1"/>
        </xdr:cNvSpPr>
      </xdr:nvSpPr>
      <xdr:spPr bwMode="auto">
        <a:xfrm>
          <a:off x="2257425" y="1514475"/>
          <a:ext cx="876300" cy="2952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Tel:</a:t>
          </a:r>
        </a:p>
      </xdr:txBody>
    </xdr:sp>
    <xdr:clientData/>
  </xdr:twoCellAnchor>
  <xdr:twoCellAnchor>
    <xdr:from>
      <xdr:col>0</xdr:col>
      <xdr:colOff>209550</xdr:colOff>
      <xdr:row>11</xdr:row>
      <xdr:rowOff>116205</xdr:rowOff>
    </xdr:from>
    <xdr:to>
      <xdr:col>5</xdr:col>
      <xdr:colOff>95250</xdr:colOff>
      <xdr:row>13</xdr:row>
      <xdr:rowOff>108999</xdr:rowOff>
    </xdr:to>
    <xdr:sp macro="" textlink="">
      <xdr:nvSpPr>
        <xdr:cNvPr id="123945" name="Text Box 41"/>
        <xdr:cNvSpPr txBox="1">
          <a:spLocks noChangeArrowheads="1"/>
        </xdr:cNvSpPr>
      </xdr:nvSpPr>
      <xdr:spPr bwMode="auto">
        <a:xfrm>
          <a:off x="209550" y="1905000"/>
          <a:ext cx="2933700" cy="31432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E-Mail:</a:t>
          </a:r>
        </a:p>
      </xdr:txBody>
    </xdr:sp>
    <xdr:clientData/>
  </xdr:twoCellAnchor>
  <xdr:twoCellAnchor>
    <xdr:from>
      <xdr:col>8</xdr:col>
      <xdr:colOff>9525</xdr:colOff>
      <xdr:row>9</xdr:row>
      <xdr:rowOff>76200</xdr:rowOff>
    </xdr:from>
    <xdr:to>
      <xdr:col>8</xdr:col>
      <xdr:colOff>552450</xdr:colOff>
      <xdr:row>11</xdr:row>
      <xdr:rowOff>47625</xdr:rowOff>
    </xdr:to>
    <xdr:sp macro="" textlink="">
      <xdr:nvSpPr>
        <xdr:cNvPr id="123949" name="Text Box 45"/>
        <xdr:cNvSpPr txBox="1">
          <a:spLocks noChangeArrowheads="1"/>
        </xdr:cNvSpPr>
      </xdr:nvSpPr>
      <xdr:spPr bwMode="auto">
        <a:xfrm>
          <a:off x="4886325" y="1533525"/>
          <a:ext cx="542925" cy="2952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Fax:</a:t>
          </a:r>
        </a:p>
      </xdr:txBody>
    </xdr:sp>
    <xdr:clientData/>
  </xdr:twoCellAnchor>
  <xdr:twoCellAnchor>
    <xdr:from>
      <xdr:col>1</xdr:col>
      <xdr:colOff>0</xdr:colOff>
      <xdr:row>32</xdr:row>
      <xdr:rowOff>66675</xdr:rowOff>
    </xdr:from>
    <xdr:to>
      <xdr:col>5</xdr:col>
      <xdr:colOff>238125</xdr:colOff>
      <xdr:row>34</xdr:row>
      <xdr:rowOff>108844</xdr:rowOff>
    </xdr:to>
    <xdr:sp macro="" textlink="">
      <xdr:nvSpPr>
        <xdr:cNvPr id="13327" name="Text Box 15"/>
        <xdr:cNvSpPr txBox="1">
          <a:spLocks noChangeArrowheads="1"/>
        </xdr:cNvSpPr>
      </xdr:nvSpPr>
      <xdr:spPr bwMode="auto">
        <a:xfrm>
          <a:off x="609600" y="5743575"/>
          <a:ext cx="2676525" cy="371475"/>
        </a:xfrm>
        <a:prstGeom prst="rect">
          <a:avLst/>
        </a:prstGeom>
        <a:noFill/>
        <a:ln>
          <a:noFill/>
        </a:ln>
      </xdr:spPr>
      <xdr:txBody>
        <a:bodyPr vertOverflow="clip" wrap="square" lIns="0" tIns="32004" rIns="36576" bIns="32004" anchor="ctr"/>
        <a:lstStyle/>
        <a:p>
          <a:pPr algn="ctr" rtl="0">
            <a:defRPr sz="1000"/>
          </a:pPr>
          <a:r>
            <a:rPr lang="en-GB" sz="1400" b="1" i="0" u="sng" strike="noStrike" baseline="0">
              <a:solidFill>
                <a:srgbClr val="FFFFFF"/>
              </a:solidFill>
              <a:latin typeface="Calibri"/>
              <a:cs typeface="Calibri"/>
            </a:rPr>
            <a:t>Showing / Hiding Columns</a:t>
          </a:r>
        </a:p>
      </xdr:txBody>
    </xdr:sp>
    <xdr:clientData/>
  </xdr:twoCellAnchor>
  <xdr:twoCellAnchor>
    <xdr:from>
      <xdr:col>0</xdr:col>
      <xdr:colOff>342900</xdr:colOff>
      <xdr:row>40</xdr:row>
      <xdr:rowOff>19050</xdr:rowOff>
    </xdr:from>
    <xdr:to>
      <xdr:col>5</xdr:col>
      <xdr:colOff>323850</xdr:colOff>
      <xdr:row>42</xdr:row>
      <xdr:rowOff>66675</xdr:rowOff>
    </xdr:to>
    <xdr:sp macro="" textlink="">
      <xdr:nvSpPr>
        <xdr:cNvPr id="13328" name="Text Box 16"/>
        <xdr:cNvSpPr txBox="1">
          <a:spLocks noChangeArrowheads="1"/>
        </xdr:cNvSpPr>
      </xdr:nvSpPr>
      <xdr:spPr bwMode="auto">
        <a:xfrm>
          <a:off x="342900" y="6991350"/>
          <a:ext cx="3028950" cy="371475"/>
        </a:xfrm>
        <a:prstGeom prst="rect">
          <a:avLst/>
        </a:prstGeom>
        <a:noFill/>
        <a:ln>
          <a:noFill/>
        </a:ln>
      </xdr:spPr>
      <xdr:txBody>
        <a:bodyPr vertOverflow="clip" wrap="square" lIns="0" tIns="32004" rIns="36576" bIns="32004" anchor="ctr"/>
        <a:lstStyle/>
        <a:p>
          <a:pPr algn="ctr" rtl="0">
            <a:defRPr sz="1000"/>
          </a:pPr>
          <a:r>
            <a:rPr lang="en-GB" sz="1400" b="1" i="0" u="sng" strike="noStrike" baseline="0">
              <a:solidFill>
                <a:srgbClr val="FFFFFF"/>
              </a:solidFill>
              <a:latin typeface="Calibri"/>
              <a:cs typeface="Calibri"/>
            </a:rPr>
            <a:t>Showing / Clearing Highlights</a:t>
          </a:r>
        </a:p>
      </xdr:txBody>
    </xdr:sp>
    <xdr:clientData/>
  </xdr:twoCellAnchor>
  <mc:AlternateContent xmlns:mc="http://schemas.openxmlformats.org/markup-compatibility/2006">
    <mc:Choice xmlns:a14="http://schemas.microsoft.com/office/drawing/2010/main" Requires="a14">
      <xdr:twoCellAnchor editAs="oneCell">
        <xdr:from>
          <xdr:col>5</xdr:col>
          <xdr:colOff>190500</xdr:colOff>
          <xdr:row>20</xdr:row>
          <xdr:rowOff>28575</xdr:rowOff>
        </xdr:from>
        <xdr:to>
          <xdr:col>6</xdr:col>
          <xdr:colOff>466725</xdr:colOff>
          <xdr:row>21</xdr:row>
          <xdr:rowOff>85725</xdr:rowOff>
        </xdr:to>
        <xdr:sp macro="" textlink="">
          <xdr:nvSpPr>
            <xdr:cNvPr id="13330" name="Drop Down 18" hidden="1">
              <a:extLst>
                <a:ext uri="{63B3BB69-23CF-44E3-9099-C40C66FF867C}">
                  <a14:compatExt spid="_x0000_s133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22</xdr:row>
          <xdr:rowOff>114300</xdr:rowOff>
        </xdr:from>
        <xdr:to>
          <xdr:col>7</xdr:col>
          <xdr:colOff>571500</xdr:colOff>
          <xdr:row>23</xdr:row>
          <xdr:rowOff>171450</xdr:rowOff>
        </xdr:to>
        <xdr:sp macro="" textlink="">
          <xdr:nvSpPr>
            <xdr:cNvPr id="13331" name="Drop Down 19" hidden="1">
              <a:extLst>
                <a:ext uri="{63B3BB69-23CF-44E3-9099-C40C66FF867C}">
                  <a14:compatExt spid="_x0000_s133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17</xdr:row>
          <xdr:rowOff>57150</xdr:rowOff>
        </xdr:from>
        <xdr:to>
          <xdr:col>7</xdr:col>
          <xdr:colOff>209550</xdr:colOff>
          <xdr:row>18</xdr:row>
          <xdr:rowOff>152400</xdr:rowOff>
        </xdr:to>
        <xdr:sp macro="" textlink="">
          <xdr:nvSpPr>
            <xdr:cNvPr id="13332" name="Drop Down 20" hidden="1">
              <a:extLst>
                <a:ext uri="{63B3BB69-23CF-44E3-9099-C40C66FF867C}">
                  <a14:compatExt spid="_x0000_s133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581025</xdr:colOff>
          <xdr:row>17</xdr:row>
          <xdr:rowOff>28575</xdr:rowOff>
        </xdr:from>
        <xdr:to>
          <xdr:col>11</xdr:col>
          <xdr:colOff>466725</xdr:colOff>
          <xdr:row>18</xdr:row>
          <xdr:rowOff>190500</xdr:rowOff>
        </xdr:to>
        <xdr:pic>
          <xdr:nvPicPr>
            <xdr:cNvPr id="110960" name="TextBox2"/>
            <xdr:cNvPicPr preferRelativeResize="0">
              <a:picLocks noChangeArrowheads="1" noChangeShapeType="1"/>
              <a:extLst>
                <a:ext uri="{84589F7E-364E-4C9E-8A38-B11213B215E9}">
                  <a14:cameraTool cellRange="FinYear" spid="_x0000_s111465"/>
                </a:ext>
              </a:extLst>
            </xdr:cNvPicPr>
          </xdr:nvPicPr>
          <xdr:blipFill>
            <a:blip xmlns:r="http://schemas.openxmlformats.org/officeDocument/2006/relationships" r:embed="rId3">
              <a:grayscl/>
              <a:biLevel thresh="50000"/>
            </a:blip>
            <a:srcRect/>
            <a:stretch>
              <a:fillRect/>
            </a:stretch>
          </xdr:blipFill>
          <xdr:spPr bwMode="auto">
            <a:xfrm>
              <a:off x="6067425" y="2781300"/>
              <a:ext cx="1104900" cy="3238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xdr:row>
          <xdr:rowOff>47625</xdr:rowOff>
        </xdr:from>
        <xdr:to>
          <xdr:col>11</xdr:col>
          <xdr:colOff>276225</xdr:colOff>
          <xdr:row>8</xdr:row>
          <xdr:rowOff>142875</xdr:rowOff>
        </xdr:to>
        <xdr:sp macro="" textlink="">
          <xdr:nvSpPr>
            <xdr:cNvPr id="13334" name="TextBox3" hidden="1">
              <a:extLst>
                <a:ext uri="{63B3BB69-23CF-44E3-9099-C40C66FF867C}">
                  <a14:compatExt spid="_x0000_s133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9</xdr:row>
          <xdr:rowOff>123825</xdr:rowOff>
        </xdr:from>
        <xdr:to>
          <xdr:col>7</xdr:col>
          <xdr:colOff>533400</xdr:colOff>
          <xdr:row>11</xdr:row>
          <xdr:rowOff>57150</xdr:rowOff>
        </xdr:to>
        <xdr:sp macro="" textlink="">
          <xdr:nvSpPr>
            <xdr:cNvPr id="13335" name="TextBox4" hidden="1">
              <a:extLst>
                <a:ext uri="{63B3BB69-23CF-44E3-9099-C40C66FF867C}">
                  <a14:compatExt spid="_x0000_s133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12</xdr:row>
          <xdr:rowOff>28575</xdr:rowOff>
        </xdr:from>
        <xdr:to>
          <xdr:col>11</xdr:col>
          <xdr:colOff>276225</xdr:colOff>
          <xdr:row>13</xdr:row>
          <xdr:rowOff>123825</xdr:rowOff>
        </xdr:to>
        <xdr:sp macro="" textlink="">
          <xdr:nvSpPr>
            <xdr:cNvPr id="13336" name="TextBox5" hidden="1">
              <a:extLst>
                <a:ext uri="{63B3BB69-23CF-44E3-9099-C40C66FF867C}">
                  <a14:compatExt spid="_x0000_s133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9</xdr:row>
          <xdr:rowOff>142875</xdr:rowOff>
        </xdr:from>
        <xdr:to>
          <xdr:col>11</xdr:col>
          <xdr:colOff>276225</xdr:colOff>
          <xdr:row>11</xdr:row>
          <xdr:rowOff>76200</xdr:rowOff>
        </xdr:to>
        <xdr:sp macro="" textlink="">
          <xdr:nvSpPr>
            <xdr:cNvPr id="13337" name="TextBox6" hidden="1">
              <a:extLst>
                <a:ext uri="{63B3BB69-23CF-44E3-9099-C40C66FF867C}">
                  <a14:compatExt spid="_x0000_s133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34</xdr:row>
          <xdr:rowOff>95250</xdr:rowOff>
        </xdr:from>
        <xdr:to>
          <xdr:col>5</xdr:col>
          <xdr:colOff>57150</xdr:colOff>
          <xdr:row>36</xdr:row>
          <xdr:rowOff>85725</xdr:rowOff>
        </xdr:to>
        <xdr:sp macro="" textlink="">
          <xdr:nvSpPr>
            <xdr:cNvPr id="13338" name="ToggleReferenceColumns" hidden="1">
              <a:extLst>
                <a:ext uri="{63B3BB69-23CF-44E3-9099-C40C66FF867C}">
                  <a14:compatExt spid="_x0000_s133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37</xdr:row>
          <xdr:rowOff>28575</xdr:rowOff>
        </xdr:from>
        <xdr:to>
          <xdr:col>5</xdr:col>
          <xdr:colOff>57150</xdr:colOff>
          <xdr:row>39</xdr:row>
          <xdr:rowOff>28575</xdr:rowOff>
        </xdr:to>
        <xdr:sp macro="" textlink="">
          <xdr:nvSpPr>
            <xdr:cNvPr id="13339" name="TogglePreAuditColums" hidden="1">
              <a:extLst>
                <a:ext uri="{63B3BB69-23CF-44E3-9099-C40C66FF867C}">
                  <a14:compatExt spid="_x0000_s133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42</xdr:row>
          <xdr:rowOff>95250</xdr:rowOff>
        </xdr:from>
        <xdr:to>
          <xdr:col>5</xdr:col>
          <xdr:colOff>57150</xdr:colOff>
          <xdr:row>44</xdr:row>
          <xdr:rowOff>85725</xdr:rowOff>
        </xdr:to>
        <xdr:sp macro="" textlink="">
          <xdr:nvSpPr>
            <xdr:cNvPr id="13340" name="ToggleHiddenColumns" hidden="1">
              <a:extLst>
                <a:ext uri="{63B3BB69-23CF-44E3-9099-C40C66FF867C}">
                  <a14:compatExt spid="_x0000_s133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xdr:col>
      <xdr:colOff>95250</xdr:colOff>
      <xdr:row>13</xdr:row>
      <xdr:rowOff>142875</xdr:rowOff>
    </xdr:from>
    <xdr:to>
      <xdr:col>5</xdr:col>
      <xdr:colOff>114300</xdr:colOff>
      <xdr:row>16</xdr:row>
      <xdr:rowOff>146900</xdr:rowOff>
    </xdr:to>
    <xdr:sp macro="" textlink="">
      <xdr:nvSpPr>
        <xdr:cNvPr id="13341" name="Text Box 24"/>
        <xdr:cNvSpPr txBox="1">
          <a:spLocks noChangeArrowheads="1"/>
        </xdr:cNvSpPr>
      </xdr:nvSpPr>
      <xdr:spPr bwMode="auto">
        <a:xfrm>
          <a:off x="704850" y="2247900"/>
          <a:ext cx="2457450" cy="495300"/>
        </a:xfrm>
        <a:prstGeom prst="rect">
          <a:avLst/>
        </a:prstGeom>
        <a:noFill/>
        <a:ln>
          <a:noFill/>
        </a:ln>
      </xdr:spPr>
      <xdr:txBody>
        <a:bodyPr vertOverflow="clip" wrap="square" lIns="0" tIns="32004" rIns="36576" bIns="32004" anchor="ctr"/>
        <a:lstStyle/>
        <a:p>
          <a:pPr algn="r" rtl="0">
            <a:defRPr sz="1000"/>
          </a:pPr>
          <a:r>
            <a:rPr lang="en-GB" sz="1400" b="1" i="0" u="none" strike="noStrike" baseline="0">
              <a:solidFill>
                <a:srgbClr val="FFFFFF"/>
              </a:solidFill>
              <a:latin typeface="Calibri"/>
              <a:cs typeface="Calibri"/>
            </a:rPr>
            <a:t>Date of Adjustments Budget (dd/mm/yyyy):</a:t>
          </a:r>
        </a:p>
      </xdr:txBody>
    </xdr:sp>
    <xdr:clientData/>
  </xdr:twoCellAnchor>
  <mc:AlternateContent xmlns:mc="http://schemas.openxmlformats.org/markup-compatibility/2006">
    <mc:Choice xmlns:a14="http://schemas.microsoft.com/office/drawing/2010/main" Requires="a14">
      <xdr:twoCellAnchor editAs="oneCell">
        <xdr:from>
          <xdr:col>5</xdr:col>
          <xdr:colOff>190500</xdr:colOff>
          <xdr:row>14</xdr:row>
          <xdr:rowOff>133350</xdr:rowOff>
        </xdr:from>
        <xdr:to>
          <xdr:col>7</xdr:col>
          <xdr:colOff>381000</xdr:colOff>
          <xdr:row>16</xdr:row>
          <xdr:rowOff>66675</xdr:rowOff>
        </xdr:to>
        <xdr:sp macro="" textlink="">
          <xdr:nvSpPr>
            <xdr:cNvPr id="13342" name="DateOfAdjustment" hidden="1">
              <a:extLst>
                <a:ext uri="{63B3BB69-23CF-44E3-9099-C40C66FF867C}">
                  <a14:compatExt spid="_x0000_s133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0</xdr:col>
      <xdr:colOff>161925</xdr:colOff>
      <xdr:row>28</xdr:row>
      <xdr:rowOff>163830</xdr:rowOff>
    </xdr:from>
    <xdr:to>
      <xdr:col>5</xdr:col>
      <xdr:colOff>600075</xdr:colOff>
      <xdr:row>31</xdr:row>
      <xdr:rowOff>142901</xdr:rowOff>
    </xdr:to>
    <xdr:sp macro="" textlink="">
      <xdr:nvSpPr>
        <xdr:cNvPr id="13347" name="Text Box 18"/>
        <xdr:cNvSpPr txBox="1">
          <a:spLocks noChangeArrowheads="1"/>
        </xdr:cNvSpPr>
      </xdr:nvSpPr>
      <xdr:spPr bwMode="auto">
        <a:xfrm>
          <a:off x="161925" y="5086350"/>
          <a:ext cx="3486150" cy="571500"/>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algn="ctr" rtl="0">
            <a:defRPr sz="1000"/>
          </a:pPr>
          <a:r>
            <a:rPr lang="en-GB" sz="1400" b="1" i="0" u="none" strike="noStrike" baseline="0">
              <a:solidFill>
                <a:srgbClr val="000000"/>
              </a:solidFill>
              <a:latin typeface="Calibri"/>
              <a:cs typeface="Calibri"/>
            </a:rPr>
            <a:t>Printing Instructions</a:t>
          </a:r>
        </a:p>
      </xdr:txBody>
    </xdr:sp>
    <xdr:clientData/>
  </xdr:twoCellAnchor>
  <mc:AlternateContent xmlns:mc="http://schemas.openxmlformats.org/markup-compatibility/2006">
    <mc:Choice xmlns:a14="http://schemas.microsoft.com/office/drawing/2010/main" Requires="a14">
      <xdr:twoCellAnchor editAs="oneCell">
        <xdr:from>
          <xdr:col>5</xdr:col>
          <xdr:colOff>190500</xdr:colOff>
          <xdr:row>4</xdr:row>
          <xdr:rowOff>104775</xdr:rowOff>
        </xdr:from>
        <xdr:to>
          <xdr:col>11</xdr:col>
          <xdr:colOff>266700</xdr:colOff>
          <xdr:row>6</xdr:row>
          <xdr:rowOff>28575</xdr:rowOff>
        </xdr:to>
        <xdr:sp macro="" textlink="">
          <xdr:nvSpPr>
            <xdr:cNvPr id="13349" name="Drop Down 37" hidden="1">
              <a:extLst>
                <a:ext uri="{63B3BB69-23CF-44E3-9099-C40C66FF867C}">
                  <a14:compatExt spid="_x0000_s133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6</xdr:col>
      <xdr:colOff>66675</xdr:colOff>
      <xdr:row>28</xdr:row>
      <xdr:rowOff>152400</xdr:rowOff>
    </xdr:from>
    <xdr:to>
      <xdr:col>12</xdr:col>
      <xdr:colOff>85725</xdr:colOff>
      <xdr:row>45</xdr:row>
      <xdr:rowOff>57150</xdr:rowOff>
    </xdr:to>
    <xdr:pic>
      <xdr:nvPicPr>
        <xdr:cNvPr id="110963" name="Picture 4" descr="1 copy"/>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24275" y="5067300"/>
          <a:ext cx="3676650" cy="2847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123825</xdr:colOff>
      <xdr:row>28</xdr:row>
      <xdr:rowOff>163830</xdr:rowOff>
    </xdr:from>
    <xdr:to>
      <xdr:col>12</xdr:col>
      <xdr:colOff>38100</xdr:colOff>
      <xdr:row>32</xdr:row>
      <xdr:rowOff>47</xdr:rowOff>
    </xdr:to>
    <xdr:sp macro="" textlink="">
      <xdr:nvSpPr>
        <xdr:cNvPr id="33" name="Text Box 18"/>
        <xdr:cNvSpPr txBox="1">
          <a:spLocks noChangeArrowheads="1"/>
        </xdr:cNvSpPr>
      </xdr:nvSpPr>
      <xdr:spPr bwMode="auto">
        <a:xfrm>
          <a:off x="3781425" y="5086350"/>
          <a:ext cx="3571875" cy="590550"/>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algn="ctr" rtl="0">
            <a:defRPr sz="1000"/>
          </a:pPr>
          <a:r>
            <a:rPr lang="en-GB" sz="1300" b="1" i="0" u="none" strike="noStrike" baseline="0">
              <a:solidFill>
                <a:srgbClr val="000000"/>
              </a:solidFill>
              <a:latin typeface="Calibri"/>
              <a:cs typeface="Calibri"/>
            </a:rPr>
            <a:t>Important documents which </a:t>
          </a:r>
        </a:p>
        <a:p>
          <a:pPr algn="ctr" rtl="0">
            <a:defRPr sz="1000"/>
          </a:pPr>
          <a:r>
            <a:rPr lang="en-GB" sz="1300" b="1" i="0" u="none" strike="noStrike" baseline="0">
              <a:solidFill>
                <a:srgbClr val="000000"/>
              </a:solidFill>
              <a:latin typeface="Calibri"/>
              <a:cs typeface="Calibri"/>
            </a:rPr>
            <a:t>provide essential assistance</a:t>
          </a:r>
        </a:p>
      </xdr:txBody>
    </xdr:sp>
    <xdr:clientData/>
  </xdr:twoCellAnchor>
  <xdr:twoCellAnchor>
    <xdr:from>
      <xdr:col>6</xdr:col>
      <xdr:colOff>114300</xdr:colOff>
      <xdr:row>32</xdr:row>
      <xdr:rowOff>85725</xdr:rowOff>
    </xdr:from>
    <xdr:to>
      <xdr:col>10</xdr:col>
      <xdr:colOff>9525</xdr:colOff>
      <xdr:row>34</xdr:row>
      <xdr:rowOff>133350</xdr:rowOff>
    </xdr:to>
    <xdr:sp macro="" textlink="">
      <xdr:nvSpPr>
        <xdr:cNvPr id="34" name="Text Box 233"/>
        <xdr:cNvSpPr txBox="1">
          <a:spLocks noChangeArrowheads="1"/>
        </xdr:cNvSpPr>
      </xdr:nvSpPr>
      <xdr:spPr bwMode="auto">
        <a:xfrm>
          <a:off x="3771900" y="5762625"/>
          <a:ext cx="2333625" cy="371475"/>
        </a:xfrm>
        <a:prstGeom prst="rect">
          <a:avLst/>
        </a:prstGeom>
        <a:noFill/>
        <a:ln>
          <a:noFill/>
        </a:ln>
      </xdr:spPr>
      <xdr:txBody>
        <a:bodyPr vertOverflow="clip" wrap="square" lIns="0" tIns="32004" rIns="36576" bIns="32004" anchor="ctr"/>
        <a:lstStyle/>
        <a:p>
          <a:pPr algn="l" rtl="0">
            <a:defRPr sz="1000"/>
          </a:pPr>
          <a:r>
            <a:rPr lang="en-GB" sz="1300" b="1" i="0" u="sng" strike="noStrike" baseline="0">
              <a:solidFill>
                <a:srgbClr val="FFFFFF"/>
              </a:solidFill>
              <a:latin typeface="Calibri"/>
              <a:cs typeface="Calibri"/>
            </a:rPr>
            <a:t>MFMA Budget Circulars </a:t>
          </a:r>
        </a:p>
      </xdr:txBody>
    </xdr:sp>
    <xdr:clientData/>
  </xdr:twoCellAnchor>
  <xdr:twoCellAnchor>
    <xdr:from>
      <xdr:col>6</xdr:col>
      <xdr:colOff>104775</xdr:colOff>
      <xdr:row>34</xdr:row>
      <xdr:rowOff>116205</xdr:rowOff>
    </xdr:from>
    <xdr:to>
      <xdr:col>10</xdr:col>
      <xdr:colOff>0</xdr:colOff>
      <xdr:row>37</xdr:row>
      <xdr:rowOff>9951</xdr:rowOff>
    </xdr:to>
    <xdr:sp macro="" textlink="">
      <xdr:nvSpPr>
        <xdr:cNvPr id="35" name="Text Box 233"/>
        <xdr:cNvSpPr txBox="1">
          <a:spLocks noChangeArrowheads="1"/>
        </xdr:cNvSpPr>
      </xdr:nvSpPr>
      <xdr:spPr bwMode="auto">
        <a:xfrm>
          <a:off x="3762375" y="6124575"/>
          <a:ext cx="2333625" cy="371475"/>
        </a:xfrm>
        <a:prstGeom prst="rect">
          <a:avLst/>
        </a:prstGeom>
        <a:noFill/>
        <a:ln>
          <a:noFill/>
        </a:ln>
      </xdr:spPr>
      <xdr:txBody>
        <a:bodyPr vertOverflow="clip" wrap="square" lIns="0" tIns="32004" rIns="36576" bIns="32004" anchor="ctr"/>
        <a:lstStyle/>
        <a:p>
          <a:pPr algn="l" rtl="0">
            <a:defRPr sz="1000"/>
          </a:pPr>
          <a:r>
            <a:rPr lang="en-GB" sz="1300" b="1" i="0" u="sng" strike="noStrike" baseline="0">
              <a:solidFill>
                <a:srgbClr val="FFFFFF"/>
              </a:solidFill>
              <a:latin typeface="Calibri"/>
              <a:cs typeface="Calibri"/>
            </a:rPr>
            <a:t>MBRR Budget Formats Guide</a:t>
          </a:r>
        </a:p>
      </xdr:txBody>
    </xdr:sp>
    <xdr:clientData/>
  </xdr:twoCellAnchor>
  <xdr:twoCellAnchor>
    <xdr:from>
      <xdr:col>6</xdr:col>
      <xdr:colOff>114300</xdr:colOff>
      <xdr:row>37</xdr:row>
      <xdr:rowOff>95250</xdr:rowOff>
    </xdr:from>
    <xdr:to>
      <xdr:col>10</xdr:col>
      <xdr:colOff>9525</xdr:colOff>
      <xdr:row>39</xdr:row>
      <xdr:rowOff>142875</xdr:rowOff>
    </xdr:to>
    <xdr:sp macro="" textlink="">
      <xdr:nvSpPr>
        <xdr:cNvPr id="36" name="Text Box 233"/>
        <xdr:cNvSpPr txBox="1">
          <a:spLocks noChangeArrowheads="1"/>
        </xdr:cNvSpPr>
      </xdr:nvSpPr>
      <xdr:spPr bwMode="auto">
        <a:xfrm>
          <a:off x="3771900" y="6581775"/>
          <a:ext cx="2333625" cy="371475"/>
        </a:xfrm>
        <a:prstGeom prst="rect">
          <a:avLst/>
        </a:prstGeom>
        <a:noFill/>
        <a:ln>
          <a:noFill/>
        </a:ln>
      </xdr:spPr>
      <xdr:txBody>
        <a:bodyPr vertOverflow="clip" wrap="square" lIns="0" tIns="32004" rIns="36576" bIns="32004" anchor="ctr"/>
        <a:lstStyle/>
        <a:p>
          <a:pPr algn="l" rtl="0">
            <a:defRPr sz="1000"/>
          </a:pPr>
          <a:r>
            <a:rPr lang="en-GB" sz="1300" b="1" i="0" u="sng" strike="noStrike" baseline="0">
              <a:solidFill>
                <a:srgbClr val="FFFFFF"/>
              </a:solidFill>
              <a:latin typeface="Calibri"/>
              <a:cs typeface="Calibri"/>
            </a:rPr>
            <a:t>Dummy Budget Guide</a:t>
          </a:r>
        </a:p>
      </xdr:txBody>
    </xdr:sp>
    <xdr:clientData/>
  </xdr:twoCellAnchor>
  <xdr:twoCellAnchor>
    <xdr:from>
      <xdr:col>6</xdr:col>
      <xdr:colOff>104775</xdr:colOff>
      <xdr:row>39</xdr:row>
      <xdr:rowOff>142875</xdr:rowOff>
    </xdr:from>
    <xdr:to>
      <xdr:col>10</xdr:col>
      <xdr:colOff>0</xdr:colOff>
      <xdr:row>42</xdr:row>
      <xdr:rowOff>28575</xdr:rowOff>
    </xdr:to>
    <xdr:sp macro="" textlink="">
      <xdr:nvSpPr>
        <xdr:cNvPr id="37" name="Text Box 233"/>
        <xdr:cNvSpPr txBox="1">
          <a:spLocks noChangeArrowheads="1"/>
        </xdr:cNvSpPr>
      </xdr:nvSpPr>
      <xdr:spPr bwMode="auto">
        <a:xfrm>
          <a:off x="3762375" y="6953250"/>
          <a:ext cx="2333625" cy="371475"/>
        </a:xfrm>
        <a:prstGeom prst="rect">
          <a:avLst/>
        </a:prstGeom>
        <a:noFill/>
        <a:ln>
          <a:noFill/>
        </a:ln>
      </xdr:spPr>
      <xdr:txBody>
        <a:bodyPr vertOverflow="clip" wrap="square" lIns="0" tIns="32004" rIns="36576" bIns="32004" anchor="ctr"/>
        <a:lstStyle/>
        <a:p>
          <a:pPr algn="l" rtl="0">
            <a:defRPr sz="1000"/>
          </a:pPr>
          <a:r>
            <a:rPr lang="en-GB" sz="1300" b="1" i="0" u="sng" strike="noStrike" baseline="0">
              <a:solidFill>
                <a:srgbClr val="FFFFFF"/>
              </a:solidFill>
              <a:latin typeface="Calibri"/>
              <a:cs typeface="Calibri"/>
            </a:rPr>
            <a:t>Funding Compliance Guide</a:t>
          </a:r>
        </a:p>
      </xdr:txBody>
    </xdr:sp>
    <xdr:clientData/>
  </xdr:twoCellAnchor>
  <xdr:twoCellAnchor>
    <xdr:from>
      <xdr:col>6</xdr:col>
      <xdr:colOff>104775</xdr:colOff>
      <xdr:row>42</xdr:row>
      <xdr:rowOff>38100</xdr:rowOff>
    </xdr:from>
    <xdr:to>
      <xdr:col>10</xdr:col>
      <xdr:colOff>0</xdr:colOff>
      <xdr:row>44</xdr:row>
      <xdr:rowOff>80295</xdr:rowOff>
    </xdr:to>
    <xdr:sp macro="" textlink="">
      <xdr:nvSpPr>
        <xdr:cNvPr id="38" name="Text Box 233"/>
        <xdr:cNvSpPr txBox="1">
          <a:spLocks noChangeArrowheads="1"/>
        </xdr:cNvSpPr>
      </xdr:nvSpPr>
      <xdr:spPr bwMode="auto">
        <a:xfrm>
          <a:off x="3762375" y="7334250"/>
          <a:ext cx="2333625" cy="371475"/>
        </a:xfrm>
        <a:prstGeom prst="rect">
          <a:avLst/>
        </a:prstGeom>
        <a:noFill/>
        <a:ln>
          <a:noFill/>
        </a:ln>
      </xdr:spPr>
      <xdr:txBody>
        <a:bodyPr vertOverflow="clip" wrap="square" lIns="0" tIns="32004" rIns="36576" bIns="32004" anchor="ctr"/>
        <a:lstStyle/>
        <a:p>
          <a:pPr algn="l" rtl="0">
            <a:defRPr sz="1000"/>
          </a:pPr>
          <a:r>
            <a:rPr lang="en-GB" sz="1300" b="1" i="0" u="sng" strike="noStrike" baseline="0">
              <a:solidFill>
                <a:srgbClr val="FFFFFF"/>
              </a:solidFill>
              <a:latin typeface="Calibri"/>
              <a:cs typeface="Calibri"/>
            </a:rPr>
            <a:t>MFMA Return Forms</a:t>
          </a:r>
        </a:p>
      </xdr:txBody>
    </xdr:sp>
    <xdr:clientData/>
  </xdr:twoCellAnchor>
  <xdr:twoCellAnchor>
    <xdr:from>
      <xdr:col>10</xdr:col>
      <xdr:colOff>323850</xdr:colOff>
      <xdr:row>32</xdr:row>
      <xdr:rowOff>85725</xdr:rowOff>
    </xdr:from>
    <xdr:to>
      <xdr:col>11</xdr:col>
      <xdr:colOff>514350</xdr:colOff>
      <xdr:row>34</xdr:row>
      <xdr:rowOff>133350</xdr:rowOff>
    </xdr:to>
    <xdr:sp macro="" textlink="">
      <xdr:nvSpPr>
        <xdr:cNvPr id="39" name="Text Box 233">
          <a:hlinkClick xmlns:r="http://schemas.openxmlformats.org/officeDocument/2006/relationships" r:id="rId4"/>
        </xdr:cNvPr>
        <xdr:cNvSpPr txBox="1">
          <a:spLocks noChangeArrowheads="1"/>
        </xdr:cNvSpPr>
      </xdr:nvSpPr>
      <xdr:spPr bwMode="auto">
        <a:xfrm>
          <a:off x="6419850" y="5762625"/>
          <a:ext cx="800100" cy="371475"/>
        </a:xfrm>
        <a:prstGeom prst="rect">
          <a:avLst/>
        </a:prstGeom>
        <a:noFill/>
        <a:ln>
          <a:noFill/>
        </a:ln>
      </xdr:spPr>
      <xdr:txBody>
        <a:bodyPr vertOverflow="clip" wrap="square" lIns="0" tIns="32004" rIns="36576" bIns="32004" anchor="ctr"/>
        <a:lstStyle/>
        <a:p>
          <a:pPr algn="r" rtl="0">
            <a:defRPr sz="1000"/>
          </a:pPr>
          <a:r>
            <a:rPr lang="en-GB" sz="1000" b="1" i="0" u="sng" strike="noStrike" baseline="0">
              <a:solidFill>
                <a:srgbClr val="FFFFFF"/>
              </a:solidFill>
              <a:latin typeface="Calibri"/>
              <a:cs typeface="Calibri"/>
            </a:rPr>
            <a:t>Click to view </a:t>
          </a:r>
        </a:p>
      </xdr:txBody>
    </xdr:sp>
    <xdr:clientData/>
  </xdr:twoCellAnchor>
  <xdr:twoCellAnchor>
    <xdr:from>
      <xdr:col>10</xdr:col>
      <xdr:colOff>333375</xdr:colOff>
      <xdr:row>37</xdr:row>
      <xdr:rowOff>104775</xdr:rowOff>
    </xdr:from>
    <xdr:to>
      <xdr:col>11</xdr:col>
      <xdr:colOff>523875</xdr:colOff>
      <xdr:row>39</xdr:row>
      <xdr:rowOff>146970</xdr:rowOff>
    </xdr:to>
    <xdr:sp macro="" textlink="">
      <xdr:nvSpPr>
        <xdr:cNvPr id="40" name="Text Box 233">
          <a:hlinkClick xmlns:r="http://schemas.openxmlformats.org/officeDocument/2006/relationships" r:id="rId5"/>
        </xdr:cNvPr>
        <xdr:cNvSpPr txBox="1">
          <a:spLocks noChangeArrowheads="1"/>
        </xdr:cNvSpPr>
      </xdr:nvSpPr>
      <xdr:spPr bwMode="auto">
        <a:xfrm>
          <a:off x="6429375" y="6591300"/>
          <a:ext cx="800100" cy="371475"/>
        </a:xfrm>
        <a:prstGeom prst="rect">
          <a:avLst/>
        </a:prstGeom>
        <a:noFill/>
        <a:ln>
          <a:noFill/>
        </a:ln>
      </xdr:spPr>
      <xdr:txBody>
        <a:bodyPr vertOverflow="clip" wrap="square" lIns="0" tIns="32004" rIns="36576" bIns="32004" anchor="ctr"/>
        <a:lstStyle/>
        <a:p>
          <a:pPr algn="r" rtl="0">
            <a:defRPr sz="1000"/>
          </a:pPr>
          <a:r>
            <a:rPr lang="en-GB" sz="1000" b="1" i="0" u="sng" strike="noStrike" baseline="0">
              <a:solidFill>
                <a:srgbClr val="FFFFFF"/>
              </a:solidFill>
              <a:latin typeface="Calibri"/>
              <a:cs typeface="Calibri"/>
            </a:rPr>
            <a:t>Click to view </a:t>
          </a:r>
        </a:p>
      </xdr:txBody>
    </xdr:sp>
    <xdr:clientData/>
  </xdr:twoCellAnchor>
  <xdr:twoCellAnchor>
    <xdr:from>
      <xdr:col>10</xdr:col>
      <xdr:colOff>342900</xdr:colOff>
      <xdr:row>34</xdr:row>
      <xdr:rowOff>146685</xdr:rowOff>
    </xdr:from>
    <xdr:to>
      <xdr:col>11</xdr:col>
      <xdr:colOff>533400</xdr:colOff>
      <xdr:row>37</xdr:row>
      <xdr:rowOff>38287</xdr:rowOff>
    </xdr:to>
    <xdr:sp macro="" textlink="">
      <xdr:nvSpPr>
        <xdr:cNvPr id="41" name="Text Box 233">
          <a:hlinkClick xmlns:r="http://schemas.openxmlformats.org/officeDocument/2006/relationships" r:id="rId6"/>
        </xdr:cNvPr>
        <xdr:cNvSpPr txBox="1">
          <a:spLocks noChangeArrowheads="1"/>
        </xdr:cNvSpPr>
      </xdr:nvSpPr>
      <xdr:spPr bwMode="auto">
        <a:xfrm>
          <a:off x="6438900" y="6153150"/>
          <a:ext cx="800100" cy="371475"/>
        </a:xfrm>
        <a:prstGeom prst="rect">
          <a:avLst/>
        </a:prstGeom>
        <a:noFill/>
        <a:ln>
          <a:noFill/>
        </a:ln>
      </xdr:spPr>
      <xdr:txBody>
        <a:bodyPr vertOverflow="clip" wrap="square" lIns="0" tIns="32004" rIns="36576" bIns="32004" anchor="ctr"/>
        <a:lstStyle/>
        <a:p>
          <a:pPr algn="r" rtl="0">
            <a:defRPr sz="1000"/>
          </a:pPr>
          <a:r>
            <a:rPr lang="en-GB" sz="1000" b="1" i="0" u="sng" strike="noStrike" baseline="0">
              <a:solidFill>
                <a:srgbClr val="FFFFFF"/>
              </a:solidFill>
              <a:latin typeface="Calibri"/>
              <a:cs typeface="Calibri"/>
            </a:rPr>
            <a:t>Click to view </a:t>
          </a:r>
        </a:p>
      </xdr:txBody>
    </xdr:sp>
    <xdr:clientData/>
  </xdr:twoCellAnchor>
  <xdr:twoCellAnchor>
    <xdr:from>
      <xdr:col>10</xdr:col>
      <xdr:colOff>352425</xdr:colOff>
      <xdr:row>40</xdr:row>
      <xdr:rowOff>9525</xdr:rowOff>
    </xdr:from>
    <xdr:to>
      <xdr:col>11</xdr:col>
      <xdr:colOff>542925</xdr:colOff>
      <xdr:row>42</xdr:row>
      <xdr:rowOff>57150</xdr:rowOff>
    </xdr:to>
    <xdr:sp macro="" textlink="">
      <xdr:nvSpPr>
        <xdr:cNvPr id="42" name="Text Box 233">
          <a:hlinkClick xmlns:r="http://schemas.openxmlformats.org/officeDocument/2006/relationships" r:id="rId7"/>
        </xdr:cNvPr>
        <xdr:cNvSpPr txBox="1">
          <a:spLocks noChangeArrowheads="1"/>
        </xdr:cNvSpPr>
      </xdr:nvSpPr>
      <xdr:spPr bwMode="auto">
        <a:xfrm>
          <a:off x="6448425" y="6981825"/>
          <a:ext cx="800100" cy="371475"/>
        </a:xfrm>
        <a:prstGeom prst="rect">
          <a:avLst/>
        </a:prstGeom>
        <a:noFill/>
        <a:ln>
          <a:noFill/>
        </a:ln>
      </xdr:spPr>
      <xdr:txBody>
        <a:bodyPr vertOverflow="clip" wrap="square" lIns="0" tIns="32004" rIns="36576" bIns="32004" anchor="ctr"/>
        <a:lstStyle/>
        <a:p>
          <a:pPr algn="r" rtl="0">
            <a:defRPr sz="1000"/>
          </a:pPr>
          <a:r>
            <a:rPr lang="en-GB" sz="1000" b="1" i="0" u="sng" strike="noStrike" baseline="0">
              <a:solidFill>
                <a:srgbClr val="FFFFFF"/>
              </a:solidFill>
              <a:latin typeface="Calibri"/>
              <a:cs typeface="Calibri"/>
            </a:rPr>
            <a:t>Click to view </a:t>
          </a:r>
        </a:p>
      </xdr:txBody>
    </xdr:sp>
    <xdr:clientData/>
  </xdr:twoCellAnchor>
  <xdr:twoCellAnchor>
    <xdr:from>
      <xdr:col>10</xdr:col>
      <xdr:colOff>352425</xdr:colOff>
      <xdr:row>42</xdr:row>
      <xdr:rowOff>28575</xdr:rowOff>
    </xdr:from>
    <xdr:to>
      <xdr:col>11</xdr:col>
      <xdr:colOff>542925</xdr:colOff>
      <xdr:row>44</xdr:row>
      <xdr:rowOff>76200</xdr:rowOff>
    </xdr:to>
    <xdr:sp macro="" textlink="">
      <xdr:nvSpPr>
        <xdr:cNvPr id="43" name="Text Box 233">
          <a:hlinkClick xmlns:r="http://schemas.openxmlformats.org/officeDocument/2006/relationships" r:id="rId8"/>
        </xdr:cNvPr>
        <xdr:cNvSpPr txBox="1">
          <a:spLocks noChangeArrowheads="1"/>
        </xdr:cNvSpPr>
      </xdr:nvSpPr>
      <xdr:spPr bwMode="auto">
        <a:xfrm>
          <a:off x="6448425" y="7324725"/>
          <a:ext cx="800100" cy="371475"/>
        </a:xfrm>
        <a:prstGeom prst="rect">
          <a:avLst/>
        </a:prstGeom>
        <a:noFill/>
        <a:ln>
          <a:noFill/>
        </a:ln>
      </xdr:spPr>
      <xdr:txBody>
        <a:bodyPr vertOverflow="clip" wrap="square" lIns="0" tIns="32004" rIns="36576" bIns="32004" anchor="ctr"/>
        <a:lstStyle/>
        <a:p>
          <a:pPr algn="r" rtl="0">
            <a:defRPr sz="1000"/>
          </a:pPr>
          <a:r>
            <a:rPr lang="en-GB" sz="1000" b="1" i="0" u="sng" strike="noStrike" baseline="0">
              <a:solidFill>
                <a:srgbClr val="FFFFFF"/>
              </a:solidFill>
              <a:latin typeface="Calibri"/>
              <a:cs typeface="Calibri"/>
            </a:rPr>
            <a:t>Click to view </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190500</xdr:colOff>
          <xdr:row>2</xdr:row>
          <xdr:rowOff>85725</xdr:rowOff>
        </xdr:from>
        <xdr:to>
          <xdr:col>4</xdr:col>
          <xdr:colOff>1895475</xdr:colOff>
          <xdr:row>4</xdr:row>
          <xdr:rowOff>85725</xdr:rowOff>
        </xdr:to>
        <xdr:sp macro="" textlink="">
          <xdr:nvSpPr>
            <xdr:cNvPr id="8249" name="Button 57" hidden="1">
              <a:extLst>
                <a:ext uri="{63B3BB69-23CF-44E3-9099-C40C66FF867C}">
                  <a14:compatExt spid="_x0000_s8249"/>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0" i="0" u="none" strike="noStrike" baseline="0">
                  <a:solidFill>
                    <a:srgbClr val="000000"/>
                  </a:solidFill>
                  <a:latin typeface="Arial"/>
                  <a:cs typeface="Arial"/>
                </a:rPr>
                <a:t>Save for USERS</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501015</xdr:colOff>
      <xdr:row>0</xdr:row>
      <xdr:rowOff>19050</xdr:rowOff>
    </xdr:from>
    <xdr:to>
      <xdr:col>2</xdr:col>
      <xdr:colOff>3181277</xdr:colOff>
      <xdr:row>0</xdr:row>
      <xdr:rowOff>438150</xdr:rowOff>
    </xdr:to>
    <xdr:sp macro="" textlink="">
      <xdr:nvSpPr>
        <xdr:cNvPr id="2" name="Text Box 18"/>
        <xdr:cNvSpPr txBox="1">
          <a:spLocks noChangeArrowheads="1"/>
        </xdr:cNvSpPr>
      </xdr:nvSpPr>
      <xdr:spPr bwMode="auto">
        <a:xfrm>
          <a:off x="3009900" y="19050"/>
          <a:ext cx="3200400" cy="419100"/>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GB" sz="1400" b="1" i="0" u="none" strike="noStrike" kern="0" cap="none" spc="0" normalizeH="0" baseline="0" noProof="0">
              <a:ln>
                <a:noFill/>
              </a:ln>
              <a:solidFill>
                <a:srgbClr val="000000"/>
              </a:solidFill>
              <a:effectLst/>
              <a:uLnTx/>
              <a:uFillTx/>
              <a:latin typeface="Calibri"/>
              <a:cs typeface="Calibri"/>
            </a:rPr>
            <a:t>Complete Votes &amp; Sub-Votes</a:t>
          </a:r>
        </a:p>
      </xdr:txBody>
    </xdr:sp>
    <xdr:clientData/>
  </xdr:twoCellAnchor>
  <xdr:twoCellAnchor>
    <xdr:from>
      <xdr:col>0</xdr:col>
      <xdr:colOff>0</xdr:colOff>
      <xdr:row>0</xdr:row>
      <xdr:rowOff>9525</xdr:rowOff>
    </xdr:from>
    <xdr:to>
      <xdr:col>1</xdr:col>
      <xdr:colOff>0</xdr:colOff>
      <xdr:row>0</xdr:row>
      <xdr:rowOff>438150</xdr:rowOff>
    </xdr:to>
    <xdr:sp macro="" textlink="">
      <xdr:nvSpPr>
        <xdr:cNvPr id="3" name="Text Box 18"/>
        <xdr:cNvSpPr txBox="1">
          <a:spLocks noChangeArrowheads="1"/>
        </xdr:cNvSpPr>
      </xdr:nvSpPr>
      <xdr:spPr bwMode="auto">
        <a:xfrm>
          <a:off x="0" y="9525"/>
          <a:ext cx="2505075" cy="428625"/>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GB" sz="1400" b="1" i="0" u="none" strike="noStrike" kern="0" cap="none" spc="0" normalizeH="0" baseline="0" noProof="0">
              <a:ln>
                <a:noFill/>
              </a:ln>
              <a:solidFill>
                <a:srgbClr val="000000"/>
              </a:solidFill>
              <a:effectLst/>
              <a:uLnTx/>
              <a:uFillTx/>
              <a:latin typeface="+mn-lt"/>
              <a:cs typeface="Calibri"/>
            </a:rPr>
            <a:t>Organisational Structure Votes</a:t>
          </a:r>
          <a:endParaRPr kumimoji="0" lang="en-GB" sz="1400" b="1" i="0" u="none" strike="noStrike" kern="0" cap="none" spc="0" normalizeH="0" baseline="0" noProof="0">
            <a:ln>
              <a:noFill/>
            </a:ln>
            <a:solidFill>
              <a:srgbClr val="000000"/>
            </a:solidFill>
            <a:effectLst/>
            <a:uLnTx/>
            <a:uFillTx/>
            <a:latin typeface="Calibri"/>
            <a:ea typeface="+mn-ea"/>
            <a:cs typeface="Calibri"/>
          </a:endParaRPr>
        </a:p>
      </xdr:txBody>
    </xdr:sp>
    <xdr:clientData/>
  </xdr:twoCellAnchor>
  <xdr:twoCellAnchor>
    <xdr:from>
      <xdr:col>3</xdr:col>
      <xdr:colOff>0</xdr:colOff>
      <xdr:row>0</xdr:row>
      <xdr:rowOff>0</xdr:rowOff>
    </xdr:from>
    <xdr:to>
      <xdr:col>5</xdr:col>
      <xdr:colOff>0</xdr:colOff>
      <xdr:row>0</xdr:row>
      <xdr:rowOff>438149</xdr:rowOff>
    </xdr:to>
    <xdr:sp macro="" textlink="">
      <xdr:nvSpPr>
        <xdr:cNvPr id="4" name="Text Box 18"/>
        <xdr:cNvSpPr txBox="1">
          <a:spLocks noChangeArrowheads="1"/>
        </xdr:cNvSpPr>
      </xdr:nvSpPr>
      <xdr:spPr bwMode="auto">
        <a:xfrm>
          <a:off x="6210300" y="0"/>
          <a:ext cx="2895600" cy="438149"/>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GB" sz="1400" b="1" i="0" u="none" strike="noStrike" kern="0" cap="none" spc="0" normalizeH="0" baseline="0" noProof="0">
              <a:ln>
                <a:noFill/>
              </a:ln>
              <a:solidFill>
                <a:srgbClr val="000000"/>
              </a:solidFill>
              <a:effectLst/>
              <a:uLnTx/>
              <a:uFillTx/>
              <a:latin typeface="Calibri"/>
              <a:cs typeface="Calibri"/>
            </a:rPr>
            <a:t>Select Org. Structure</a:t>
          </a:r>
        </a:p>
      </xdr:txBody>
    </xdr:sp>
    <xdr:clientData/>
  </xdr:twoCellAnchor>
  <xdr:twoCellAnchor>
    <xdr:from>
      <xdr:col>1</xdr:col>
      <xdr:colOff>0</xdr:colOff>
      <xdr:row>0</xdr:row>
      <xdr:rowOff>0</xdr:rowOff>
    </xdr:from>
    <xdr:to>
      <xdr:col>1</xdr:col>
      <xdr:colOff>504825</xdr:colOff>
      <xdr:row>0</xdr:row>
      <xdr:rowOff>428625</xdr:rowOff>
    </xdr:to>
    <xdr:sp macro="" textlink="">
      <xdr:nvSpPr>
        <xdr:cNvPr id="111636" name="Text Box 18"/>
        <xdr:cNvSpPr txBox="1">
          <a:spLocks noChangeArrowheads="1"/>
        </xdr:cNvSpPr>
      </xdr:nvSpPr>
      <xdr:spPr bwMode="auto">
        <a:xfrm>
          <a:off x="2505075" y="0"/>
          <a:ext cx="504825" cy="428625"/>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1217295</xdr:colOff>
      <xdr:row>0</xdr:row>
      <xdr:rowOff>0</xdr:rowOff>
    </xdr:from>
    <xdr:to>
      <xdr:col>2</xdr:col>
      <xdr:colOff>3587</xdr:colOff>
      <xdr:row>0</xdr:row>
      <xdr:rowOff>0</xdr:rowOff>
    </xdr:to>
    <xdr:sp macro="" textlink="">
      <xdr:nvSpPr>
        <xdr:cNvPr id="6145" name="AutoShape 1"/>
        <xdr:cNvSpPr>
          <a:spLocks noChangeArrowheads="1"/>
        </xdr:cNvSpPr>
      </xdr:nvSpPr>
      <xdr:spPr bwMode="auto">
        <a:xfrm>
          <a:off x="1209675" y="0"/>
          <a:ext cx="1276350" cy="0"/>
        </a:xfrm>
        <a:prstGeom prst="wedgeRoundRectCallout">
          <a:avLst>
            <a:gd name="adj1" fmla="val -41176"/>
            <a:gd name="adj2" fmla="val -5757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GB" sz="800" b="0" i="0" u="none" strike="noStrike" baseline="0">
              <a:solidFill>
                <a:srgbClr val="000000"/>
              </a:solidFill>
              <a:latin typeface="Arial"/>
              <a:cs typeface="Arial"/>
            </a:rPr>
            <a:t>Headings compulsory, but detailed line items possibly to be specified in the guidelines</a:t>
          </a:r>
        </a:p>
      </xdr:txBody>
    </xdr:sp>
    <xdr:clientData/>
  </xdr:twoCellAnchor>
  <xdr:twoCellAnchor>
    <xdr:from>
      <xdr:col>0</xdr:col>
      <xdr:colOff>1230630</xdr:colOff>
      <xdr:row>0</xdr:row>
      <xdr:rowOff>0</xdr:rowOff>
    </xdr:from>
    <xdr:to>
      <xdr:col>2</xdr:col>
      <xdr:colOff>4259</xdr:colOff>
      <xdr:row>0</xdr:row>
      <xdr:rowOff>0</xdr:rowOff>
    </xdr:to>
    <xdr:sp macro="" textlink="">
      <xdr:nvSpPr>
        <xdr:cNvPr id="6146" name="AutoShape 2"/>
        <xdr:cNvSpPr>
          <a:spLocks noChangeArrowheads="1"/>
        </xdr:cNvSpPr>
      </xdr:nvSpPr>
      <xdr:spPr bwMode="auto">
        <a:xfrm>
          <a:off x="1238250" y="0"/>
          <a:ext cx="1247775" cy="0"/>
        </a:xfrm>
        <a:prstGeom prst="wedgeRoundRectCallout">
          <a:avLst>
            <a:gd name="adj1" fmla="val -40440"/>
            <a:gd name="adj2" fmla="val 8636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GB" sz="800" b="0" i="0" u="none" strike="noStrike" baseline="0">
              <a:solidFill>
                <a:srgbClr val="000000"/>
              </a:solidFill>
              <a:latin typeface="Arial"/>
              <a:cs typeface="Arial"/>
            </a:rPr>
            <a:t>R&amp;M should be distributed to other cost types and this line is then obsolete</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mfma.treasury.gov.za/21.%20MBRR%20Template%20Review/A1%20Schedule%20-%20Ver%202-3%20%20-%2016%20November%2020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mfma.treasury.gov.za/Documents%20and%20Settings/2027/My%20Documents/A1%20Schedule%20-%20Ver%202%204%20-%20December%202011_FIN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miicoryf007\private\Financial%20Manager\NigelG\2%20MFMTAP\LTFS\2004_2005%20development\Budgeted%20financial%20statements%20Cash%20flow%20&amp;%20Balance%20Sheet%20Final%207%20May%20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ressp02\Common\B03\CD%20-%20LGBA\Municipalities\20.%20Budget%20Regulations\02.%20Development\00.%20Final%20-%20March%202009\2.%20Formats\1.%20Formats%2029.03.2009\C%20Schedule%20Municipal%20Monthly%20Budget%20Statement%20-%2006%20April%202009%20c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ressp02\Common\Documents%20and%20Settings\1777\My%20Documents\C%20Tshwane\EM%2010day%20report%20Dec%2020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ressp02\Common\Documents%20and%20Settings\1777\My%20Documents\Budget%20regulations\Regulations\Tshwane\Budget%20Regulations%20Tshwane%20Draft%20NT%20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ressp02\Common\B03\CD%20-%20LGBA\Municipalities\20.%20Budget%20Regulations\G%20Guidelines\eThekwini%20scheds%20tabs%20charts\Specimen%20budget%20template\File%20NT%20Format%20eThekwini%202008%20specimen%20Q.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zinzim2/Desktop/Budget%202020_21/National%20Treasury/FinalBudget%20202021_202223/Final%20Adopted%20Budget/LIM354%20FINAL%20BUDGET%20LIM354%20A1%20Schedule%20-%20mSCOA%20vs%206.4%20-%2010%20Dec%20201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ontacts"/>
      <sheetName val="A1-Sum"/>
      <sheetName val="A2-FinPerf SC"/>
      <sheetName val="A2A"/>
      <sheetName val="A3-FinPerf V"/>
      <sheetName val="A3A"/>
      <sheetName val="A4-FinPerf RE"/>
      <sheetName val="A5-Capex"/>
      <sheetName val="A5A"/>
      <sheetName val="A6-FinPos"/>
      <sheetName val="A7-CFlow"/>
      <sheetName val="A8-ResRecon"/>
      <sheetName val="A9-Asset"/>
      <sheetName val="A10-SerDel"/>
      <sheetName val="SA1"/>
      <sheetName val="SA2"/>
      <sheetName val="SA3"/>
      <sheetName val="SA4"/>
      <sheetName val="SA5"/>
      <sheetName val="SA6"/>
      <sheetName val="SA7"/>
      <sheetName val="SA8"/>
      <sheetName val="SA9"/>
      <sheetName val="SA10"/>
      <sheetName val="SA11"/>
      <sheetName val="SA12 &amp;13"/>
      <sheetName val="SA14"/>
      <sheetName val="SA15"/>
      <sheetName val="SA16"/>
      <sheetName val="SA17"/>
      <sheetName val="SA18"/>
      <sheetName val="SA19"/>
      <sheetName val="SA20"/>
      <sheetName val="SA21"/>
      <sheetName val="SA22"/>
      <sheetName val="SA23"/>
      <sheetName val="SA24"/>
      <sheetName val="SA25"/>
      <sheetName val="SA26"/>
      <sheetName val="SA27"/>
      <sheetName val="SA28"/>
      <sheetName val="SA29"/>
      <sheetName val="SA30"/>
      <sheetName val="SA31"/>
      <sheetName val="SA32"/>
      <sheetName val="SA33"/>
      <sheetName val="SA34a"/>
      <sheetName val="SA34b"/>
      <sheetName val="SA34c"/>
      <sheetName val="SA35"/>
      <sheetName val="SA36"/>
      <sheetName val="SA37"/>
      <sheetName val="NERF"/>
      <sheetName val="MSCOA"/>
      <sheetName val="Compliance assessment"/>
    </sheetNames>
    <sheetDataSet>
      <sheetData sheetId="0" refreshError="1"/>
      <sheetData sheetId="1" refreshError="1">
        <row r="34">
          <cell r="X34">
            <v>2011</v>
          </cell>
        </row>
        <row r="36">
          <cell r="X36" t="str">
            <v>2011/12</v>
          </cell>
        </row>
      </sheetData>
      <sheetData sheetId="2" refreshError="1">
        <row r="2">
          <cell r="B2" t="str">
            <v>2009/10</v>
          </cell>
        </row>
        <row r="3">
          <cell r="B3" t="str">
            <v>2008/9</v>
          </cell>
        </row>
        <row r="4">
          <cell r="B4" t="str">
            <v>2007/8</v>
          </cell>
        </row>
        <row r="5">
          <cell r="B5" t="str">
            <v>Current Year 2010/11</v>
          </cell>
        </row>
        <row r="7">
          <cell r="B7" t="str">
            <v>2011/12 Medium Term Revenue &amp; Expenditure Framework</v>
          </cell>
        </row>
        <row r="8">
          <cell r="B8" t="str">
            <v>LTFS</v>
          </cell>
        </row>
        <row r="9">
          <cell r="B9" t="str">
            <v>Audited Outcome</v>
          </cell>
        </row>
        <row r="10">
          <cell r="B10" t="str">
            <v>Outcome</v>
          </cell>
        </row>
        <row r="11">
          <cell r="B11" t="str">
            <v>Pre-audit outcome</v>
          </cell>
        </row>
        <row r="12">
          <cell r="B12" t="str">
            <v>Original Budget</v>
          </cell>
        </row>
        <row r="13">
          <cell r="B13" t="str">
            <v>Adjusted Budget</v>
          </cell>
        </row>
        <row r="14">
          <cell r="B14" t="str">
            <v>Full Year Forecast</v>
          </cell>
        </row>
        <row r="15">
          <cell r="B15" t="str">
            <v>Budget Year 2011/12</v>
          </cell>
        </row>
        <row r="16">
          <cell r="B16" t="str">
            <v>Budget Year +1 2012/13</v>
          </cell>
        </row>
        <row r="17">
          <cell r="B17" t="str">
            <v>Budget Year +2 2013/14</v>
          </cell>
        </row>
        <row r="18">
          <cell r="B18" t="str">
            <v>Forecast 2014/15</v>
          </cell>
        </row>
        <row r="19">
          <cell r="B19" t="str">
            <v>Forecast 2015/16</v>
          </cell>
        </row>
        <row r="20">
          <cell r="B20" t="str">
            <v>Forecast 2016/17</v>
          </cell>
        </row>
        <row r="21">
          <cell r="B21" t="str">
            <v>Forecast 2017/18</v>
          </cell>
        </row>
        <row r="22">
          <cell r="B22" t="str">
            <v>Forecast 2018/19</v>
          </cell>
        </row>
        <row r="23">
          <cell r="B23" t="str">
            <v>Forecast 2019/20</v>
          </cell>
        </row>
        <row r="24">
          <cell r="B24" t="str">
            <v>Forecast 2020/21</v>
          </cell>
        </row>
        <row r="25">
          <cell r="B25" t="str">
            <v>Forecast 2021/22</v>
          </cell>
        </row>
        <row r="26">
          <cell r="B26" t="str">
            <v>Forecast 2022/23</v>
          </cell>
        </row>
        <row r="27">
          <cell r="B27" t="str">
            <v>Forecast 2023/24</v>
          </cell>
        </row>
        <row r="28">
          <cell r="B28" t="str">
            <v>Forecast 2024/25</v>
          </cell>
        </row>
        <row r="29">
          <cell r="B29" t="str">
            <v>Forecast 2025/26</v>
          </cell>
        </row>
        <row r="30">
          <cell r="B30" t="str">
            <v>Description</v>
          </cell>
        </row>
        <row r="32">
          <cell r="B32" t="str">
            <v>Vote Description</v>
          </cell>
        </row>
        <row r="33">
          <cell r="B33" t="str">
            <v>Ref</v>
          </cell>
        </row>
        <row r="34">
          <cell r="B34" t="str">
            <v>References</v>
          </cell>
        </row>
        <row r="35">
          <cell r="B35" t="str">
            <v>Surplus/(Deficit) for the year</v>
          </cell>
        </row>
        <row r="51">
          <cell r="B51" t="str">
            <v>1996 Census</v>
          </cell>
        </row>
        <row r="52">
          <cell r="B52" t="str">
            <v>2001 Census</v>
          </cell>
        </row>
        <row r="54">
          <cell r="B54" t="str">
            <v>Previous target year to complete</v>
          </cell>
        </row>
        <row r="55">
          <cell r="B55" t="str">
            <v>Present value</v>
          </cell>
        </row>
        <row r="65">
          <cell r="B65" t="str">
            <v>Forecast Financial Performance</v>
          </cell>
        </row>
        <row r="93">
          <cell r="B93" t="str">
            <v>Choose name from list</v>
          </cell>
        </row>
        <row r="94">
          <cell r="B94">
            <v>2</v>
          </cell>
          <cell r="D94">
            <v>1</v>
          </cell>
        </row>
        <row r="95">
          <cell r="A95" t="str">
            <v>NO</v>
          </cell>
        </row>
        <row r="100">
          <cell r="B100" t="str">
            <v>Table A1 Budget Summary</v>
          </cell>
        </row>
        <row r="101">
          <cell r="B101" t="str">
            <v>Table A2 Budgeted Financial Performance (revenue and expenditure by standard classification)</v>
          </cell>
        </row>
        <row r="102">
          <cell r="B102" t="str">
            <v>Table A3 Budgeted Financial Performance (revenue and expenditure by municipal vote)</v>
          </cell>
        </row>
        <row r="103">
          <cell r="B103" t="str">
            <v>Table A4 Budgeted Financial Performance (revenue and expenditure)</v>
          </cell>
        </row>
        <row r="104">
          <cell r="B104" t="str">
            <v>Table A5 Budgeted Capital Expenditure by vote, standard classification and funding</v>
          </cell>
        </row>
        <row r="105">
          <cell r="B105" t="str">
            <v>Table A6 Budgeted Financial Position</v>
          </cell>
        </row>
        <row r="106">
          <cell r="B106" t="str">
            <v>Table A7 Budgeted Cash Flows</v>
          </cell>
        </row>
        <row r="107">
          <cell r="B107" t="str">
            <v>Table A8 Cash backed reserves/accumulated surplus reconciliation</v>
          </cell>
        </row>
        <row r="108">
          <cell r="B108" t="str">
            <v>Table A9 Asset Management</v>
          </cell>
        </row>
        <row r="109">
          <cell r="B109" t="str">
            <v>Table A10 Basic service delivery measurement</v>
          </cell>
        </row>
        <row r="111">
          <cell r="B111" t="str">
            <v>Supporting Table SA1 Supportinging detail to 'Budgeted Financial Performance'</v>
          </cell>
        </row>
        <row r="112">
          <cell r="B112" t="str">
            <v>Supporting Table SA2 Matrix Financial Performance Budget (revenue source/expenditure type and dept.)</v>
          </cell>
        </row>
        <row r="113">
          <cell r="B113" t="str">
            <v>Supporting Table SA3 Supportinging detail to 'Budgeted Financial Position'</v>
          </cell>
        </row>
        <row r="114">
          <cell r="B114" t="str">
            <v>Supporting Table SA4 Reconciliation of IDP strategic objectives and budget (revenue)</v>
          </cell>
        </row>
        <row r="115">
          <cell r="B115" t="str">
            <v>Supporting Table SA5 Reconciliation of IDP strategic objectives and budget (operating expenditure)</v>
          </cell>
        </row>
        <row r="116">
          <cell r="B116" t="str">
            <v>Supporting Table SA6 Reconciliation of IDP strategic objectives and budget (capital expenditure)</v>
          </cell>
        </row>
        <row r="117">
          <cell r="B117" t="str">
            <v>Supporting Table SA7 Measureable performance objectives</v>
          </cell>
        </row>
        <row r="118">
          <cell r="B118" t="str">
            <v>Supporting Table SA8 Performance indicators and benchmarks</v>
          </cell>
        </row>
        <row r="119">
          <cell r="B119" t="str">
            <v>Supporting Table SA9 Social, economic and demographic statistics and assumptions</v>
          </cell>
        </row>
        <row r="120">
          <cell r="B120" t="str">
            <v>Supporting Table SA10 Funding measurement</v>
          </cell>
        </row>
        <row r="121">
          <cell r="B121" t="str">
            <v>Supporting Table SA11 Property rates summary</v>
          </cell>
        </row>
        <row r="122">
          <cell r="B122" t="str">
            <v>Supporting Table SA12 Property rates by category (current year)</v>
          </cell>
        </row>
        <row r="123">
          <cell r="B123" t="str">
            <v>Supporting Table SA13 Property rates by category (budget year)</v>
          </cell>
        </row>
        <row r="124">
          <cell r="B124" t="str">
            <v>Supporting Table SA14 Household bills</v>
          </cell>
        </row>
        <row r="125">
          <cell r="B125" t="str">
            <v>Supporting Table SA15 Investment particulars by type</v>
          </cell>
        </row>
        <row r="126">
          <cell r="B126" t="str">
            <v>Supporting Table SA16 Investment particulars by maturity</v>
          </cell>
        </row>
        <row r="127">
          <cell r="B127" t="str">
            <v>Supporting Table SA17 Borrowing</v>
          </cell>
        </row>
        <row r="128">
          <cell r="B128" t="str">
            <v>Supporting Table SA18 Transfers and grant receipts</v>
          </cell>
        </row>
        <row r="129">
          <cell r="B129" t="str">
            <v>Supporting Table SA19 Expenditure on transfers and grant programme</v>
          </cell>
        </row>
        <row r="130">
          <cell r="B130" t="str">
            <v>Supporting Table SA20 Reconciliation of transfers, grant receipts and unspent funds</v>
          </cell>
        </row>
        <row r="131">
          <cell r="B131" t="str">
            <v>Supporting Table SA21 Transfers and grants made by the municipality</v>
          </cell>
        </row>
        <row r="132">
          <cell r="B132" t="str">
            <v>Supporting Table SA22 Summary councillor and staff benefits</v>
          </cell>
        </row>
        <row r="133">
          <cell r="B133" t="str">
            <v>Supporting Table SA23 Salaries, allowances &amp; benefits (political office bearers/councillors/senior managers)</v>
          </cell>
        </row>
        <row r="134">
          <cell r="B134" t="str">
            <v>Supporting Table SA24 Summary of personnel numbers</v>
          </cell>
        </row>
        <row r="135">
          <cell r="B135" t="str">
            <v>Supporting Table SA25 Budgeted monthly revenue and expenditure</v>
          </cell>
        </row>
        <row r="136">
          <cell r="B136" t="str">
            <v>Supporting Table SA26 Budgeted monthly revenue and expenditure (municipal vote)</v>
          </cell>
        </row>
        <row r="137">
          <cell r="B137" t="str">
            <v>Supporting Table SA27 Budgeted monthly revenue and expenditure (standard classification)</v>
          </cell>
        </row>
        <row r="138">
          <cell r="B138" t="str">
            <v>Supporting Table SA28 Budgeted monthly capital expenditure (municipal vote)</v>
          </cell>
        </row>
        <row r="139">
          <cell r="B139" t="str">
            <v>Supporting Table SA29 Budgeted monthly capital expenditure (standard classification)</v>
          </cell>
        </row>
        <row r="140">
          <cell r="B140" t="str">
            <v>Supporting Table SA30 Budgeted monthly cash flow</v>
          </cell>
        </row>
        <row r="141">
          <cell r="B141" t="str">
            <v>NOT REQUIRED - municipality does not have entities</v>
          </cell>
        </row>
        <row r="142">
          <cell r="B142" t="str">
            <v>Supporting Table SA32 List of external mechanisms</v>
          </cell>
        </row>
        <row r="143">
          <cell r="B143" t="str">
            <v>Supporting Table SA33 Contracts having future budgetary implications</v>
          </cell>
        </row>
        <row r="144">
          <cell r="B144" t="str">
            <v>Supporting Table SA34a Capital expenditure on new assets by asset class</v>
          </cell>
        </row>
        <row r="145">
          <cell r="B145" t="str">
            <v>Supporting Table SA34b Capital expenditure on the renewal of existing assets by asset class</v>
          </cell>
        </row>
        <row r="146">
          <cell r="B146" t="str">
            <v>Supporting Table SA34c Repairs and maintenance expenditure by asset class</v>
          </cell>
        </row>
        <row r="147">
          <cell r="B147" t="str">
            <v>Supporting Table SA35 Future financial implications of the capital budget</v>
          </cell>
        </row>
        <row r="148">
          <cell r="B148" t="str">
            <v>Supporting Table SA36 Detailed capital budget</v>
          </cell>
        </row>
        <row r="149">
          <cell r="B149" t="str">
            <v>Supporting Table SA37 Projects delayed from previous financial year/s</v>
          </cell>
        </row>
      </sheetData>
      <sheetData sheetId="3" refreshError="1">
        <row r="1">
          <cell r="A1" t="str">
            <v>Description</v>
          </cell>
          <cell r="B1">
            <v>2007</v>
          </cell>
          <cell r="C1">
            <v>2008</v>
          </cell>
          <cell r="D1">
            <v>2009</v>
          </cell>
          <cell r="E1">
            <v>2010</v>
          </cell>
          <cell r="F1">
            <v>2011</v>
          </cell>
          <cell r="G1">
            <v>2012</v>
          </cell>
          <cell r="H1">
            <v>2013</v>
          </cell>
          <cell r="I1">
            <v>2014</v>
          </cell>
          <cell r="J1">
            <v>2015</v>
          </cell>
          <cell r="K1">
            <v>2016</v>
          </cell>
          <cell r="L1">
            <v>2017</v>
          </cell>
          <cell r="M1">
            <v>2018</v>
          </cell>
          <cell r="N1">
            <v>2019</v>
          </cell>
          <cell r="O1">
            <v>2020</v>
          </cell>
        </row>
        <row r="2">
          <cell r="A2" t="str">
            <v>Prior year -1</v>
          </cell>
          <cell r="B2" t="str">
            <v>2005/06</v>
          </cell>
          <cell r="C2" t="str">
            <v>2006/07</v>
          </cell>
          <cell r="D2" t="str">
            <v>2007/08</v>
          </cell>
          <cell r="E2" t="str">
            <v>2008/9</v>
          </cell>
          <cell r="F2" t="str">
            <v>2009/10</v>
          </cell>
          <cell r="G2" t="str">
            <v>2010/11</v>
          </cell>
          <cell r="H2" t="str">
            <v>2011/12</v>
          </cell>
          <cell r="I2" t="str">
            <v>2012/13</v>
          </cell>
          <cell r="J2" t="str">
            <v>2013/14</v>
          </cell>
          <cell r="K2" t="str">
            <v>2014/15</v>
          </cell>
          <cell r="L2" t="str">
            <v>2015/16</v>
          </cell>
          <cell r="M2" t="str">
            <v>2016/17</v>
          </cell>
          <cell r="N2" t="str">
            <v>2017/18</v>
          </cell>
          <cell r="O2" t="str">
            <v>2018/19</v>
          </cell>
          <cell r="Q2" t="str">
            <v>Yes</v>
          </cell>
          <cell r="R2" t="str">
            <v>&lt;1</v>
          </cell>
          <cell r="S2" t="str">
            <v>&lt;4</v>
          </cell>
          <cell r="T2" t="str">
            <v>Market</v>
          </cell>
          <cell r="U2" t="str">
            <v>Land &amp; impr.</v>
          </cell>
          <cell r="V2" t="str">
            <v>Yes</v>
          </cell>
          <cell r="W2" t="str">
            <v>Uniform</v>
          </cell>
          <cell r="X2" t="str">
            <v>Yrs</v>
          </cell>
          <cell r="Z2" t="str">
            <v>Local Government Equitable Share</v>
          </cell>
          <cell r="AA2" t="str">
            <v>Health subsidy</v>
          </cell>
          <cell r="AB2" t="str">
            <v xml:space="preserve"> Municipal Infrastructure Grant (MIG)</v>
          </cell>
        </row>
        <row r="3">
          <cell r="A3" t="str">
            <v>Prior year -2</v>
          </cell>
          <cell r="B3" t="str">
            <v>2004/05</v>
          </cell>
          <cell r="C3" t="str">
            <v>2005/06</v>
          </cell>
          <cell r="D3" t="str">
            <v>2006/07</v>
          </cell>
          <cell r="E3" t="str">
            <v>2007/8</v>
          </cell>
          <cell r="F3" t="str">
            <v>2008/9</v>
          </cell>
          <cell r="G3" t="str">
            <v>2009/10</v>
          </cell>
          <cell r="H3" t="str">
            <v>2010/11</v>
          </cell>
          <cell r="I3" t="str">
            <v>2011/12</v>
          </cell>
          <cell r="J3" t="str">
            <v>2012/13</v>
          </cell>
          <cell r="K3" t="str">
            <v>2013/14</v>
          </cell>
          <cell r="L3" t="str">
            <v>2014/15</v>
          </cell>
          <cell r="M3" t="str">
            <v>2015/16</v>
          </cell>
          <cell r="N3" t="str">
            <v>2016/17</v>
          </cell>
          <cell r="O3" t="str">
            <v>2017/18</v>
          </cell>
          <cell r="Q3" t="str">
            <v>No</v>
          </cell>
          <cell r="R3">
            <v>1</v>
          </cell>
          <cell r="S3">
            <v>4</v>
          </cell>
          <cell r="T3" t="str">
            <v>Dep.Replace</v>
          </cell>
          <cell r="U3" t="str">
            <v>Land only</v>
          </cell>
          <cell r="V3" t="str">
            <v>No</v>
          </cell>
          <cell r="W3" t="str">
            <v>Variable</v>
          </cell>
          <cell r="X3" t="str">
            <v>Mths</v>
          </cell>
          <cell r="Z3" t="str">
            <v xml:space="preserve">RSC Levy Replacement </v>
          </cell>
          <cell r="AA3" t="str">
            <v>Ambulance subsidy</v>
          </cell>
          <cell r="AB3" t="str">
            <v xml:space="preserve"> Public Transport and Systems</v>
          </cell>
        </row>
        <row r="4">
          <cell r="A4" t="str">
            <v>Prior year -3</v>
          </cell>
          <cell r="B4" t="str">
            <v>2003/04</v>
          </cell>
          <cell r="C4" t="str">
            <v>2004/05</v>
          </cell>
          <cell r="D4" t="str">
            <v>2005/06</v>
          </cell>
          <cell r="E4" t="str">
            <v>2006/7</v>
          </cell>
          <cell r="F4" t="str">
            <v>2007/8</v>
          </cell>
          <cell r="G4" t="str">
            <v>2008/9</v>
          </cell>
          <cell r="H4" t="str">
            <v>2009/10</v>
          </cell>
          <cell r="I4" t="str">
            <v>2010/11</v>
          </cell>
          <cell r="J4" t="str">
            <v>2011/12</v>
          </cell>
          <cell r="K4" t="str">
            <v>2012/13</v>
          </cell>
          <cell r="L4" t="str">
            <v>2013/14</v>
          </cell>
          <cell r="M4" t="str">
            <v>2014/15</v>
          </cell>
          <cell r="N4" t="str">
            <v>2015/16</v>
          </cell>
          <cell r="O4" t="str">
            <v>2016/17</v>
          </cell>
          <cell r="R4">
            <v>2</v>
          </cell>
          <cell r="S4">
            <v>5</v>
          </cell>
          <cell r="T4" t="str">
            <v>Other</v>
          </cell>
          <cell r="U4" t="str">
            <v>Other</v>
          </cell>
          <cell r="Z4" t="str">
            <v xml:space="preserve">Finance Management </v>
          </cell>
          <cell r="AA4" t="str">
            <v>Housing</v>
          </cell>
          <cell r="AB4" t="str">
            <v>Rural Transport Services and Infrastructure</v>
          </cell>
        </row>
        <row r="5">
          <cell r="A5" t="str">
            <v>Year in which budget is being prepared</v>
          </cell>
          <cell r="B5" t="str">
            <v>Current Year 2006/07</v>
          </cell>
          <cell r="C5" t="str">
            <v>Current Year 2007/08</v>
          </cell>
          <cell r="D5" t="str">
            <v>Current Year 2008/09</v>
          </cell>
          <cell r="E5" t="str">
            <v>Current Year 2009/10</v>
          </cell>
          <cell r="F5" t="str">
            <v>Current Year 2010/11</v>
          </cell>
          <cell r="G5" t="str">
            <v>Current Year 2011/12</v>
          </cell>
          <cell r="H5" t="str">
            <v>Current Year 2012/13</v>
          </cell>
          <cell r="I5" t="str">
            <v>Current Year 2013/14</v>
          </cell>
          <cell r="J5" t="str">
            <v>Current Year 2014/15</v>
          </cell>
          <cell r="K5" t="str">
            <v>Current Year 2015/16</v>
          </cell>
          <cell r="L5" t="str">
            <v>Current Year 2016/17</v>
          </cell>
          <cell r="M5" t="str">
            <v>Current Year 2017/18</v>
          </cell>
          <cell r="N5" t="str">
            <v>Current Year 2018/19</v>
          </cell>
          <cell r="O5" t="str">
            <v>Current Year 2019/20</v>
          </cell>
          <cell r="R5">
            <v>3</v>
          </cell>
          <cell r="S5">
            <v>6</v>
          </cell>
          <cell r="Z5" t="str">
            <v>Municipal Systems Improvement</v>
          </cell>
          <cell r="AA5" t="str">
            <v>Sport and Recreation</v>
          </cell>
          <cell r="AB5" t="str">
            <v>Regional Bulk Infrastructure</v>
          </cell>
        </row>
        <row r="6">
          <cell r="A6" t="str">
            <v>Year in which budget is being prepared</v>
          </cell>
          <cell r="B6" t="str">
            <v>2006/07</v>
          </cell>
          <cell r="C6" t="str">
            <v>2007/08</v>
          </cell>
          <cell r="D6" t="str">
            <v>2008/09</v>
          </cell>
          <cell r="E6" t="str">
            <v>2009/10</v>
          </cell>
          <cell r="F6" t="str">
            <v>2010/11</v>
          </cell>
          <cell r="G6" t="str">
            <v>2011/12</v>
          </cell>
          <cell r="H6" t="str">
            <v>2012/13</v>
          </cell>
          <cell r="I6" t="str">
            <v>2013/14</v>
          </cell>
          <cell r="J6" t="str">
            <v>2014/15</v>
          </cell>
          <cell r="K6" t="str">
            <v>2015/16</v>
          </cell>
          <cell r="L6" t="str">
            <v>2016/17</v>
          </cell>
          <cell r="M6" t="str">
            <v>2017/18</v>
          </cell>
          <cell r="N6" t="str">
            <v>2018/19</v>
          </cell>
          <cell r="O6" t="str">
            <v>2019/20</v>
          </cell>
          <cell r="R6">
            <v>4</v>
          </cell>
          <cell r="S6" t="str">
            <v>6-10</v>
          </cell>
          <cell r="Z6" t="str">
            <v xml:space="preserve">Water Services Operating Subsidy </v>
          </cell>
          <cell r="AB6" t="str">
            <v xml:space="preserve">Rural Households Infrastructure </v>
          </cell>
        </row>
        <row r="7">
          <cell r="A7" t="str">
            <v>MTREF name</v>
          </cell>
          <cell r="B7" t="str">
            <v>2007/08 Medium Term Revenue &amp; Expenditure Framework</v>
          </cell>
          <cell r="C7" t="str">
            <v>2008/09 Medium Term Revenue &amp; Expenditure Framework</v>
          </cell>
          <cell r="D7" t="str">
            <v>2009/10 Medium Term Revenue &amp; Expenditure Framework</v>
          </cell>
          <cell r="E7" t="str">
            <v>2010/11 Medium Term Revenue &amp; Expenditure Framework</v>
          </cell>
          <cell r="F7" t="str">
            <v>2011/12 Medium Term Revenue &amp; Expenditure Framework</v>
          </cell>
          <cell r="G7" t="str">
            <v>2012/13 Medium Term Revenue &amp; Expenditure Framework</v>
          </cell>
          <cell r="H7" t="str">
            <v>2013/14 Medium Term Revenue &amp; Expenditure Framework</v>
          </cell>
          <cell r="I7" t="str">
            <v>2014/15 Medium Term Revenue &amp; Expenditure Framework</v>
          </cell>
          <cell r="J7" t="str">
            <v>2015/16 Medium Term Revenue &amp; Expenditure Framework</v>
          </cell>
          <cell r="K7" t="str">
            <v>2016/17 Medium Term Revenue &amp; Expenditure Framework</v>
          </cell>
          <cell r="L7" t="str">
            <v>2017/18 Medium Term Revenue &amp; Expenditure Framework</v>
          </cell>
          <cell r="M7" t="str">
            <v>2018/19 Medium Term Revenue &amp; Expenditure Framework</v>
          </cell>
          <cell r="N7" t="str">
            <v>2019/20 Medium Term Revenue &amp; Expenditure Framework</v>
          </cell>
          <cell r="O7" t="str">
            <v>2020/21 Medium Term Revenue &amp; Expenditure Framework</v>
          </cell>
          <cell r="R7">
            <v>5</v>
          </cell>
          <cell r="S7" t="str">
            <v>&gt;10</v>
          </cell>
          <cell r="Z7" t="str">
            <v>Energy Efficiency  and Demand Management</v>
          </cell>
        </row>
        <row r="8">
          <cell r="A8" t="str">
            <v>1st year of MTREF</v>
          </cell>
          <cell r="B8" t="str">
            <v>Budget Year 2007/08</v>
          </cell>
          <cell r="C8" t="str">
            <v>Budget Year 2008/09</v>
          </cell>
          <cell r="D8" t="str">
            <v>Budget Year 2009/10</v>
          </cell>
          <cell r="E8" t="str">
            <v>Budget Year 2010/11</v>
          </cell>
          <cell r="F8" t="str">
            <v>Budget Year 2011/12</v>
          </cell>
          <cell r="G8" t="str">
            <v>Budget Year 2012/13</v>
          </cell>
          <cell r="H8" t="str">
            <v>Budget Year 2013/14</v>
          </cell>
          <cell r="I8" t="str">
            <v>Budget Year 2014/15</v>
          </cell>
          <cell r="J8" t="str">
            <v>Budget Year 2015/16</v>
          </cell>
          <cell r="K8" t="str">
            <v>Budget Year 2016/17</v>
          </cell>
          <cell r="L8" t="str">
            <v>Budget Year 2017/18</v>
          </cell>
          <cell r="M8" t="str">
            <v>Budget Year 2018/19</v>
          </cell>
          <cell r="N8" t="str">
            <v>Budget Year 2019/20</v>
          </cell>
          <cell r="O8" t="str">
            <v>Budget Year 2020/21</v>
          </cell>
          <cell r="R8" t="str">
            <v>&gt;5</v>
          </cell>
          <cell r="Z8" t="str">
            <v>Integrated National Electrification Programme</v>
          </cell>
        </row>
        <row r="9">
          <cell r="A9" t="str">
            <v>2nd year of MTREF</v>
          </cell>
          <cell r="B9" t="str">
            <v>Budget Year +1 2008/09</v>
          </cell>
          <cell r="C9" t="str">
            <v>Budget Year +1 2009/10</v>
          </cell>
          <cell r="D9" t="str">
            <v>Budget Year +1 2010/11</v>
          </cell>
          <cell r="E9" t="str">
            <v>Budget Year +1 2011/12</v>
          </cell>
          <cell r="F9" t="str">
            <v>Budget Year +1 2012/13</v>
          </cell>
          <cell r="G9" t="str">
            <v>Budget Year +1 2013/14</v>
          </cell>
          <cell r="H9" t="str">
            <v>Budget Year +1 2014/15</v>
          </cell>
          <cell r="I9" t="str">
            <v>Budget Year +1 2015/16</v>
          </cell>
          <cell r="J9" t="str">
            <v>Budget Year +1 2016/17</v>
          </cell>
          <cell r="K9" t="str">
            <v>Budget Year +1 2017/18</v>
          </cell>
          <cell r="L9" t="str">
            <v>Budget Year +1 2018/19</v>
          </cell>
          <cell r="M9" t="str">
            <v>Budget Year +1 2019/20</v>
          </cell>
          <cell r="N9" t="str">
            <v>Budget Year +1 2020/21</v>
          </cell>
          <cell r="O9" t="str">
            <v>Budget Year +1 2021/22</v>
          </cell>
        </row>
        <row r="10">
          <cell r="A10" t="str">
            <v>3rd year of MTREF</v>
          </cell>
          <cell r="B10" t="str">
            <v>Budget Year +2 2009/10</v>
          </cell>
          <cell r="C10" t="str">
            <v>Budget Year +2 2010/11</v>
          </cell>
          <cell r="D10" t="str">
            <v>Budget Year +2 2011/12</v>
          </cell>
          <cell r="E10" t="str">
            <v>Budget Year +2 2012/13</v>
          </cell>
          <cell r="F10" t="str">
            <v>Budget Year +2 2013/14</v>
          </cell>
          <cell r="G10" t="str">
            <v>Budget Year +2 2014/15</v>
          </cell>
          <cell r="H10" t="str">
            <v>Budget Year +2 2015/16</v>
          </cell>
          <cell r="I10" t="str">
            <v>Budget Year +2 2016/17</v>
          </cell>
          <cell r="J10" t="str">
            <v>Budget Year +2 2017/18</v>
          </cell>
          <cell r="K10" t="str">
            <v>Budget Year +2 2018/19</v>
          </cell>
          <cell r="L10" t="str">
            <v>Budget Year +2 2019/20</v>
          </cell>
          <cell r="M10" t="str">
            <v>Budget Year +2 2020/21</v>
          </cell>
          <cell r="N10" t="str">
            <v>Budget Year +2 2021/22</v>
          </cell>
          <cell r="O10" t="str">
            <v>Budget Year +2 2022/23</v>
          </cell>
        </row>
        <row r="11">
          <cell r="A11" t="str">
            <v>1st yr of long term forecast</v>
          </cell>
          <cell r="B11" t="str">
            <v>Forecast 2010/11</v>
          </cell>
          <cell r="C11" t="str">
            <v>Forecast 2011/12</v>
          </cell>
          <cell r="D11" t="str">
            <v>Forecast 2012/13</v>
          </cell>
          <cell r="E11" t="str">
            <v>Forecast 2013/14</v>
          </cell>
          <cell r="F11" t="str">
            <v>Forecast 2014/15</v>
          </cell>
          <cell r="G11" t="str">
            <v>Forecast 2015/16</v>
          </cell>
          <cell r="H11" t="str">
            <v>Forecast 2016/17</v>
          </cell>
          <cell r="I11" t="str">
            <v>Forecast 2017/18</v>
          </cell>
          <cell r="J11" t="str">
            <v>Forecast 2018/19</v>
          </cell>
          <cell r="K11" t="str">
            <v>Forecast 2019/20</v>
          </cell>
          <cell r="L11" t="str">
            <v>Forecast 2020/21</v>
          </cell>
          <cell r="M11" t="str">
            <v>Forecast 2021/22</v>
          </cell>
          <cell r="N11" t="str">
            <v>Forecast 2022/23</v>
          </cell>
          <cell r="O11" t="str">
            <v>Forecast 2023/24</v>
          </cell>
        </row>
        <row r="12">
          <cell r="A12" t="str">
            <v>Next yr of long term forecast</v>
          </cell>
          <cell r="B12" t="str">
            <v>Forecast 2011/12</v>
          </cell>
          <cell r="C12" t="str">
            <v>Forecast 2012/13</v>
          </cell>
          <cell r="D12" t="str">
            <v>Forecast 2013/14</v>
          </cell>
          <cell r="E12" t="str">
            <v>Forecast 2014/15</v>
          </cell>
          <cell r="F12" t="str">
            <v>Forecast 2015/16</v>
          </cell>
          <cell r="G12" t="str">
            <v>Forecast 2016/17</v>
          </cell>
          <cell r="H12" t="str">
            <v>Forecast 2017/18</v>
          </cell>
          <cell r="I12" t="str">
            <v>Forecast 2018/19</v>
          </cell>
          <cell r="J12" t="str">
            <v>Forecast 2019/20</v>
          </cell>
          <cell r="K12" t="str">
            <v>Forecast 2020/21</v>
          </cell>
          <cell r="L12" t="str">
            <v>Forecast 2021/22</v>
          </cell>
          <cell r="M12" t="str">
            <v>Forecast 2022/23</v>
          </cell>
          <cell r="N12" t="str">
            <v>Forecast 2023/24</v>
          </cell>
          <cell r="O12" t="str">
            <v>Forecast 2024/25</v>
          </cell>
        </row>
        <row r="13">
          <cell r="A13" t="str">
            <v>Next yr of long term forecast</v>
          </cell>
          <cell r="B13" t="str">
            <v>Forecast 2012/13</v>
          </cell>
          <cell r="C13" t="str">
            <v>Forecast 2013/14</v>
          </cell>
          <cell r="D13" t="str">
            <v>Forecast 2014/15</v>
          </cell>
          <cell r="E13" t="str">
            <v>Forecast 2015/16</v>
          </cell>
          <cell r="F13" t="str">
            <v>Forecast 2016/17</v>
          </cell>
          <cell r="G13" t="str">
            <v>Forecast 2017/18</v>
          </cell>
          <cell r="H13" t="str">
            <v>Forecast 2018/19</v>
          </cell>
          <cell r="I13" t="str">
            <v>Forecast 2019/20</v>
          </cell>
          <cell r="J13" t="str">
            <v>Forecast 2020/21</v>
          </cell>
          <cell r="K13" t="str">
            <v>Forecast 2021/22</v>
          </cell>
          <cell r="L13" t="str">
            <v>Forecast 2022/23</v>
          </cell>
          <cell r="M13" t="str">
            <v>Forecast 2023/24</v>
          </cell>
          <cell r="N13" t="str">
            <v>Forecast 2024/25</v>
          </cell>
          <cell r="O13" t="str">
            <v>Forecast 2025/26</v>
          </cell>
        </row>
        <row r="14">
          <cell r="A14" t="str">
            <v>Next yr of long term forecast</v>
          </cell>
          <cell r="B14" t="str">
            <v>Forecast 2013/14</v>
          </cell>
          <cell r="C14" t="str">
            <v>Forecast 2014/15</v>
          </cell>
          <cell r="D14" t="str">
            <v>Forecast 2015/16</v>
          </cell>
          <cell r="E14" t="str">
            <v>Forecast 2016/17</v>
          </cell>
          <cell r="F14" t="str">
            <v>Forecast 2017/18</v>
          </cell>
          <cell r="G14" t="str">
            <v>Forecast 2018/19</v>
          </cell>
          <cell r="H14" t="str">
            <v>Forecast 2019/20</v>
          </cell>
          <cell r="I14" t="str">
            <v>Forecast 2020/21</v>
          </cell>
          <cell r="J14" t="str">
            <v>Forecast 2021/22</v>
          </cell>
          <cell r="K14" t="str">
            <v>Forecast 2022/23</v>
          </cell>
          <cell r="L14" t="str">
            <v>Forecast 2023/24</v>
          </cell>
          <cell r="M14" t="str">
            <v>Forecast 2024/25</v>
          </cell>
          <cell r="N14" t="str">
            <v>Forecast 2025/26</v>
          </cell>
          <cell r="O14" t="str">
            <v>Forecast 2026/27</v>
          </cell>
        </row>
        <row r="15">
          <cell r="A15" t="str">
            <v>Next yr of long term forecast</v>
          </cell>
          <cell r="B15" t="str">
            <v>Forecast 2014/15</v>
          </cell>
          <cell r="C15" t="str">
            <v>Forecast 2015/16</v>
          </cell>
          <cell r="D15" t="str">
            <v>Forecast 2016/17</v>
          </cell>
          <cell r="E15" t="str">
            <v>Forecast 2017/18</v>
          </cell>
          <cell r="F15" t="str">
            <v>Forecast 2018/19</v>
          </cell>
          <cell r="G15" t="str">
            <v>Forecast 2019/20</v>
          </cell>
          <cell r="H15" t="str">
            <v>Forecast 2020/21</v>
          </cell>
          <cell r="I15" t="str">
            <v>Forecast 2021/22</v>
          </cell>
          <cell r="J15" t="str">
            <v>Forecast 2022/23</v>
          </cell>
          <cell r="K15" t="str">
            <v>Forecast 2023/24</v>
          </cell>
          <cell r="L15" t="str">
            <v>Forecast 2024/25</v>
          </cell>
          <cell r="M15" t="str">
            <v>Forecast 2025/26</v>
          </cell>
          <cell r="N15" t="str">
            <v>Forecast 2026/27</v>
          </cell>
          <cell r="O15" t="str">
            <v>Forecast 2027/28</v>
          </cell>
        </row>
        <row r="16">
          <cell r="A16" t="str">
            <v>Next yr of long term forecast</v>
          </cell>
          <cell r="B16" t="str">
            <v>Forecast 2015/16</v>
          </cell>
          <cell r="C16" t="str">
            <v>Forecast 2016/17</v>
          </cell>
          <cell r="D16" t="str">
            <v>Forecast 2017/18</v>
          </cell>
          <cell r="E16" t="str">
            <v>Forecast 2018/19</v>
          </cell>
          <cell r="F16" t="str">
            <v>Forecast 2019/20</v>
          </cell>
          <cell r="G16" t="str">
            <v>Forecast 2020/21</v>
          </cell>
          <cell r="H16" t="str">
            <v>Forecast 2021/22</v>
          </cell>
          <cell r="I16" t="str">
            <v>Forecast 2022/23</v>
          </cell>
          <cell r="J16" t="str">
            <v>Forecast 2023/24</v>
          </cell>
          <cell r="K16" t="str">
            <v>Forecast 2024/25</v>
          </cell>
          <cell r="L16" t="str">
            <v>Forecast 2025/26</v>
          </cell>
          <cell r="M16" t="str">
            <v>Forecast 2026/27</v>
          </cell>
          <cell r="N16" t="str">
            <v>Forecast 2027/28</v>
          </cell>
          <cell r="O16" t="str">
            <v>Forecast 2028/29</v>
          </cell>
        </row>
        <row r="17">
          <cell r="A17" t="str">
            <v>Next yr of long term forecast</v>
          </cell>
          <cell r="B17" t="str">
            <v>Forecast 2016/17</v>
          </cell>
          <cell r="C17" t="str">
            <v>Forecast 2017/18</v>
          </cell>
          <cell r="D17" t="str">
            <v>Forecast 2018/19</v>
          </cell>
          <cell r="E17" t="str">
            <v>Forecast 2019/20</v>
          </cell>
          <cell r="F17" t="str">
            <v>Forecast 2020/21</v>
          </cell>
          <cell r="G17" t="str">
            <v>Forecast 2021/22</v>
          </cell>
          <cell r="H17" t="str">
            <v>Forecast 2022/23</v>
          </cell>
          <cell r="I17" t="str">
            <v>Forecast 2023/24</v>
          </cell>
          <cell r="J17" t="str">
            <v>Forecast 2024/25</v>
          </cell>
          <cell r="K17" t="str">
            <v>Forecast 2025/26</v>
          </cell>
          <cell r="L17" t="str">
            <v>Forecast 2026/27</v>
          </cell>
          <cell r="M17" t="str">
            <v>Forecast 2027/28</v>
          </cell>
          <cell r="N17" t="str">
            <v>Forecast 2028/29</v>
          </cell>
          <cell r="O17" t="str">
            <v>Forecast 2029/30</v>
          </cell>
        </row>
        <row r="18">
          <cell r="A18" t="str">
            <v>Next yr of long term forecast</v>
          </cell>
          <cell r="B18" t="str">
            <v>Forecast 2017/18</v>
          </cell>
          <cell r="C18" t="str">
            <v>Forecast 2018/19</v>
          </cell>
          <cell r="D18" t="str">
            <v>Forecast 2019/20</v>
          </cell>
          <cell r="E18" t="str">
            <v>Forecast 2020/21</v>
          </cell>
          <cell r="F18" t="str">
            <v>Forecast 2021/22</v>
          </cell>
          <cell r="G18" t="str">
            <v>Forecast 2022/23</v>
          </cell>
          <cell r="H18" t="str">
            <v>Forecast 2023/24</v>
          </cell>
          <cell r="I18" t="str">
            <v>Forecast 2024/25</v>
          </cell>
          <cell r="J18" t="str">
            <v>Forecast 2025/26</v>
          </cell>
          <cell r="K18" t="str">
            <v>Forecast 2026/27</v>
          </cell>
          <cell r="L18" t="str">
            <v>Forecast 2027/28</v>
          </cell>
          <cell r="M18" t="str">
            <v>Forecast 2028/29</v>
          </cell>
          <cell r="N18" t="str">
            <v>Forecast 2029/30</v>
          </cell>
          <cell r="O18" t="str">
            <v>Forecast 2030/31</v>
          </cell>
        </row>
        <row r="19">
          <cell r="A19" t="str">
            <v>Next yr of long term forecast</v>
          </cell>
          <cell r="B19" t="str">
            <v>Forecast 2018/19</v>
          </cell>
          <cell r="C19" t="str">
            <v>Forecast 2019/20</v>
          </cell>
          <cell r="D19" t="str">
            <v>Forecast 2020/21</v>
          </cell>
          <cell r="E19" t="str">
            <v>Forecast 2021/22</v>
          </cell>
          <cell r="F19" t="str">
            <v>Forecast 2022/23</v>
          </cell>
          <cell r="G19" t="str">
            <v>Forecast 2023/24</v>
          </cell>
          <cell r="H19" t="str">
            <v>Forecast 2024/25</v>
          </cell>
          <cell r="I19" t="str">
            <v>Forecast 2025/26</v>
          </cell>
          <cell r="J19" t="str">
            <v>Forecast 2026/27</v>
          </cell>
          <cell r="K19" t="str">
            <v>Forecast 2027/28</v>
          </cell>
          <cell r="L19" t="str">
            <v>Forecast 2028/29</v>
          </cell>
          <cell r="M19" t="str">
            <v>Forecast 2029/30</v>
          </cell>
          <cell r="N19" t="str">
            <v>Forecast 2030/31</v>
          </cell>
          <cell r="O19" t="str">
            <v>Forecast 2031/32</v>
          </cell>
        </row>
        <row r="20">
          <cell r="A20" t="str">
            <v>Next yr of long term forecast</v>
          </cell>
          <cell r="B20" t="str">
            <v>Forecast 2019/20</v>
          </cell>
          <cell r="C20" t="str">
            <v>Forecast 2020/21</v>
          </cell>
          <cell r="D20" t="str">
            <v>Forecast 2021/22</v>
          </cell>
          <cell r="E20" t="str">
            <v>Forecast 2022/23</v>
          </cell>
          <cell r="F20" t="str">
            <v>Forecast 2023/24</v>
          </cell>
          <cell r="G20" t="str">
            <v>Forecast 2024/25</v>
          </cell>
          <cell r="H20" t="str">
            <v>Forecast 2025/26</v>
          </cell>
          <cell r="I20" t="str">
            <v>Forecast 2026/27</v>
          </cell>
          <cell r="J20" t="str">
            <v>Forecast 2027/28</v>
          </cell>
          <cell r="K20" t="str">
            <v>Forecast 2028/29</v>
          </cell>
          <cell r="L20" t="str">
            <v>Forecast 2029/30</v>
          </cell>
          <cell r="M20" t="str">
            <v>Forecast 2030/31</v>
          </cell>
          <cell r="N20" t="str">
            <v>Forecast 2031/32</v>
          </cell>
          <cell r="O20" t="str">
            <v>Forecast 2032/33</v>
          </cell>
        </row>
        <row r="21">
          <cell r="A21" t="str">
            <v>Next yr of long term forecast</v>
          </cell>
          <cell r="B21" t="str">
            <v>Forecast 2020/21</v>
          </cell>
          <cell r="C21" t="str">
            <v>Forecast 2021/22</v>
          </cell>
          <cell r="D21" t="str">
            <v>Forecast 2022/23</v>
          </cell>
          <cell r="E21" t="str">
            <v>Forecast 2023/24</v>
          </cell>
          <cell r="F21" t="str">
            <v>Forecast 2024/25</v>
          </cell>
          <cell r="G21" t="str">
            <v>Forecast 2025/26</v>
          </cell>
          <cell r="H21" t="str">
            <v>Forecast 2026/27</v>
          </cell>
          <cell r="I21" t="str">
            <v>Forecast 2027/28</v>
          </cell>
          <cell r="J21" t="str">
            <v>Forecast 2028/29</v>
          </cell>
          <cell r="K21" t="str">
            <v>Forecast 2029/30</v>
          </cell>
          <cell r="L21" t="str">
            <v>Forecast 2030/31</v>
          </cell>
          <cell r="M21" t="str">
            <v>Forecast 2031/32</v>
          </cell>
          <cell r="N21" t="str">
            <v>Forecast 2032/33</v>
          </cell>
          <cell r="O21" t="str">
            <v>Forecast 2033/34</v>
          </cell>
        </row>
        <row r="22">
          <cell r="A22" t="str">
            <v>Next yr of long term forecast</v>
          </cell>
          <cell r="B22" t="str">
            <v>Forecast 2021/22</v>
          </cell>
          <cell r="C22" t="str">
            <v>Forecast 2022/23</v>
          </cell>
          <cell r="D22" t="str">
            <v>Forecast 2023/24</v>
          </cell>
          <cell r="E22" t="str">
            <v>Forecast 2024/25</v>
          </cell>
          <cell r="F22" t="str">
            <v>Forecast 2025/26</v>
          </cell>
          <cell r="G22" t="str">
            <v>Forecast 2026/27</v>
          </cell>
          <cell r="H22" t="str">
            <v>Forecast 2027/28</v>
          </cell>
          <cell r="I22" t="str">
            <v>Forecast 2028/29</v>
          </cell>
          <cell r="J22" t="str">
            <v>Forecast 2029/30</v>
          </cell>
          <cell r="K22" t="str">
            <v>Forecast 2030/31</v>
          </cell>
          <cell r="L22" t="str">
            <v>Forecast 2031/32</v>
          </cell>
          <cell r="M22" t="str">
            <v>Forecast 2032/33</v>
          </cell>
          <cell r="N22" t="str">
            <v>Forecast 2033/34</v>
          </cell>
          <cell r="O22" t="str">
            <v>Forecast 2034/35</v>
          </cell>
        </row>
        <row r="23">
          <cell r="A23" t="str">
            <v>Adjustments Budget</v>
          </cell>
          <cell r="B23" t="str">
            <v>Annual target 2007/08</v>
          </cell>
          <cell r="C23" t="str">
            <v>Annual target 2008/09</v>
          </cell>
          <cell r="D23" t="str">
            <v>Annual target 2009/10</v>
          </cell>
          <cell r="E23" t="str">
            <v>Annual target 2010/11</v>
          </cell>
          <cell r="F23" t="str">
            <v>Annual target 2011/12</v>
          </cell>
          <cell r="G23" t="str">
            <v>Annual target 2012/13</v>
          </cell>
          <cell r="H23" t="str">
            <v>Annual target 2013/14</v>
          </cell>
          <cell r="I23" t="str">
            <v>Annual target 2014/15</v>
          </cell>
          <cell r="J23" t="str">
            <v>Annual target 2015/16</v>
          </cell>
          <cell r="K23" t="str">
            <v>Annual target 2016/17</v>
          </cell>
          <cell r="L23" t="str">
            <v>Annual target 2017/18</v>
          </cell>
          <cell r="M23" t="str">
            <v>Annual target 2018/19</v>
          </cell>
          <cell r="N23" t="str">
            <v>Annual target 2019/20</v>
          </cell>
          <cell r="O23" t="str">
            <v>Annual target 2020/21</v>
          </cell>
        </row>
        <row r="24">
          <cell r="A24" t="str">
            <v>Adjustments Budget</v>
          </cell>
          <cell r="B24" t="str">
            <v>Revised target 2007/08</v>
          </cell>
          <cell r="C24" t="str">
            <v>Revised target 2008/09</v>
          </cell>
          <cell r="D24" t="str">
            <v>Revised target 2009/10</v>
          </cell>
          <cell r="E24" t="str">
            <v>Revised target 2010/11</v>
          </cell>
          <cell r="F24" t="str">
            <v>Revised target 2011/12</v>
          </cell>
          <cell r="G24" t="str">
            <v>Revised target 2012/13</v>
          </cell>
          <cell r="H24" t="str">
            <v>Revised target 2013/14</v>
          </cell>
          <cell r="I24" t="str">
            <v>Revised target 2014/15</v>
          </cell>
          <cell r="J24" t="str">
            <v>Revised target 2015/16</v>
          </cell>
          <cell r="K24" t="str">
            <v>Revised target 2016/17</v>
          </cell>
          <cell r="L24" t="str">
            <v>Revised target 2017/18</v>
          </cell>
          <cell r="M24" t="str">
            <v>Revised target 2018/19</v>
          </cell>
          <cell r="N24" t="str">
            <v>Revised target 2019/20</v>
          </cell>
          <cell r="O24" t="str">
            <v>Revised target 2020/21</v>
          </cell>
        </row>
      </sheetData>
      <sheetData sheetId="4" refreshError="1">
        <row r="2">
          <cell r="A2" t="str">
            <v>Vote1 - Example 1</v>
          </cell>
        </row>
        <row r="3">
          <cell r="A3" t="str">
            <v>Vote2 - Example 2</v>
          </cell>
          <cell r="B3" t="str">
            <v>Subvote example 0</v>
          </cell>
        </row>
        <row r="4">
          <cell r="A4" t="str">
            <v>Vote3 - Example 3</v>
          </cell>
          <cell r="B4" t="str">
            <v>Subvote example 1</v>
          </cell>
        </row>
        <row r="5">
          <cell r="A5" t="str">
            <v>Vote4 - Example 4</v>
          </cell>
          <cell r="B5" t="str">
            <v>Subvote example 1</v>
          </cell>
        </row>
        <row r="6">
          <cell r="A6" t="str">
            <v>Vote5 - Example 5</v>
          </cell>
          <cell r="B6" t="str">
            <v>Subvote example 1</v>
          </cell>
        </row>
        <row r="7">
          <cell r="A7" t="str">
            <v>Vote6 - Example 6</v>
          </cell>
          <cell r="B7" t="str">
            <v>Subvote example 1</v>
          </cell>
        </row>
        <row r="8">
          <cell r="A8" t="str">
            <v>Vote7 - Example 7</v>
          </cell>
          <cell r="B8" t="str">
            <v>Subvote example 1</v>
          </cell>
        </row>
        <row r="9">
          <cell r="A9" t="str">
            <v>Vote8 - Example 8</v>
          </cell>
          <cell r="B9" t="str">
            <v>Subvote example 1</v>
          </cell>
        </row>
        <row r="10">
          <cell r="A10" t="str">
            <v>Vote9 - Example 9</v>
          </cell>
          <cell r="B10" t="str">
            <v>Subvote example 1</v>
          </cell>
        </row>
        <row r="11">
          <cell r="A11" t="str">
            <v>Vote10 - Example 10</v>
          </cell>
          <cell r="B11" t="str">
            <v>Subvote example 1</v>
          </cell>
        </row>
        <row r="12">
          <cell r="A12" t="str">
            <v>Vote11 - Example 11</v>
          </cell>
          <cell r="B12" t="str">
            <v>Subvote example 1</v>
          </cell>
        </row>
        <row r="13">
          <cell r="A13" t="str">
            <v>Vote12 - Example 12</v>
          </cell>
        </row>
        <row r="14">
          <cell r="A14" t="str">
            <v>Vote13 - Example 13</v>
          </cell>
          <cell r="B14" t="str">
            <v>Subvote example 2</v>
          </cell>
        </row>
        <row r="15">
          <cell r="A15" t="str">
            <v>Vote14 - Example 14</v>
          </cell>
          <cell r="B15" t="str">
            <v>Subvote example 2</v>
          </cell>
        </row>
        <row r="16">
          <cell r="A16" t="str">
            <v>Vote15 - Example 15</v>
          </cell>
          <cell r="B16" t="str">
            <v>Subvote example 2</v>
          </cell>
        </row>
        <row r="17">
          <cell r="B17" t="str">
            <v>Subvote example 2</v>
          </cell>
        </row>
        <row r="18">
          <cell r="B18" t="str">
            <v>Subvote example 2</v>
          </cell>
        </row>
        <row r="19">
          <cell r="B19" t="str">
            <v>Subvote example 2</v>
          </cell>
        </row>
        <row r="20">
          <cell r="B20" t="str">
            <v>Subvote example 2</v>
          </cell>
        </row>
        <row r="21">
          <cell r="B21" t="str">
            <v>Subvote example 2</v>
          </cell>
        </row>
        <row r="22">
          <cell r="B22" t="str">
            <v>Subvote example 2</v>
          </cell>
        </row>
        <row r="23">
          <cell r="B23" t="str">
            <v>Subvote example 2</v>
          </cell>
        </row>
        <row r="25">
          <cell r="B25" t="str">
            <v>Subvote example 3</v>
          </cell>
        </row>
        <row r="26">
          <cell r="B26" t="str">
            <v>Subvote example 3</v>
          </cell>
        </row>
        <row r="27">
          <cell r="B27" t="str">
            <v>Subvote example 3</v>
          </cell>
        </row>
        <row r="28">
          <cell r="B28" t="str">
            <v>Subvote example 3</v>
          </cell>
        </row>
        <row r="29">
          <cell r="B29" t="str">
            <v>Subvote example 3</v>
          </cell>
        </row>
        <row r="30">
          <cell r="B30" t="str">
            <v>Subvote example 3</v>
          </cell>
        </row>
        <row r="31">
          <cell r="B31" t="str">
            <v>Subvote example 3</v>
          </cell>
        </row>
        <row r="32">
          <cell r="B32" t="str">
            <v>Subvote example 3</v>
          </cell>
        </row>
        <row r="33">
          <cell r="B33" t="str">
            <v>Subvote example 3</v>
          </cell>
        </row>
        <row r="34">
          <cell r="B34" t="str">
            <v>Subvote example 3</v>
          </cell>
        </row>
        <row r="36">
          <cell r="B36" t="str">
            <v>Subvote example 4</v>
          </cell>
        </row>
        <row r="37">
          <cell r="B37" t="str">
            <v>Subvote example 4</v>
          </cell>
        </row>
        <row r="38">
          <cell r="B38" t="str">
            <v>Subvote example 4</v>
          </cell>
        </row>
        <row r="39">
          <cell r="B39" t="str">
            <v>Subvote example 4</v>
          </cell>
        </row>
        <row r="40">
          <cell r="B40" t="str">
            <v>Subvote example 4</v>
          </cell>
        </row>
        <row r="41">
          <cell r="B41" t="str">
            <v>Subvote example 4</v>
          </cell>
        </row>
        <row r="42">
          <cell r="B42" t="str">
            <v>Subvote example 4</v>
          </cell>
        </row>
        <row r="43">
          <cell r="B43" t="str">
            <v>Subvote example 4</v>
          </cell>
        </row>
        <row r="44">
          <cell r="B44" t="str">
            <v>Subvote example 4</v>
          </cell>
        </row>
        <row r="45">
          <cell r="B45" t="str">
            <v>Subvote example 4</v>
          </cell>
        </row>
        <row r="47">
          <cell r="B47" t="str">
            <v>Subvote example 5</v>
          </cell>
        </row>
        <row r="48">
          <cell r="B48" t="str">
            <v>Subvote example 5</v>
          </cell>
        </row>
        <row r="49">
          <cell r="B49" t="str">
            <v>Subvote example 5</v>
          </cell>
        </row>
        <row r="50">
          <cell r="B50" t="str">
            <v>Subvote example 5</v>
          </cell>
        </row>
        <row r="51">
          <cell r="B51" t="str">
            <v>Subvote example 5</v>
          </cell>
        </row>
        <row r="52">
          <cell r="B52" t="str">
            <v>Subvote example 5</v>
          </cell>
        </row>
        <row r="53">
          <cell r="B53" t="str">
            <v>Subvote example 5</v>
          </cell>
        </row>
        <row r="54">
          <cell r="B54" t="str">
            <v>Subvote example 5</v>
          </cell>
        </row>
        <row r="55">
          <cell r="B55" t="str">
            <v>Subvote example 5</v>
          </cell>
        </row>
        <row r="56">
          <cell r="B56" t="str">
            <v>Subvote example 5</v>
          </cell>
        </row>
        <row r="58">
          <cell r="B58" t="str">
            <v>Subvote example 6</v>
          </cell>
        </row>
        <row r="59">
          <cell r="B59" t="str">
            <v>Subvote example 6</v>
          </cell>
        </row>
        <row r="60">
          <cell r="B60" t="str">
            <v>Subvote example 6</v>
          </cell>
        </row>
        <row r="61">
          <cell r="B61" t="str">
            <v>Subvote example 6</v>
          </cell>
        </row>
        <row r="62">
          <cell r="B62" t="str">
            <v>Subvote example 6</v>
          </cell>
        </row>
        <row r="63">
          <cell r="B63" t="str">
            <v>Subvote example 6</v>
          </cell>
        </row>
        <row r="64">
          <cell r="B64" t="str">
            <v>Subvote example 6</v>
          </cell>
        </row>
        <row r="65">
          <cell r="B65" t="str">
            <v>Subvote example 6</v>
          </cell>
        </row>
        <row r="66">
          <cell r="B66" t="str">
            <v>Subvote example 6</v>
          </cell>
        </row>
        <row r="67">
          <cell r="B67" t="str">
            <v>Subvote example 6</v>
          </cell>
        </row>
        <row r="69">
          <cell r="B69" t="str">
            <v>Subvote example 7</v>
          </cell>
        </row>
        <row r="70">
          <cell r="B70" t="str">
            <v>Subvote example 7</v>
          </cell>
        </row>
        <row r="71">
          <cell r="B71" t="str">
            <v>Subvote example 7</v>
          </cell>
        </row>
        <row r="72">
          <cell r="B72" t="str">
            <v>Subvote example 7</v>
          </cell>
        </row>
        <row r="73">
          <cell r="B73" t="str">
            <v>Subvote example 7</v>
          </cell>
        </row>
        <row r="74">
          <cell r="B74" t="str">
            <v>Subvote example 7</v>
          </cell>
        </row>
        <row r="75">
          <cell r="B75" t="str">
            <v>Subvote example 7</v>
          </cell>
        </row>
        <row r="76">
          <cell r="B76" t="str">
            <v>Subvote example 7</v>
          </cell>
        </row>
        <row r="77">
          <cell r="B77" t="str">
            <v>Subvote example 7</v>
          </cell>
        </row>
        <row r="78">
          <cell r="B78" t="str">
            <v>Subvote example 7</v>
          </cell>
        </row>
        <row r="80">
          <cell r="B80" t="str">
            <v>Subvote example 8</v>
          </cell>
        </row>
        <row r="81">
          <cell r="B81" t="str">
            <v>Subvote example 8</v>
          </cell>
        </row>
        <row r="82">
          <cell r="B82" t="str">
            <v>Subvote example 8</v>
          </cell>
        </row>
        <row r="83">
          <cell r="B83" t="str">
            <v>Subvote example 8</v>
          </cell>
        </row>
        <row r="84">
          <cell r="B84" t="str">
            <v>Subvote example 8</v>
          </cell>
        </row>
        <row r="85">
          <cell r="B85" t="str">
            <v>Subvote example 8</v>
          </cell>
        </row>
        <row r="86">
          <cell r="B86" t="str">
            <v>Subvote example 8</v>
          </cell>
        </row>
        <row r="87">
          <cell r="B87" t="str">
            <v>Subvote example 8</v>
          </cell>
        </row>
        <row r="88">
          <cell r="B88" t="str">
            <v>Subvote example 8</v>
          </cell>
        </row>
        <row r="89">
          <cell r="B89" t="str">
            <v>Subvote example 8</v>
          </cell>
        </row>
        <row r="90">
          <cell r="B90" t="str">
            <v>Subvote example 8</v>
          </cell>
        </row>
        <row r="92">
          <cell r="B92" t="str">
            <v>Subvote example 9</v>
          </cell>
        </row>
        <row r="93">
          <cell r="B93" t="str">
            <v>Subvote example 9</v>
          </cell>
        </row>
        <row r="94">
          <cell r="B94" t="str">
            <v>Subvote example 9</v>
          </cell>
        </row>
        <row r="95">
          <cell r="B95" t="str">
            <v>Subvote example 9</v>
          </cell>
        </row>
        <row r="96">
          <cell r="B96" t="str">
            <v>Subvote example 9</v>
          </cell>
        </row>
        <row r="97">
          <cell r="B97" t="str">
            <v>Subvote example 9</v>
          </cell>
        </row>
        <row r="98">
          <cell r="B98" t="str">
            <v>Subvote example 9</v>
          </cell>
        </row>
        <row r="99">
          <cell r="B99" t="str">
            <v>Subvote example 9</v>
          </cell>
        </row>
        <row r="100">
          <cell r="B100" t="str">
            <v>Subvote example 9</v>
          </cell>
        </row>
        <row r="101">
          <cell r="B101" t="str">
            <v>Subvote example 9</v>
          </cell>
        </row>
        <row r="103">
          <cell r="B103" t="str">
            <v>Subvote example 10</v>
          </cell>
        </row>
        <row r="104">
          <cell r="B104" t="str">
            <v>Subvote example 10</v>
          </cell>
        </row>
        <row r="105">
          <cell r="B105" t="str">
            <v>Subvote example 10</v>
          </cell>
        </row>
        <row r="106">
          <cell r="B106" t="str">
            <v>Subvote example 10</v>
          </cell>
        </row>
        <row r="107">
          <cell r="B107" t="str">
            <v>Subvote example 10</v>
          </cell>
        </row>
        <row r="108">
          <cell r="B108" t="str">
            <v>Subvote example 10</v>
          </cell>
        </row>
        <row r="109">
          <cell r="B109" t="str">
            <v>Subvote example 10</v>
          </cell>
        </row>
        <row r="110">
          <cell r="B110" t="str">
            <v>Subvote example 10</v>
          </cell>
        </row>
        <row r="111">
          <cell r="B111" t="str">
            <v>Subvote example 10</v>
          </cell>
        </row>
        <row r="112">
          <cell r="B112" t="str">
            <v>Subvote example 10</v>
          </cell>
        </row>
        <row r="114">
          <cell r="B114" t="str">
            <v>Subvote example 11</v>
          </cell>
        </row>
        <row r="115">
          <cell r="B115" t="str">
            <v>Subvote example 11</v>
          </cell>
        </row>
        <row r="116">
          <cell r="B116" t="str">
            <v>Subvote example 11</v>
          </cell>
        </row>
        <row r="117">
          <cell r="B117" t="str">
            <v>Subvote example 11</v>
          </cell>
        </row>
        <row r="118">
          <cell r="B118" t="str">
            <v>Subvote example 11</v>
          </cell>
        </row>
        <row r="119">
          <cell r="B119" t="str">
            <v>Subvote example 11</v>
          </cell>
        </row>
        <row r="120">
          <cell r="B120" t="str">
            <v>Subvote example 11</v>
          </cell>
        </row>
        <row r="121">
          <cell r="B121" t="str">
            <v>Subvote example 11</v>
          </cell>
        </row>
        <row r="122">
          <cell r="B122" t="str">
            <v>Subvote example 11</v>
          </cell>
        </row>
        <row r="123">
          <cell r="B123" t="str">
            <v>Subvote example 11</v>
          </cell>
        </row>
        <row r="125">
          <cell r="B125" t="str">
            <v>Subvote example 12</v>
          </cell>
        </row>
        <row r="126">
          <cell r="B126" t="str">
            <v>Subvote example 12</v>
          </cell>
        </row>
        <row r="127">
          <cell r="B127" t="str">
            <v>Subvote example 12</v>
          </cell>
        </row>
        <row r="128">
          <cell r="B128" t="str">
            <v>Subvote example 12</v>
          </cell>
        </row>
        <row r="129">
          <cell r="B129" t="str">
            <v>Subvote example 12</v>
          </cell>
        </row>
        <row r="130">
          <cell r="B130" t="str">
            <v>Subvote example 12</v>
          </cell>
        </row>
        <row r="131">
          <cell r="B131" t="str">
            <v>Subvote example 12</v>
          </cell>
        </row>
        <row r="132">
          <cell r="B132" t="str">
            <v>Subvote example 12</v>
          </cell>
        </row>
        <row r="133">
          <cell r="B133" t="str">
            <v>Subvote example 12</v>
          </cell>
        </row>
        <row r="134">
          <cell r="B134" t="str">
            <v>Subvote example 12</v>
          </cell>
        </row>
        <row r="136">
          <cell r="B136" t="str">
            <v>Subvote example 13</v>
          </cell>
        </row>
        <row r="137">
          <cell r="B137" t="str">
            <v>Subvote example 13</v>
          </cell>
        </row>
        <row r="138">
          <cell r="B138" t="str">
            <v>Subvote example 13</v>
          </cell>
        </row>
        <row r="139">
          <cell r="B139" t="str">
            <v>Subvote example 13</v>
          </cell>
        </row>
        <row r="140">
          <cell r="B140" t="str">
            <v>Subvote example 13</v>
          </cell>
        </row>
        <row r="141">
          <cell r="B141" t="str">
            <v>Subvote example 13</v>
          </cell>
        </row>
        <row r="142">
          <cell r="B142" t="str">
            <v>Subvote example 13</v>
          </cell>
        </row>
        <row r="143">
          <cell r="B143" t="str">
            <v>Subvote example 13</v>
          </cell>
        </row>
        <row r="144">
          <cell r="B144" t="str">
            <v>Subvote example 13</v>
          </cell>
        </row>
        <row r="145">
          <cell r="B145" t="str">
            <v>Subvote example 13</v>
          </cell>
        </row>
        <row r="147">
          <cell r="B147" t="str">
            <v>Subvote example 14</v>
          </cell>
        </row>
        <row r="148">
          <cell r="B148" t="str">
            <v>Subvote example 14</v>
          </cell>
        </row>
        <row r="149">
          <cell r="B149" t="str">
            <v>Subvote example 14</v>
          </cell>
        </row>
        <row r="150">
          <cell r="B150" t="str">
            <v>Subvote example 14</v>
          </cell>
        </row>
        <row r="151">
          <cell r="B151" t="str">
            <v>Subvote example 14</v>
          </cell>
        </row>
        <row r="152">
          <cell r="B152" t="str">
            <v>Subvote example 14</v>
          </cell>
        </row>
        <row r="153">
          <cell r="B153" t="str">
            <v>Subvote example 14</v>
          </cell>
        </row>
        <row r="154">
          <cell r="B154" t="str">
            <v>Subvote example 14</v>
          </cell>
        </row>
        <row r="155">
          <cell r="B155" t="str">
            <v>Subvote example 14</v>
          </cell>
        </row>
        <row r="156">
          <cell r="B156" t="str">
            <v>Subvote example 14</v>
          </cell>
        </row>
        <row r="158">
          <cell r="B158" t="str">
            <v>Subvote example 15</v>
          </cell>
        </row>
        <row r="159">
          <cell r="B159" t="str">
            <v>Subvote example 15</v>
          </cell>
        </row>
        <row r="160">
          <cell r="B160" t="str">
            <v>Subvote example 15</v>
          </cell>
        </row>
        <row r="161">
          <cell r="B161" t="str">
            <v>Subvote example 15</v>
          </cell>
        </row>
        <row r="162">
          <cell r="B162" t="str">
            <v>Subvote example 15</v>
          </cell>
        </row>
        <row r="163">
          <cell r="B163" t="str">
            <v>Subvote example 15</v>
          </cell>
        </row>
        <row r="164">
          <cell r="B164" t="str">
            <v>Subvote example 15</v>
          </cell>
        </row>
        <row r="165">
          <cell r="B165" t="str">
            <v>Subvote example 15</v>
          </cell>
        </row>
        <row r="166">
          <cell r="B166" t="str">
            <v>Subvote example 15</v>
          </cell>
        </row>
        <row r="167">
          <cell r="B167" t="str">
            <v>Subvote example 15</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row r="77">
          <cell r="L77">
            <v>3.05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ontacts"/>
      <sheetName val="A1-Sum"/>
      <sheetName val="A2-FinPerf SC"/>
      <sheetName val="A2A"/>
      <sheetName val="A3-FinPerf V"/>
      <sheetName val="A3A"/>
      <sheetName val="A4-FinPerf RE"/>
      <sheetName val="A5-Capex"/>
      <sheetName val="A5A"/>
      <sheetName val="A6-FinPos"/>
      <sheetName val="A7-CFlow"/>
      <sheetName val="A8-ResRecon"/>
      <sheetName val="A9-Asset"/>
      <sheetName val="A10-SerDel"/>
      <sheetName val="SA1"/>
      <sheetName val="SA2"/>
      <sheetName val="SA3"/>
      <sheetName val="SA4"/>
      <sheetName val="SA5"/>
      <sheetName val="SA6"/>
      <sheetName val="SA7"/>
      <sheetName val="SA8"/>
      <sheetName val="SA9"/>
      <sheetName val="SA10"/>
      <sheetName val="SA11"/>
      <sheetName val="SA12a"/>
      <sheetName val="SA12b"/>
      <sheetName val="SA13"/>
      <sheetName val="SA14"/>
      <sheetName val="SA15"/>
      <sheetName val="SA16"/>
      <sheetName val="SA17"/>
      <sheetName val="SA18"/>
      <sheetName val="SA19"/>
      <sheetName val="SA20"/>
      <sheetName val="SA21"/>
      <sheetName val="SA22"/>
      <sheetName val="SA23"/>
      <sheetName val="SA24"/>
      <sheetName val="SA25"/>
      <sheetName val="SA26"/>
      <sheetName val="SA27"/>
      <sheetName val="SA28"/>
      <sheetName val="SA29"/>
      <sheetName val="SA30"/>
      <sheetName val="SA31"/>
      <sheetName val="SA32"/>
      <sheetName val="SA33"/>
      <sheetName val="SA34a"/>
      <sheetName val="SA34b"/>
      <sheetName val="SA34c"/>
      <sheetName val="SA34d"/>
      <sheetName val="SA35"/>
      <sheetName val="SA36"/>
      <sheetName val="SA37"/>
      <sheetName val="NERF"/>
      <sheetName val="MSCOA"/>
      <sheetName val="Compliance assessment"/>
    </sheetNames>
    <sheetDataSet>
      <sheetData sheetId="0"/>
      <sheetData sheetId="1">
        <row r="34">
          <cell r="X34">
            <v>2012</v>
          </cell>
        </row>
        <row r="36">
          <cell r="X36" t="str">
            <v>2012/13</v>
          </cell>
        </row>
      </sheetData>
      <sheetData sheetId="2">
        <row r="2">
          <cell r="B2" t="str">
            <v>2010/11</v>
          </cell>
        </row>
        <row r="3">
          <cell r="B3" t="str">
            <v>2009/10</v>
          </cell>
        </row>
        <row r="4">
          <cell r="B4" t="str">
            <v>2008/9</v>
          </cell>
        </row>
        <row r="5">
          <cell r="B5" t="str">
            <v>Current Year 2011/12</v>
          </cell>
        </row>
        <row r="7">
          <cell r="B7" t="str">
            <v>2012/13 Medium Term Revenue &amp; Expenditure Framework</v>
          </cell>
        </row>
        <row r="8">
          <cell r="B8" t="str">
            <v>LTFS</v>
          </cell>
        </row>
        <row r="9">
          <cell r="B9" t="str">
            <v>Audited Outcome</v>
          </cell>
        </row>
        <row r="10">
          <cell r="B10" t="str">
            <v>Outcome</v>
          </cell>
        </row>
        <row r="11">
          <cell r="B11" t="str">
            <v>Pre-audit outcome</v>
          </cell>
        </row>
        <row r="12">
          <cell r="B12" t="str">
            <v>Original Budget</v>
          </cell>
        </row>
        <row r="13">
          <cell r="B13" t="str">
            <v>Adjusted Budget</v>
          </cell>
        </row>
        <row r="14">
          <cell r="B14" t="str">
            <v>Full Year Forecast</v>
          </cell>
        </row>
        <row r="15">
          <cell r="B15" t="str">
            <v>Budget Year 2012/13</v>
          </cell>
        </row>
        <row r="16">
          <cell r="B16" t="str">
            <v>Budget Year +1 2013/14</v>
          </cell>
        </row>
        <row r="17">
          <cell r="B17" t="str">
            <v>Budget Year +2 2014/15</v>
          </cell>
        </row>
        <row r="18">
          <cell r="B18" t="str">
            <v>Forecast 2015/16</v>
          </cell>
        </row>
        <row r="19">
          <cell r="B19" t="str">
            <v>Forecast 2016/17</v>
          </cell>
        </row>
        <row r="20">
          <cell r="B20" t="str">
            <v>Forecast 2017/18</v>
          </cell>
        </row>
        <row r="21">
          <cell r="B21" t="str">
            <v>Forecast 2018/19</v>
          </cell>
        </row>
        <row r="22">
          <cell r="B22" t="str">
            <v>Forecast 2019/20</v>
          </cell>
        </row>
        <row r="23">
          <cell r="B23" t="str">
            <v>Forecast 2020/21</v>
          </cell>
        </row>
        <row r="24">
          <cell r="B24" t="str">
            <v>Forecast 2021/22</v>
          </cell>
        </row>
        <row r="25">
          <cell r="B25" t="str">
            <v>Forecast 2022/23</v>
          </cell>
        </row>
        <row r="26">
          <cell r="B26" t="str">
            <v>Forecast 2023/24</v>
          </cell>
        </row>
        <row r="27">
          <cell r="B27" t="str">
            <v>Forecast 2024/25</v>
          </cell>
        </row>
        <row r="28">
          <cell r="B28" t="str">
            <v>Forecast 2025/26</v>
          </cell>
        </row>
        <row r="29">
          <cell r="B29" t="str">
            <v>Forecast 2026/27</v>
          </cell>
        </row>
        <row r="30">
          <cell r="B30" t="str">
            <v>Description</v>
          </cell>
        </row>
        <row r="32">
          <cell r="B32" t="str">
            <v>Vote Description</v>
          </cell>
        </row>
        <row r="33">
          <cell r="B33" t="str">
            <v>Ref</v>
          </cell>
        </row>
        <row r="34">
          <cell r="B34" t="str">
            <v>References</v>
          </cell>
        </row>
        <row r="35">
          <cell r="B35" t="str">
            <v>Surplus/(Deficit) for the year</v>
          </cell>
        </row>
        <row r="51">
          <cell r="B51" t="str">
            <v>1996 Census</v>
          </cell>
        </row>
        <row r="52">
          <cell r="B52" t="str">
            <v>2001 Census</v>
          </cell>
        </row>
        <row r="54">
          <cell r="B54" t="str">
            <v>Previous target year to complete</v>
          </cell>
        </row>
        <row r="55">
          <cell r="B55" t="str">
            <v>Present value</v>
          </cell>
        </row>
        <row r="65">
          <cell r="B65" t="str">
            <v>Forecast Financial Performance</v>
          </cell>
        </row>
        <row r="93">
          <cell r="B93" t="str">
            <v>Choose name from list</v>
          </cell>
        </row>
        <row r="94">
          <cell r="B94">
            <v>1</v>
          </cell>
          <cell r="D94">
            <v>1</v>
          </cell>
        </row>
        <row r="95">
          <cell r="A95" t="str">
            <v>NO</v>
          </cell>
        </row>
        <row r="100">
          <cell r="B100" t="str">
            <v>Table A1 Budget Summary</v>
          </cell>
        </row>
        <row r="101">
          <cell r="B101" t="str">
            <v>Table A2 Budgeted Financial Performance (revenue and expenditure by standard classification)</v>
          </cell>
        </row>
        <row r="102">
          <cell r="B102" t="str">
            <v>Table A3 Budgeted Financial Performance (revenue and expenditure by municipal vote)</v>
          </cell>
        </row>
        <row r="103">
          <cell r="B103" t="str">
            <v>Table A4 Budgeted Financial Performance (revenue and expenditure)</v>
          </cell>
        </row>
        <row r="104">
          <cell r="B104" t="str">
            <v>Table A5 Budgeted Capital Expenditure by vote, standard classification and funding</v>
          </cell>
        </row>
        <row r="105">
          <cell r="B105" t="str">
            <v>Table A6 Budgeted Financial Position</v>
          </cell>
        </row>
        <row r="106">
          <cell r="B106" t="str">
            <v>Table A7 Budgeted Cash Flows</v>
          </cell>
        </row>
        <row r="107">
          <cell r="B107" t="str">
            <v>Table A8 Cash backed reserves/accumulated surplus reconciliation</v>
          </cell>
        </row>
        <row r="108">
          <cell r="B108" t="str">
            <v>Table A9 Asset Management</v>
          </cell>
        </row>
        <row r="109">
          <cell r="B109" t="str">
            <v>Table A10 Basic service delivery measurement</v>
          </cell>
        </row>
        <row r="111">
          <cell r="B111" t="str">
            <v>Supporting Table SA1 Supportinging detail to 'Budgeted Financial Performance'</v>
          </cell>
        </row>
        <row r="112">
          <cell r="B112" t="str">
            <v>Supporting Table SA2 Matrix Financial Performance Budget (revenue source/expenditure type and dept.)</v>
          </cell>
        </row>
        <row r="113">
          <cell r="B113" t="str">
            <v>Supporting Table SA3 Supportinging detail to 'Budgeted Financial Position'</v>
          </cell>
        </row>
        <row r="114">
          <cell r="B114" t="str">
            <v>Supporting Table SA4 Reconciliation of IDP strategic objectives and budget (revenue)</v>
          </cell>
        </row>
        <row r="115">
          <cell r="B115" t="str">
            <v>Supporting Table SA5 Reconciliation of IDP strategic objectives and budget (operating expenditure)</v>
          </cell>
        </row>
        <row r="116">
          <cell r="B116" t="str">
            <v>Supporting Table SA6 Reconciliation of IDP strategic objectives and budget (capital expenditure)</v>
          </cell>
        </row>
        <row r="117">
          <cell r="B117" t="str">
            <v>Supporting Table SA7 Measureable performance objectives</v>
          </cell>
        </row>
        <row r="118">
          <cell r="B118" t="str">
            <v>Supporting Table SA8 Performance indicators and benchmarks</v>
          </cell>
        </row>
        <row r="119">
          <cell r="B119" t="str">
            <v>Supporting Table SA9 Social, economic and demographic statistics and assumptions</v>
          </cell>
        </row>
        <row r="120">
          <cell r="B120" t="str">
            <v>Supporting Table SA10 Funding measurement</v>
          </cell>
        </row>
        <row r="121">
          <cell r="B121" t="str">
            <v>Supporting Table SA11 Property rates summary</v>
          </cell>
        </row>
        <row r="122">
          <cell r="B122" t="str">
            <v>Supporting Table SA12a Property rates by category (current year)</v>
          </cell>
        </row>
        <row r="123">
          <cell r="B123" t="str">
            <v>Supporting Table SA12b Property rates by category (budget year)</v>
          </cell>
        </row>
        <row r="124">
          <cell r="B124" t="str">
            <v>Supporting Table SA13 Service Tariffs by category</v>
          </cell>
        </row>
        <row r="125">
          <cell r="B125" t="str">
            <v>Supporting Table SA14 Household bills</v>
          </cell>
        </row>
        <row r="126">
          <cell r="B126" t="str">
            <v>Supporting Table SA15 Investment particulars by type</v>
          </cell>
        </row>
        <row r="127">
          <cell r="B127" t="str">
            <v>Supporting Table SA16 Investment particulars by maturity</v>
          </cell>
        </row>
        <row r="128">
          <cell r="B128" t="str">
            <v>Supporting Table SA17 Borrowing</v>
          </cell>
        </row>
        <row r="129">
          <cell r="B129" t="str">
            <v>Supporting Table SA18 Transfers and grant receipts</v>
          </cell>
        </row>
        <row r="130">
          <cell r="B130" t="str">
            <v>Supporting Table SA19 Expenditure on transfers and grant programme</v>
          </cell>
        </row>
        <row r="131">
          <cell r="B131" t="str">
            <v>Supporting Table SA20 Reconciliation of transfers, grant receipts and unspent funds</v>
          </cell>
        </row>
        <row r="132">
          <cell r="B132" t="str">
            <v>Supporting Table SA21 Transfers and grants made by the municipality</v>
          </cell>
        </row>
        <row r="133">
          <cell r="B133" t="str">
            <v>Supporting Table SA22 Summary councillor and staff benefits</v>
          </cell>
        </row>
        <row r="134">
          <cell r="B134" t="str">
            <v>Supporting Table SA23 Salaries, allowances &amp; benefits (political office bearers/councillors/senior managers)</v>
          </cell>
        </row>
        <row r="135">
          <cell r="B135" t="str">
            <v>Supporting Table SA24 Summary of personnel numbers</v>
          </cell>
        </row>
        <row r="136">
          <cell r="B136" t="str">
            <v>Supporting Table SA25 Budgeted monthly revenue and expenditure</v>
          </cell>
        </row>
        <row r="137">
          <cell r="B137" t="str">
            <v>Supporting Table SA26 Budgeted monthly revenue and expenditure (municipal vote)</v>
          </cell>
        </row>
        <row r="138">
          <cell r="B138" t="str">
            <v>Supporting Table SA27 Budgeted monthly revenue and expenditure (standard classification)</v>
          </cell>
        </row>
        <row r="139">
          <cell r="B139" t="str">
            <v>Supporting Table SA28 Budgeted monthly capital expenditure (municipal vote)</v>
          </cell>
        </row>
        <row r="140">
          <cell r="B140" t="str">
            <v>Supporting Table SA29 Budgeted monthly capital expenditure (standard classification)</v>
          </cell>
        </row>
        <row r="141">
          <cell r="B141" t="str">
            <v>Supporting Table SA30 Budgeted monthly cash flow</v>
          </cell>
        </row>
        <row r="142">
          <cell r="B142" t="str">
            <v>NOT REQUIRED - municipality does not have entities</v>
          </cell>
        </row>
        <row r="143">
          <cell r="B143" t="str">
            <v>Supporting Table SA32 List of external mechanisms</v>
          </cell>
        </row>
        <row r="144">
          <cell r="B144" t="str">
            <v>Supporting Table SA33 Contracts having future budgetary implications</v>
          </cell>
        </row>
        <row r="145">
          <cell r="B145" t="str">
            <v>Supporting Table SA34a Capital expenditure on new assets by asset class</v>
          </cell>
        </row>
        <row r="146">
          <cell r="B146" t="str">
            <v>Supporting Table SA34b Capital expenditure on the renewal of existing assets by asset class</v>
          </cell>
        </row>
        <row r="147">
          <cell r="B147" t="str">
            <v>Supporting Table SA34c Repairs and maintenance expenditure by asset class</v>
          </cell>
        </row>
        <row r="148">
          <cell r="B148" t="str">
            <v>Supporting Table SA34d Depreciation by asset class</v>
          </cell>
        </row>
        <row r="149">
          <cell r="B149" t="str">
            <v>Supporting Table SA35 Future financial implications of the capital budget</v>
          </cell>
        </row>
        <row r="150">
          <cell r="B150" t="str">
            <v>Supporting Table SA36 Detailed capital budget</v>
          </cell>
        </row>
        <row r="151">
          <cell r="B151" t="str">
            <v>Supporting Table SA37 Projects delayed from previous financial year/s</v>
          </cell>
        </row>
      </sheetData>
      <sheetData sheetId="3">
        <row r="1">
          <cell r="A1" t="str">
            <v>Description</v>
          </cell>
          <cell r="B1">
            <v>2007</v>
          </cell>
          <cell r="C1">
            <v>2008</v>
          </cell>
          <cell r="D1">
            <v>2009</v>
          </cell>
          <cell r="E1">
            <v>2010</v>
          </cell>
          <cell r="F1">
            <v>2011</v>
          </cell>
          <cell r="G1">
            <v>2012</v>
          </cell>
          <cell r="H1">
            <v>2013</v>
          </cell>
          <cell r="I1">
            <v>2014</v>
          </cell>
          <cell r="J1">
            <v>2015</v>
          </cell>
          <cell r="K1">
            <v>2016</v>
          </cell>
          <cell r="L1">
            <v>2017</v>
          </cell>
          <cell r="M1">
            <v>2018</v>
          </cell>
          <cell r="N1">
            <v>2019</v>
          </cell>
          <cell r="O1">
            <v>2020</v>
          </cell>
        </row>
        <row r="2">
          <cell r="A2" t="str">
            <v>Prior year -1</v>
          </cell>
          <cell r="B2" t="str">
            <v>2005/06</v>
          </cell>
          <cell r="C2" t="str">
            <v>2006/07</v>
          </cell>
          <cell r="D2" t="str">
            <v>2007/08</v>
          </cell>
          <cell r="E2" t="str">
            <v>2008/9</v>
          </cell>
          <cell r="F2" t="str">
            <v>2009/10</v>
          </cell>
          <cell r="G2" t="str">
            <v>2010/11</v>
          </cell>
          <cell r="H2" t="str">
            <v>2011/12</v>
          </cell>
          <cell r="I2" t="str">
            <v>2012/13</v>
          </cell>
          <cell r="J2" t="str">
            <v>2013/14</v>
          </cell>
          <cell r="K2" t="str">
            <v>2014/15</v>
          </cell>
          <cell r="L2" t="str">
            <v>2015/16</v>
          </cell>
          <cell r="M2" t="str">
            <v>2016/17</v>
          </cell>
          <cell r="N2" t="str">
            <v>2017/18</v>
          </cell>
          <cell r="O2" t="str">
            <v>2018/19</v>
          </cell>
          <cell r="Q2" t="str">
            <v>Yes</v>
          </cell>
          <cell r="R2" t="str">
            <v>&lt;1</v>
          </cell>
          <cell r="S2" t="str">
            <v>&lt;4</v>
          </cell>
          <cell r="T2" t="str">
            <v>Market</v>
          </cell>
          <cell r="U2" t="str">
            <v>Land &amp; impr.</v>
          </cell>
          <cell r="V2" t="str">
            <v>Yes</v>
          </cell>
          <cell r="W2" t="str">
            <v>Uniform</v>
          </cell>
          <cell r="X2" t="str">
            <v>Yrs</v>
          </cell>
          <cell r="Z2" t="str">
            <v>Local Government Equitable Share</v>
          </cell>
          <cell r="AA2" t="str">
            <v>Health subsidy</v>
          </cell>
          <cell r="AB2" t="str">
            <v xml:space="preserve"> Municipal Infrastructure Grant (MIG)</v>
          </cell>
        </row>
        <row r="3">
          <cell r="A3" t="str">
            <v>Prior year -2</v>
          </cell>
          <cell r="B3" t="str">
            <v>2004/05</v>
          </cell>
          <cell r="C3" t="str">
            <v>2005/06</v>
          </cell>
          <cell r="D3" t="str">
            <v>2006/07</v>
          </cell>
          <cell r="E3" t="str">
            <v>2007/8</v>
          </cell>
          <cell r="F3" t="str">
            <v>2008/9</v>
          </cell>
          <cell r="G3" t="str">
            <v>2009/10</v>
          </cell>
          <cell r="H3" t="str">
            <v>2010/11</v>
          </cell>
          <cell r="I3" t="str">
            <v>2011/12</v>
          </cell>
          <cell r="J3" t="str">
            <v>2012/13</v>
          </cell>
          <cell r="K3" t="str">
            <v>2013/14</v>
          </cell>
          <cell r="L3" t="str">
            <v>2014/15</v>
          </cell>
          <cell r="M3" t="str">
            <v>2015/16</v>
          </cell>
          <cell r="N3" t="str">
            <v>2016/17</v>
          </cell>
          <cell r="O3" t="str">
            <v>2017/18</v>
          </cell>
          <cell r="Q3" t="str">
            <v>No</v>
          </cell>
          <cell r="R3">
            <v>1</v>
          </cell>
          <cell r="S3">
            <v>4</v>
          </cell>
          <cell r="T3" t="str">
            <v>Dep.Replace</v>
          </cell>
          <cell r="U3" t="str">
            <v>Land only</v>
          </cell>
          <cell r="V3" t="str">
            <v>No</v>
          </cell>
          <cell r="W3" t="str">
            <v>Variable</v>
          </cell>
          <cell r="X3" t="str">
            <v>Mths</v>
          </cell>
          <cell r="Z3" t="str">
            <v xml:space="preserve">RSC Levy Replacement </v>
          </cell>
          <cell r="AA3" t="str">
            <v>Ambulance subsidy</v>
          </cell>
          <cell r="AB3" t="str">
            <v xml:space="preserve"> Public Transport and Systems</v>
          </cell>
        </row>
        <row r="4">
          <cell r="A4" t="str">
            <v>Prior year -3</v>
          </cell>
          <cell r="B4" t="str">
            <v>2003/04</v>
          </cell>
          <cell r="C4" t="str">
            <v>2004/05</v>
          </cell>
          <cell r="D4" t="str">
            <v>2005/06</v>
          </cell>
          <cell r="E4" t="str">
            <v>2006/7</v>
          </cell>
          <cell r="F4" t="str">
            <v>2007/8</v>
          </cell>
          <cell r="G4" t="str">
            <v>2008/9</v>
          </cell>
          <cell r="H4" t="str">
            <v>2009/10</v>
          </cell>
          <cell r="I4" t="str">
            <v>2010/11</v>
          </cell>
          <cell r="J4" t="str">
            <v>2011/12</v>
          </cell>
          <cell r="K4" t="str">
            <v>2012/13</v>
          </cell>
          <cell r="L4" t="str">
            <v>2013/14</v>
          </cell>
          <cell r="M4" t="str">
            <v>2014/15</v>
          </cell>
          <cell r="N4" t="str">
            <v>2015/16</v>
          </cell>
          <cell r="O4" t="str">
            <v>2016/17</v>
          </cell>
          <cell r="R4">
            <v>2</v>
          </cell>
          <cell r="S4">
            <v>5</v>
          </cell>
          <cell r="T4" t="str">
            <v>Other</v>
          </cell>
          <cell r="U4" t="str">
            <v>Other</v>
          </cell>
          <cell r="Z4" t="str">
            <v xml:space="preserve">Finance Management </v>
          </cell>
          <cell r="AA4" t="str">
            <v>Housing</v>
          </cell>
          <cell r="AB4" t="str">
            <v>Rural Transport Services and Infrastructure</v>
          </cell>
        </row>
        <row r="5">
          <cell r="A5" t="str">
            <v>Year in which budget is being prepared</v>
          </cell>
          <cell r="B5" t="str">
            <v>Current Year 2006/07</v>
          </cell>
          <cell r="C5" t="str">
            <v>Current Year 2007/08</v>
          </cell>
          <cell r="D5" t="str">
            <v>Current Year 2008/09</v>
          </cell>
          <cell r="E5" t="str">
            <v>Current Year 2009/10</v>
          </cell>
          <cell r="F5" t="str">
            <v>Current Year 2010/11</v>
          </cell>
          <cell r="G5" t="str">
            <v>Current Year 2011/12</v>
          </cell>
          <cell r="H5" t="str">
            <v>Current Year 2012/13</v>
          </cell>
          <cell r="I5" t="str">
            <v>Current Year 2013/14</v>
          </cell>
          <cell r="J5" t="str">
            <v>Current Year 2014/15</v>
          </cell>
          <cell r="K5" t="str">
            <v>Current Year 2015/16</v>
          </cell>
          <cell r="L5" t="str">
            <v>Current Year 2016/17</v>
          </cell>
          <cell r="M5" t="str">
            <v>Current Year 2017/18</v>
          </cell>
          <cell r="N5" t="str">
            <v>Current Year 2018/19</v>
          </cell>
          <cell r="O5" t="str">
            <v>Current Year 2019/20</v>
          </cell>
          <cell r="R5">
            <v>3</v>
          </cell>
          <cell r="S5">
            <v>6</v>
          </cell>
          <cell r="Z5" t="str">
            <v>Municipal Systems Improvement</v>
          </cell>
          <cell r="AA5" t="str">
            <v>Sport and Recreation</v>
          </cell>
          <cell r="AB5" t="str">
            <v>Regional Bulk Infrastructure</v>
          </cell>
        </row>
        <row r="6">
          <cell r="A6" t="str">
            <v>Year in which budget is being prepared</v>
          </cell>
          <cell r="B6" t="str">
            <v>2006/07</v>
          </cell>
          <cell r="C6" t="str">
            <v>2007/08</v>
          </cell>
          <cell r="D6" t="str">
            <v>2008/09</v>
          </cell>
          <cell r="E6" t="str">
            <v>2009/10</v>
          </cell>
          <cell r="F6" t="str">
            <v>2010/11</v>
          </cell>
          <cell r="G6" t="str">
            <v>2011/12</v>
          </cell>
          <cell r="H6" t="str">
            <v>2012/13</v>
          </cell>
          <cell r="I6" t="str">
            <v>2013/14</v>
          </cell>
          <cell r="J6" t="str">
            <v>2014/15</v>
          </cell>
          <cell r="K6" t="str">
            <v>2015/16</v>
          </cell>
          <cell r="L6" t="str">
            <v>2016/17</v>
          </cell>
          <cell r="M6" t="str">
            <v>2017/18</v>
          </cell>
          <cell r="N6" t="str">
            <v>2018/19</v>
          </cell>
          <cell r="O6" t="str">
            <v>2019/20</v>
          </cell>
          <cell r="R6">
            <v>4</v>
          </cell>
          <cell r="S6" t="str">
            <v>6-10</v>
          </cell>
          <cell r="Z6" t="str">
            <v xml:space="preserve">Water Services Operating Subsidy </v>
          </cell>
          <cell r="AB6" t="str">
            <v xml:space="preserve">Rural Households Infrastructure </v>
          </cell>
        </row>
        <row r="7">
          <cell r="A7" t="str">
            <v>MTREF name</v>
          </cell>
          <cell r="B7" t="str">
            <v>2007/08 Medium Term Revenue &amp; Expenditure Framework</v>
          </cell>
          <cell r="C7" t="str">
            <v>2008/09 Medium Term Revenue &amp; Expenditure Framework</v>
          </cell>
          <cell r="D7" t="str">
            <v>2009/10 Medium Term Revenue &amp; Expenditure Framework</v>
          </cell>
          <cell r="E7" t="str">
            <v>2010/11 Medium Term Revenue &amp; Expenditure Framework</v>
          </cell>
          <cell r="F7" t="str">
            <v>2011/12 Medium Term Revenue &amp; Expenditure Framework</v>
          </cell>
          <cell r="G7" t="str">
            <v>2012/13 Medium Term Revenue &amp; Expenditure Framework</v>
          </cell>
          <cell r="H7" t="str">
            <v>2013/14 Medium Term Revenue &amp; Expenditure Framework</v>
          </cell>
          <cell r="I7" t="str">
            <v>2014/15 Medium Term Revenue &amp; Expenditure Framework</v>
          </cell>
          <cell r="J7" t="str">
            <v>2015/16 Medium Term Revenue &amp; Expenditure Framework</v>
          </cell>
          <cell r="K7" t="str">
            <v>2016/17 Medium Term Revenue &amp; Expenditure Framework</v>
          </cell>
          <cell r="L7" t="str">
            <v>2017/18 Medium Term Revenue &amp; Expenditure Framework</v>
          </cell>
          <cell r="M7" t="str">
            <v>2018/19 Medium Term Revenue &amp; Expenditure Framework</v>
          </cell>
          <cell r="N7" t="str">
            <v>2019/20 Medium Term Revenue &amp; Expenditure Framework</v>
          </cell>
          <cell r="O7" t="str">
            <v>2020/21 Medium Term Revenue &amp; Expenditure Framework</v>
          </cell>
          <cell r="R7">
            <v>5</v>
          </cell>
          <cell r="S7" t="str">
            <v>&gt;10</v>
          </cell>
          <cell r="Z7" t="str">
            <v>Energy Efficiency  and Demand Management</v>
          </cell>
          <cell r="AB7" t="str">
            <v>Neighbourhood Development Partnership</v>
          </cell>
        </row>
        <row r="8">
          <cell r="A8" t="str">
            <v>1st year of MTREF</v>
          </cell>
          <cell r="B8" t="str">
            <v>Budget Year 2007/08</v>
          </cell>
          <cell r="C8" t="str">
            <v>Budget Year 2008/09</v>
          </cell>
          <cell r="D8" t="str">
            <v>Budget Year 2009/10</v>
          </cell>
          <cell r="E8" t="str">
            <v>Budget Year 2010/11</v>
          </cell>
          <cell r="F8" t="str">
            <v>Budget Year 2011/12</v>
          </cell>
          <cell r="G8" t="str">
            <v>Budget Year 2012/13</v>
          </cell>
          <cell r="H8" t="str">
            <v>Budget Year 2013/14</v>
          </cell>
          <cell r="I8" t="str">
            <v>Budget Year 2014/15</v>
          </cell>
          <cell r="J8" t="str">
            <v>Budget Year 2015/16</v>
          </cell>
          <cell r="K8" t="str">
            <v>Budget Year 2016/17</v>
          </cell>
          <cell r="L8" t="str">
            <v>Budget Year 2017/18</v>
          </cell>
          <cell r="M8" t="str">
            <v>Budget Year 2018/19</v>
          </cell>
          <cell r="N8" t="str">
            <v>Budget Year 2019/20</v>
          </cell>
          <cell r="O8" t="str">
            <v>Budget Year 2020/21</v>
          </cell>
          <cell r="R8" t="str">
            <v>&gt;5</v>
          </cell>
          <cell r="Z8" t="str">
            <v>Integrated National Electrification Programme</v>
          </cell>
          <cell r="AB8" t="str">
            <v>2010 FIFA World Cup Stadiums Development</v>
          </cell>
        </row>
        <row r="9">
          <cell r="A9" t="str">
            <v>2nd year of MTREF</v>
          </cell>
          <cell r="B9" t="str">
            <v>Budget Year +1 2008/09</v>
          </cell>
          <cell r="C9" t="str">
            <v>Budget Year +1 2009/10</v>
          </cell>
          <cell r="D9" t="str">
            <v>Budget Year +1 2010/11</v>
          </cell>
          <cell r="E9" t="str">
            <v>Budget Year +1 2011/12</v>
          </cell>
          <cell r="F9" t="str">
            <v>Budget Year +1 2012/13</v>
          </cell>
          <cell r="G9" t="str">
            <v>Budget Year +1 2013/14</v>
          </cell>
          <cell r="H9" t="str">
            <v>Budget Year +1 2014/15</v>
          </cell>
          <cell r="I9" t="str">
            <v>Budget Year +1 2015/16</v>
          </cell>
          <cell r="J9" t="str">
            <v>Budget Year +1 2016/17</v>
          </cell>
          <cell r="K9" t="str">
            <v>Budget Year +1 2017/18</v>
          </cell>
          <cell r="L9" t="str">
            <v>Budget Year +1 2018/19</v>
          </cell>
          <cell r="M9" t="str">
            <v>Budget Year +1 2019/20</v>
          </cell>
          <cell r="N9" t="str">
            <v>Budget Year +1 2020/21</v>
          </cell>
          <cell r="O9" t="str">
            <v>Budget Year +1 2021/22</v>
          </cell>
          <cell r="Z9" t="str">
            <v xml:space="preserve">Municipal Drought Relief </v>
          </cell>
        </row>
        <row r="10">
          <cell r="A10" t="str">
            <v>3rd year of MTREF</v>
          </cell>
          <cell r="B10" t="str">
            <v>Budget Year +2 2009/10</v>
          </cell>
          <cell r="C10" t="str">
            <v>Budget Year +2 2010/11</v>
          </cell>
          <cell r="D10" t="str">
            <v>Budget Year +2 2011/12</v>
          </cell>
          <cell r="E10" t="str">
            <v>Budget Year +2 2012/13</v>
          </cell>
          <cell r="F10" t="str">
            <v>Budget Year +2 2013/14</v>
          </cell>
          <cell r="G10" t="str">
            <v>Budget Year +2 2014/15</v>
          </cell>
          <cell r="H10" t="str">
            <v>Budget Year +2 2015/16</v>
          </cell>
          <cell r="I10" t="str">
            <v>Budget Year +2 2016/17</v>
          </cell>
          <cell r="J10" t="str">
            <v>Budget Year +2 2017/18</v>
          </cell>
          <cell r="K10" t="str">
            <v>Budget Year +2 2018/19</v>
          </cell>
          <cell r="L10" t="str">
            <v>Budget Year +2 2019/20</v>
          </cell>
          <cell r="M10" t="str">
            <v>Budget Year +2 2020/21</v>
          </cell>
          <cell r="N10" t="str">
            <v>Budget Year +2 2021/22</v>
          </cell>
          <cell r="O10" t="str">
            <v>Budget Year +2 2022/23</v>
          </cell>
          <cell r="Z10" t="str">
            <v>2010 FIFA World Cup Operating</v>
          </cell>
        </row>
        <row r="11">
          <cell r="A11" t="str">
            <v>1st yr of long term forecast</v>
          </cell>
          <cell r="B11" t="str">
            <v>Forecast 2010/11</v>
          </cell>
          <cell r="C11" t="str">
            <v>Forecast 2011/12</v>
          </cell>
          <cell r="D11" t="str">
            <v>Forecast 2012/13</v>
          </cell>
          <cell r="E11" t="str">
            <v>Forecast 2013/14</v>
          </cell>
          <cell r="F11" t="str">
            <v>Forecast 2014/15</v>
          </cell>
          <cell r="G11" t="str">
            <v>Forecast 2015/16</v>
          </cell>
          <cell r="H11" t="str">
            <v>Forecast 2016/17</v>
          </cell>
          <cell r="I11" t="str">
            <v>Forecast 2017/18</v>
          </cell>
          <cell r="J11" t="str">
            <v>Forecast 2018/19</v>
          </cell>
          <cell r="K11" t="str">
            <v>Forecast 2019/20</v>
          </cell>
          <cell r="L11" t="str">
            <v>Forecast 2020/21</v>
          </cell>
          <cell r="M11" t="str">
            <v>Forecast 2021/22</v>
          </cell>
          <cell r="N11" t="str">
            <v>Forecast 2022/23</v>
          </cell>
          <cell r="O11" t="str">
            <v>Forecast 2023/24</v>
          </cell>
          <cell r="Z11" t="str">
            <v>Electricity Demand Side Management</v>
          </cell>
        </row>
        <row r="12">
          <cell r="A12" t="str">
            <v>Next yr of long term forecast</v>
          </cell>
          <cell r="B12" t="str">
            <v>Forecast 2011/12</v>
          </cell>
          <cell r="C12" t="str">
            <v>Forecast 2012/13</v>
          </cell>
          <cell r="D12" t="str">
            <v>Forecast 2013/14</v>
          </cell>
          <cell r="E12" t="str">
            <v>Forecast 2014/15</v>
          </cell>
          <cell r="F12" t="str">
            <v>Forecast 2015/16</v>
          </cell>
          <cell r="G12" t="str">
            <v>Forecast 2016/17</v>
          </cell>
          <cell r="H12" t="str">
            <v>Forecast 2017/18</v>
          </cell>
          <cell r="I12" t="str">
            <v>Forecast 2018/19</v>
          </cell>
          <cell r="J12" t="str">
            <v>Forecast 2019/20</v>
          </cell>
          <cell r="K12" t="str">
            <v>Forecast 2020/21</v>
          </cell>
          <cell r="L12" t="str">
            <v>Forecast 2021/22</v>
          </cell>
          <cell r="M12" t="str">
            <v>Forecast 2022/23</v>
          </cell>
          <cell r="N12" t="str">
            <v>Forecast 2023/24</v>
          </cell>
          <cell r="O12" t="str">
            <v>Forecast 2024/25</v>
          </cell>
          <cell r="Z12" t="str">
            <v>EPWP Incentive</v>
          </cell>
        </row>
        <row r="13">
          <cell r="A13" t="str">
            <v>Next yr of long term forecast</v>
          </cell>
          <cell r="B13" t="str">
            <v>Forecast 2012/13</v>
          </cell>
          <cell r="C13" t="str">
            <v>Forecast 2013/14</v>
          </cell>
          <cell r="D13" t="str">
            <v>Forecast 2014/15</v>
          </cell>
          <cell r="E13" t="str">
            <v>Forecast 2015/16</v>
          </cell>
          <cell r="F13" t="str">
            <v>Forecast 2016/17</v>
          </cell>
          <cell r="G13" t="str">
            <v>Forecast 2017/18</v>
          </cell>
          <cell r="H13" t="str">
            <v>Forecast 2018/19</v>
          </cell>
          <cell r="I13" t="str">
            <v>Forecast 2019/20</v>
          </cell>
          <cell r="J13" t="str">
            <v>Forecast 2020/21</v>
          </cell>
          <cell r="K13" t="str">
            <v>Forecast 2021/22</v>
          </cell>
          <cell r="L13" t="str">
            <v>Forecast 2022/23</v>
          </cell>
          <cell r="M13" t="str">
            <v>Forecast 2023/24</v>
          </cell>
          <cell r="N13" t="str">
            <v>Forecast 2024/25</v>
          </cell>
          <cell r="O13" t="str">
            <v>Forecast 2025/26</v>
          </cell>
        </row>
        <row r="14">
          <cell r="A14" t="str">
            <v>Next yr of long term forecast</v>
          </cell>
          <cell r="B14" t="str">
            <v>Forecast 2013/14</v>
          </cell>
          <cell r="C14" t="str">
            <v>Forecast 2014/15</v>
          </cell>
          <cell r="D14" t="str">
            <v>Forecast 2015/16</v>
          </cell>
          <cell r="E14" t="str">
            <v>Forecast 2016/17</v>
          </cell>
          <cell r="F14" t="str">
            <v>Forecast 2017/18</v>
          </cell>
          <cell r="G14" t="str">
            <v>Forecast 2018/19</v>
          </cell>
          <cell r="H14" t="str">
            <v>Forecast 2019/20</v>
          </cell>
          <cell r="I14" t="str">
            <v>Forecast 2020/21</v>
          </cell>
          <cell r="J14" t="str">
            <v>Forecast 2021/22</v>
          </cell>
          <cell r="K14" t="str">
            <v>Forecast 2022/23</v>
          </cell>
          <cell r="L14" t="str">
            <v>Forecast 2023/24</v>
          </cell>
          <cell r="M14" t="str">
            <v>Forecast 2024/25</v>
          </cell>
          <cell r="N14" t="str">
            <v>Forecast 2025/26</v>
          </cell>
          <cell r="O14" t="str">
            <v>Forecast 2026/27</v>
          </cell>
        </row>
        <row r="15">
          <cell r="A15" t="str">
            <v>Next yr of long term forecast</v>
          </cell>
          <cell r="B15" t="str">
            <v>Forecast 2014/15</v>
          </cell>
          <cell r="C15" t="str">
            <v>Forecast 2015/16</v>
          </cell>
          <cell r="D15" t="str">
            <v>Forecast 2016/17</v>
          </cell>
          <cell r="E15" t="str">
            <v>Forecast 2017/18</v>
          </cell>
          <cell r="F15" t="str">
            <v>Forecast 2018/19</v>
          </cell>
          <cell r="G15" t="str">
            <v>Forecast 2019/20</v>
          </cell>
          <cell r="H15" t="str">
            <v>Forecast 2020/21</v>
          </cell>
          <cell r="I15" t="str">
            <v>Forecast 2021/22</v>
          </cell>
          <cell r="J15" t="str">
            <v>Forecast 2022/23</v>
          </cell>
          <cell r="K15" t="str">
            <v>Forecast 2023/24</v>
          </cell>
          <cell r="L15" t="str">
            <v>Forecast 2024/25</v>
          </cell>
          <cell r="M15" t="str">
            <v>Forecast 2025/26</v>
          </cell>
          <cell r="N15" t="str">
            <v>Forecast 2026/27</v>
          </cell>
          <cell r="O15" t="str">
            <v>Forecast 2027/28</v>
          </cell>
        </row>
        <row r="16">
          <cell r="A16" t="str">
            <v>Next yr of long term forecast</v>
          </cell>
          <cell r="B16" t="str">
            <v>Forecast 2015/16</v>
          </cell>
          <cell r="C16" t="str">
            <v>Forecast 2016/17</v>
          </cell>
          <cell r="D16" t="str">
            <v>Forecast 2017/18</v>
          </cell>
          <cell r="E16" t="str">
            <v>Forecast 2018/19</v>
          </cell>
          <cell r="F16" t="str">
            <v>Forecast 2019/20</v>
          </cell>
          <cell r="G16" t="str">
            <v>Forecast 2020/21</v>
          </cell>
          <cell r="H16" t="str">
            <v>Forecast 2021/22</v>
          </cell>
          <cell r="I16" t="str">
            <v>Forecast 2022/23</v>
          </cell>
          <cell r="J16" t="str">
            <v>Forecast 2023/24</v>
          </cell>
          <cell r="K16" t="str">
            <v>Forecast 2024/25</v>
          </cell>
          <cell r="L16" t="str">
            <v>Forecast 2025/26</v>
          </cell>
          <cell r="M16" t="str">
            <v>Forecast 2026/27</v>
          </cell>
          <cell r="N16" t="str">
            <v>Forecast 2027/28</v>
          </cell>
          <cell r="O16" t="str">
            <v>Forecast 2028/29</v>
          </cell>
        </row>
        <row r="17">
          <cell r="A17" t="str">
            <v>Next yr of long term forecast</v>
          </cell>
          <cell r="B17" t="str">
            <v>Forecast 2016/17</v>
          </cell>
          <cell r="C17" t="str">
            <v>Forecast 2017/18</v>
          </cell>
          <cell r="D17" t="str">
            <v>Forecast 2018/19</v>
          </cell>
          <cell r="E17" t="str">
            <v>Forecast 2019/20</v>
          </cell>
          <cell r="F17" t="str">
            <v>Forecast 2020/21</v>
          </cell>
          <cell r="G17" t="str">
            <v>Forecast 2021/22</v>
          </cell>
          <cell r="H17" t="str">
            <v>Forecast 2022/23</v>
          </cell>
          <cell r="I17" t="str">
            <v>Forecast 2023/24</v>
          </cell>
          <cell r="J17" t="str">
            <v>Forecast 2024/25</v>
          </cell>
          <cell r="K17" t="str">
            <v>Forecast 2025/26</v>
          </cell>
          <cell r="L17" t="str">
            <v>Forecast 2026/27</v>
          </cell>
          <cell r="M17" t="str">
            <v>Forecast 2027/28</v>
          </cell>
          <cell r="N17" t="str">
            <v>Forecast 2028/29</v>
          </cell>
          <cell r="O17" t="str">
            <v>Forecast 2029/30</v>
          </cell>
        </row>
        <row r="18">
          <cell r="A18" t="str">
            <v>Next yr of long term forecast</v>
          </cell>
          <cell r="B18" t="str">
            <v>Forecast 2017/18</v>
          </cell>
          <cell r="C18" t="str">
            <v>Forecast 2018/19</v>
          </cell>
          <cell r="D18" t="str">
            <v>Forecast 2019/20</v>
          </cell>
          <cell r="E18" t="str">
            <v>Forecast 2020/21</v>
          </cell>
          <cell r="F18" t="str">
            <v>Forecast 2021/22</v>
          </cell>
          <cell r="G18" t="str">
            <v>Forecast 2022/23</v>
          </cell>
          <cell r="H18" t="str">
            <v>Forecast 2023/24</v>
          </cell>
          <cell r="I18" t="str">
            <v>Forecast 2024/25</v>
          </cell>
          <cell r="J18" t="str">
            <v>Forecast 2025/26</v>
          </cell>
          <cell r="K18" t="str">
            <v>Forecast 2026/27</v>
          </cell>
          <cell r="L18" t="str">
            <v>Forecast 2027/28</v>
          </cell>
          <cell r="M18" t="str">
            <v>Forecast 2028/29</v>
          </cell>
          <cell r="N18" t="str">
            <v>Forecast 2029/30</v>
          </cell>
          <cell r="O18" t="str">
            <v>Forecast 2030/31</v>
          </cell>
        </row>
        <row r="19">
          <cell r="A19" t="str">
            <v>Next yr of long term forecast</v>
          </cell>
          <cell r="B19" t="str">
            <v>Forecast 2018/19</v>
          </cell>
          <cell r="C19" t="str">
            <v>Forecast 2019/20</v>
          </cell>
          <cell r="D19" t="str">
            <v>Forecast 2020/21</v>
          </cell>
          <cell r="E19" t="str">
            <v>Forecast 2021/22</v>
          </cell>
          <cell r="F19" t="str">
            <v>Forecast 2022/23</v>
          </cell>
          <cell r="G19" t="str">
            <v>Forecast 2023/24</v>
          </cell>
          <cell r="H19" t="str">
            <v>Forecast 2024/25</v>
          </cell>
          <cell r="I19" t="str">
            <v>Forecast 2025/26</v>
          </cell>
          <cell r="J19" t="str">
            <v>Forecast 2026/27</v>
          </cell>
          <cell r="K19" t="str">
            <v>Forecast 2027/28</v>
          </cell>
          <cell r="L19" t="str">
            <v>Forecast 2028/29</v>
          </cell>
          <cell r="M19" t="str">
            <v>Forecast 2029/30</v>
          </cell>
          <cell r="N19" t="str">
            <v>Forecast 2030/31</v>
          </cell>
          <cell r="O19" t="str">
            <v>Forecast 2031/32</v>
          </cell>
        </row>
        <row r="20">
          <cell r="A20" t="str">
            <v>Next yr of long term forecast</v>
          </cell>
          <cell r="B20" t="str">
            <v>Forecast 2019/20</v>
          </cell>
          <cell r="C20" t="str">
            <v>Forecast 2020/21</v>
          </cell>
          <cell r="D20" t="str">
            <v>Forecast 2021/22</v>
          </cell>
          <cell r="E20" t="str">
            <v>Forecast 2022/23</v>
          </cell>
          <cell r="F20" t="str">
            <v>Forecast 2023/24</v>
          </cell>
          <cell r="G20" t="str">
            <v>Forecast 2024/25</v>
          </cell>
          <cell r="H20" t="str">
            <v>Forecast 2025/26</v>
          </cell>
          <cell r="I20" t="str">
            <v>Forecast 2026/27</v>
          </cell>
          <cell r="J20" t="str">
            <v>Forecast 2027/28</v>
          </cell>
          <cell r="K20" t="str">
            <v>Forecast 2028/29</v>
          </cell>
          <cell r="L20" t="str">
            <v>Forecast 2029/30</v>
          </cell>
          <cell r="M20" t="str">
            <v>Forecast 2030/31</v>
          </cell>
          <cell r="N20" t="str">
            <v>Forecast 2031/32</v>
          </cell>
          <cell r="O20" t="str">
            <v>Forecast 2032/33</v>
          </cell>
        </row>
        <row r="21">
          <cell r="A21" t="str">
            <v>Next yr of long term forecast</v>
          </cell>
          <cell r="B21" t="str">
            <v>Forecast 2020/21</v>
          </cell>
          <cell r="C21" t="str">
            <v>Forecast 2021/22</v>
          </cell>
          <cell r="D21" t="str">
            <v>Forecast 2022/23</v>
          </cell>
          <cell r="E21" t="str">
            <v>Forecast 2023/24</v>
          </cell>
          <cell r="F21" t="str">
            <v>Forecast 2024/25</v>
          </cell>
          <cell r="G21" t="str">
            <v>Forecast 2025/26</v>
          </cell>
          <cell r="H21" t="str">
            <v>Forecast 2026/27</v>
          </cell>
          <cell r="I21" t="str">
            <v>Forecast 2027/28</v>
          </cell>
          <cell r="J21" t="str">
            <v>Forecast 2028/29</v>
          </cell>
          <cell r="K21" t="str">
            <v>Forecast 2029/30</v>
          </cell>
          <cell r="L21" t="str">
            <v>Forecast 2030/31</v>
          </cell>
          <cell r="M21" t="str">
            <v>Forecast 2031/32</v>
          </cell>
          <cell r="N21" t="str">
            <v>Forecast 2032/33</v>
          </cell>
          <cell r="O21" t="str">
            <v>Forecast 2033/34</v>
          </cell>
        </row>
        <row r="22">
          <cell r="A22" t="str">
            <v>Next yr of long term forecast</v>
          </cell>
          <cell r="B22" t="str">
            <v>Forecast 2021/22</v>
          </cell>
          <cell r="C22" t="str">
            <v>Forecast 2022/23</v>
          </cell>
          <cell r="D22" t="str">
            <v>Forecast 2023/24</v>
          </cell>
          <cell r="E22" t="str">
            <v>Forecast 2024/25</v>
          </cell>
          <cell r="F22" t="str">
            <v>Forecast 2025/26</v>
          </cell>
          <cell r="G22" t="str">
            <v>Forecast 2026/27</v>
          </cell>
          <cell r="H22" t="str">
            <v>Forecast 2027/28</v>
          </cell>
          <cell r="I22" t="str">
            <v>Forecast 2028/29</v>
          </cell>
          <cell r="J22" t="str">
            <v>Forecast 2029/30</v>
          </cell>
          <cell r="K22" t="str">
            <v>Forecast 2030/31</v>
          </cell>
          <cell r="L22" t="str">
            <v>Forecast 2031/32</v>
          </cell>
          <cell r="M22" t="str">
            <v>Forecast 2032/33</v>
          </cell>
          <cell r="N22" t="str">
            <v>Forecast 2033/34</v>
          </cell>
          <cell r="O22" t="str">
            <v>Forecast 2034/35</v>
          </cell>
        </row>
        <row r="23">
          <cell r="A23" t="str">
            <v>Adjustments Budget</v>
          </cell>
          <cell r="B23" t="str">
            <v>Annual target 2007/08</v>
          </cell>
          <cell r="C23" t="str">
            <v>Annual target 2008/09</v>
          </cell>
          <cell r="D23" t="str">
            <v>Annual target 2009/10</v>
          </cell>
          <cell r="E23" t="str">
            <v>Annual target 2010/11</v>
          </cell>
          <cell r="F23" t="str">
            <v>Annual target 2011/12</v>
          </cell>
          <cell r="G23" t="str">
            <v>Annual target 2012/13</v>
          </cell>
          <cell r="H23" t="str">
            <v>Annual target 2013/14</v>
          </cell>
          <cell r="I23" t="str">
            <v>Annual target 2014/15</v>
          </cell>
          <cell r="J23" t="str">
            <v>Annual target 2015/16</v>
          </cell>
          <cell r="K23" t="str">
            <v>Annual target 2016/17</v>
          </cell>
          <cell r="L23" t="str">
            <v>Annual target 2017/18</v>
          </cell>
          <cell r="M23" t="str">
            <v>Annual target 2018/19</v>
          </cell>
          <cell r="N23" t="str">
            <v>Annual target 2019/20</v>
          </cell>
          <cell r="O23" t="str">
            <v>Annual target 2020/21</v>
          </cell>
        </row>
        <row r="24">
          <cell r="A24" t="str">
            <v>Adjustments Budget</v>
          </cell>
          <cell r="B24" t="str">
            <v>Revised target 2007/08</v>
          </cell>
          <cell r="C24" t="str">
            <v>Revised target 2008/09</v>
          </cell>
          <cell r="D24" t="str">
            <v>Revised target 2009/10</v>
          </cell>
          <cell r="E24" t="str">
            <v>Revised target 2010/11</v>
          </cell>
          <cell r="F24" t="str">
            <v>Revised target 2011/12</v>
          </cell>
          <cell r="G24" t="str">
            <v>Revised target 2012/13</v>
          </cell>
          <cell r="H24" t="str">
            <v>Revised target 2013/14</v>
          </cell>
          <cell r="I24" t="str">
            <v>Revised target 2014/15</v>
          </cell>
          <cell r="J24" t="str">
            <v>Revised target 2015/16</v>
          </cell>
          <cell r="K24" t="str">
            <v>Revised target 2016/17</v>
          </cell>
          <cell r="L24" t="str">
            <v>Revised target 2017/18</v>
          </cell>
          <cell r="M24" t="str">
            <v>Revised target 2018/19</v>
          </cell>
          <cell r="N24" t="str">
            <v>Revised target 2019/20</v>
          </cell>
          <cell r="O24" t="str">
            <v>Revised target 2020/21</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77">
          <cell r="L77">
            <v>3.05</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Cash Flow"/>
    </sheetNames>
    <sheetDataSet>
      <sheetData sheetId="0" refreshError="1">
        <row r="50">
          <cell r="D50">
            <v>1.07</v>
          </cell>
          <cell r="E50">
            <v>1.0649999999999999</v>
          </cell>
          <cell r="F50">
            <v>1.06</v>
          </cell>
        </row>
      </sheetData>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1-Sum"/>
      <sheetName val="C2-FinPerf SC"/>
      <sheetName val="C3-FinPerf V"/>
      <sheetName val="C3C"/>
      <sheetName val="C4-FinPerf RE"/>
      <sheetName val="C5-Capex"/>
      <sheetName val="C5C"/>
      <sheetName val="C6-FinPos"/>
      <sheetName val="C7-CFlow"/>
      <sheetName val="SC1"/>
      <sheetName val="SC2"/>
      <sheetName val="SC3"/>
      <sheetName val="SC4"/>
      <sheetName val="SC5"/>
      <sheetName val="SC6"/>
      <sheetName val="SC7"/>
      <sheetName val="SC8"/>
      <sheetName val="SC9"/>
      <sheetName val="SC10"/>
      <sheetName val="SC11"/>
      <sheetName val="SC12"/>
      <sheetName val="SC13a"/>
      <sheetName val="SC13b"/>
      <sheetName val="SC13c"/>
      <sheetName val="S71charts"/>
      <sheetName val="C2C"/>
      <sheetName val="Contacts"/>
      <sheetName val="SC71char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Summary"/>
      <sheetName val="PIs"/>
      <sheetName val="SFP"/>
      <sheetName val="Stack graph"/>
      <sheetName val="Rev target"/>
      <sheetName val="Monthly SFP Bud"/>
      <sheetName val="Capex"/>
      <sheetName val="Capex graphs"/>
      <sheetName val="Capex history"/>
      <sheetName val="Cash"/>
      <sheetName val="YTD cash targets"/>
      <sheetName val="Debtors"/>
      <sheetName val="Creditors"/>
      <sheetName val="Balance Sheet"/>
      <sheetName val="Sheet6"/>
    </sheetNames>
    <sheetDataSet>
      <sheetData sheetId="0" refreshError="1">
        <row r="1">
          <cell r="B1" t="str">
            <v>December</v>
          </cell>
        </row>
        <row r="2">
          <cell r="B2">
            <v>31</v>
          </cell>
        </row>
        <row r="3">
          <cell r="B3">
            <v>2007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rove Specification"/>
      <sheetName val="Directory and scenarios"/>
      <sheetName val="Options"/>
      <sheetName val="Names"/>
      <sheetName val="Summary table"/>
      <sheetName val="Schedule 1"/>
      <sheetName val="Schedule2"/>
      <sheetName val="Schedule 3"/>
      <sheetName val="Schedule 4"/>
      <sheetName val="Schedule 5"/>
      <sheetName val="Schedule 6"/>
      <sheetName val="Schedule 7"/>
      <sheetName val="Funding note"/>
      <sheetName val="Notes 1 &amp; 2"/>
      <sheetName val="Note 3"/>
      <sheetName val="Note 4"/>
      <sheetName val="Note 5"/>
      <sheetName val="Note 6"/>
      <sheetName val="Note 7"/>
      <sheetName val="Note 8"/>
      <sheetName val="Note 9"/>
      <sheetName val="Note 10"/>
      <sheetName val="Notes 11-13"/>
      <sheetName val="Note 14"/>
      <sheetName val="Note 15"/>
      <sheetName val="Note 16"/>
      <sheetName val="Note 17"/>
      <sheetName val="Note 18"/>
      <sheetName val="Note 19"/>
      <sheetName val="Note 20"/>
      <sheetName val="Note 21 PIs"/>
      <sheetName val="Note 22"/>
      <sheetName val="Note 23"/>
      <sheetName val="Charts Values"/>
      <sheetName val="Charts"/>
      <sheetName val="SDBIP2"/>
      <sheetName val="SDBIP2A"/>
      <sheetName val="SDBIP3"/>
      <sheetName val="SDBIP4"/>
      <sheetName val="ADJ1"/>
      <sheetName val="ADJ2"/>
      <sheetName val="ADJ3"/>
      <sheetName val="ADJ4"/>
      <sheetName val="ADJ5"/>
      <sheetName val="ADJ6"/>
      <sheetName val="ADJ7"/>
      <sheetName val="ADJ8"/>
      <sheetName val="ADJ9"/>
      <sheetName val="ADJ10"/>
      <sheetName val="S71A"/>
      <sheetName val="S71B"/>
      <sheetName val="S71C"/>
      <sheetName val="S71D"/>
      <sheetName val="S71E"/>
      <sheetName val="S71F"/>
      <sheetName val="S71G"/>
      <sheetName val="S71H"/>
      <sheetName val="S71I"/>
      <sheetName val="S71J"/>
      <sheetName val="S71K"/>
      <sheetName val="S71L"/>
      <sheetName val="MEB1"/>
      <sheetName val="MEB2"/>
      <sheetName val="MEB3"/>
      <sheetName val="MEB4"/>
      <sheetName val="MEB5"/>
      <sheetName val="MEB6"/>
      <sheetName val="MEB7"/>
      <sheetName val="MEAB1"/>
      <sheetName val="MEAB2"/>
      <sheetName val="MEAB3"/>
      <sheetName val="MEAB4"/>
      <sheetName val="MEAB5"/>
      <sheetName val="MEAB6"/>
      <sheetName val="MER1"/>
      <sheetName val="MER2"/>
      <sheetName val="MER3"/>
      <sheetName val="MER4"/>
      <sheetName val="MER5"/>
      <sheetName val="All ME SFPos"/>
      <sheetName val="ME Total SPerf"/>
      <sheetName val="Parent SFPos"/>
      <sheetName val="Cash Flow"/>
      <sheetName val="SFPerf Consol"/>
      <sheetName val="Consolidated SFPos"/>
      <sheetName val="Capex"/>
      <sheetName val="SFPerfDept"/>
      <sheetName val="SFPerf"/>
      <sheetName val="Economic assumptions"/>
      <sheetName val="Targets"/>
      <sheetName val="Munitoria PPP"/>
      <sheetName val="Statistics"/>
      <sheetName val="Tables"/>
      <sheetName val="Asset Reg"/>
      <sheetName val="New structure by DEPT"/>
      <sheetName val="Loan repayment schedule"/>
      <sheetName val="Investments"/>
      <sheetName val="MIIF"/>
      <sheetName val="Capital Budget"/>
      <sheetName val="Capex funding schedule"/>
      <sheetName val="New borrowing"/>
      <sheetName val="Parent SFPos excl RED"/>
      <sheetName val="Employee costs"/>
      <sheetName val="Funding option calcs"/>
      <sheetName val="Bad debts"/>
      <sheetName val="General Assess"/>
      <sheetName val="Governing"/>
      <sheetName val="MM"/>
      <sheetName val="COO"/>
      <sheetName val="Finance"/>
      <sheetName val="Corporate Services"/>
      <sheetName val="Legal"/>
      <sheetName val="Economic Dev"/>
      <sheetName val="Transport"/>
      <sheetName val="Marketing"/>
      <sheetName val="Health and Social"/>
      <sheetName val="Emergency"/>
      <sheetName val="Metropol"/>
      <sheetName val="Housing"/>
      <sheetName val="Roads and Stormwater"/>
      <sheetName val="Water and Sanitation"/>
      <sheetName val="Electricity"/>
      <sheetName val="RTWST"/>
      <sheetName val="Civirelo"/>
      <sheetName val="Sheet1"/>
      <sheetName val="Sandspruit"/>
      <sheetName val="ME report"/>
      <sheetName val="Tshwane Housing Co"/>
      <sheetName val="Lebone"/>
      <sheetName val="Trade Point"/>
      <sheetName val="TCBIS"/>
      <sheetName val="ESAT"/>
      <sheetName val="New structure Control SFP"/>
      <sheetName val="EM &amp; MM"/>
      <sheetName val="MM IT ex Corp Serv"/>
      <sheetName val="Gen Assess"/>
      <sheetName val="Financial Services"/>
      <sheetName val="Corporate &amp; Shared"/>
      <sheetName val="Community Safety"/>
      <sheetName val="Economic Development"/>
      <sheetName val="Health &amp; Social"/>
      <sheetName val="Ambulance"/>
      <sheetName val="Sport &amp; Recreation"/>
      <sheetName val="Housing Services"/>
      <sheetName val="Agriculture &amp; EM"/>
      <sheetName val="Public Works"/>
      <sheetName val="REDS"/>
      <sheetName val="Roads &amp; Stormwater"/>
      <sheetName val="Transport Development"/>
      <sheetName val="Water &amp; Sanitation"/>
      <sheetName val="City Planning &amp; RS"/>
      <sheetName val="% allocations"/>
      <sheetName val="Data"/>
    </sheetNames>
    <sheetDataSet>
      <sheetData sheetId="0" refreshError="1"/>
      <sheetData sheetId="1" refreshError="1"/>
      <sheetData sheetId="2" refreshError="1"/>
      <sheetData sheetId="3" refreshError="1">
        <row r="89">
          <cell r="B89" t="str">
            <v>Measureable performance objectives - Note 20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
      <sheetName val="INSTRUCTIONS"/>
      <sheetName val="Template names"/>
      <sheetName val="Votes and Sub votes"/>
      <sheetName val="Lookup and lists"/>
      <sheetName val="Action list"/>
      <sheetName val="A1"/>
      <sheetName val="A2"/>
      <sheetName val="A2A"/>
      <sheetName val="A3"/>
      <sheetName val="A4"/>
      <sheetName val="A5"/>
      <sheetName val="A5A"/>
      <sheetName val="A6"/>
      <sheetName val="A7"/>
      <sheetName val="A8"/>
      <sheetName val="A9"/>
      <sheetName val="A10"/>
      <sheetName val="Org structure"/>
      <sheetName val="MSCOA"/>
      <sheetName val="Tab1"/>
      <sheetName val="Tab2"/>
      <sheetName val="Tab3"/>
      <sheetName val="Tab4"/>
      <sheetName val="Tab5"/>
      <sheetName val="Tab6"/>
      <sheetName val="Tab7"/>
      <sheetName val="Tab8"/>
      <sheetName val="Tab9"/>
      <sheetName val="Tab10"/>
      <sheetName val="Tab11"/>
      <sheetName val="Tab12 and 13"/>
      <sheetName val="Tab14"/>
      <sheetName val="Tab15"/>
      <sheetName val="Tab16"/>
      <sheetName val="Tab17"/>
      <sheetName val="Tab18"/>
      <sheetName val="Tab19"/>
      <sheetName val="Tab20"/>
      <sheetName val="Tab21"/>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NERF"/>
    </sheetNames>
    <sheetDataSet>
      <sheetData sheetId="0" refreshError="1"/>
      <sheetData sheetId="1" refreshError="1"/>
      <sheetData sheetId="2" refreshError="1">
        <row r="109">
          <cell r="B109" t="str">
            <v>Consolidated Service (basic) delivery measurement</v>
          </cell>
        </row>
        <row r="119">
          <cell r="B119" t="str">
            <v>Social, Economic &amp; Demographic statistics and assumptions - Table A9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ontacts"/>
      <sheetName val="A1-Sum"/>
      <sheetName val="A2-FinPerf SC"/>
      <sheetName val="A2A"/>
      <sheetName val="A3-FinPerf V"/>
      <sheetName val="A3A"/>
      <sheetName val="A4-FinPerf RE"/>
      <sheetName val="A5-Capex"/>
      <sheetName val="A5A"/>
      <sheetName val="Chart1"/>
      <sheetName val="A6-FinPos"/>
      <sheetName val="A7-CFlow"/>
      <sheetName val="A8-ResRecon"/>
      <sheetName val="A9-Asset"/>
      <sheetName val="A10-SerDel"/>
      <sheetName val="SA1"/>
      <sheetName val="SA2"/>
      <sheetName val="SA3"/>
      <sheetName val="SA4"/>
      <sheetName val="SA5"/>
      <sheetName val="SA6"/>
      <sheetName val="SA7"/>
      <sheetName val="SA8"/>
      <sheetName val="SA9"/>
      <sheetName val="SA10"/>
      <sheetName val="SA11"/>
      <sheetName val="SA12a"/>
      <sheetName val="SA12b"/>
      <sheetName val="SA13a"/>
      <sheetName val="SA13b"/>
      <sheetName val="SA14"/>
      <sheetName val="SA15"/>
      <sheetName val="SA16"/>
      <sheetName val="SA17"/>
      <sheetName val="SA18"/>
      <sheetName val="SA19"/>
      <sheetName val="SA20"/>
      <sheetName val="SA21"/>
      <sheetName val="SA22"/>
      <sheetName val="SA23"/>
      <sheetName val="SA24"/>
      <sheetName val="SA25"/>
      <sheetName val="SA26"/>
      <sheetName val="SA27"/>
      <sheetName val="SA28"/>
      <sheetName val="SA29"/>
      <sheetName val="SA30"/>
      <sheetName val="SA31"/>
      <sheetName val="SA32"/>
      <sheetName val="SA33"/>
      <sheetName val="SA34a"/>
      <sheetName val="SA34b"/>
      <sheetName val="SA34c"/>
      <sheetName val="SA34d"/>
      <sheetName val="SA34e"/>
      <sheetName val="SA35"/>
      <sheetName val="SA36"/>
      <sheetName val="SA37"/>
      <sheetName val="SA38"/>
      <sheetName val="LGDB_EXPORT"/>
    </sheetNames>
    <sheetDataSet>
      <sheetData sheetId="0"/>
      <sheetData sheetId="1"/>
      <sheetData sheetId="2"/>
      <sheetData sheetId="3"/>
      <sheetData sheetId="4"/>
      <sheetData sheetId="5"/>
      <sheetData sheetId="6"/>
      <sheetData sheetId="7"/>
      <sheetData sheetId="8"/>
      <sheetData sheetId="9"/>
      <sheetData sheetId="10"/>
      <sheetData sheetId="11">
        <row r="5">
          <cell r="C5">
            <v>310476433.13</v>
          </cell>
          <cell r="D5">
            <v>360161268</v>
          </cell>
          <cell r="E5">
            <v>413834312</v>
          </cell>
        </row>
        <row r="6">
          <cell r="C6">
            <v>829722837.25999987</v>
          </cell>
          <cell r="D6">
            <v>900175540</v>
          </cell>
          <cell r="E6">
            <v>887108356</v>
          </cell>
        </row>
        <row r="7">
          <cell r="C7">
            <v>219406650.04999998</v>
          </cell>
          <cell r="D7">
            <v>247961287</v>
          </cell>
          <cell r="E7">
            <v>208246274</v>
          </cell>
        </row>
        <row r="8">
          <cell r="C8">
            <v>59375701</v>
          </cell>
          <cell r="D8">
            <v>97777381</v>
          </cell>
          <cell r="E8">
            <v>107293394</v>
          </cell>
        </row>
        <row r="9">
          <cell r="C9">
            <v>74508944.460000008</v>
          </cell>
          <cell r="D9">
            <v>106028977</v>
          </cell>
          <cell r="E9">
            <v>102693559</v>
          </cell>
        </row>
        <row r="10">
          <cell r="C10">
            <v>0</v>
          </cell>
          <cell r="D10">
            <v>0</v>
          </cell>
          <cell r="E10">
            <v>0</v>
          </cell>
        </row>
        <row r="11">
          <cell r="C11">
            <v>29053202.41</v>
          </cell>
          <cell r="D11">
            <v>15730400</v>
          </cell>
          <cell r="E11">
            <v>24477014</v>
          </cell>
        </row>
        <row r="18">
          <cell r="C18">
            <v>793516083</v>
          </cell>
          <cell r="D18">
            <v>939879358</v>
          </cell>
          <cell r="E18">
            <v>969735440</v>
          </cell>
        </row>
        <row r="21">
          <cell r="C21">
            <v>3557974659.6499987</v>
          </cell>
          <cell r="D21">
            <v>3035520381</v>
          </cell>
          <cell r="E21">
            <v>2905480427.287631</v>
          </cell>
        </row>
        <row r="24">
          <cell r="C24">
            <v>658611972.16000009</v>
          </cell>
          <cell r="D24">
            <v>768268565.6900003</v>
          </cell>
          <cell r="E24">
            <v>863097240</v>
          </cell>
        </row>
        <row r="27">
          <cell r="C27">
            <v>754377168.58219457</v>
          </cell>
          <cell r="D27">
            <v>885858301</v>
          </cell>
          <cell r="E27">
            <v>682233045</v>
          </cell>
        </row>
        <row r="28">
          <cell r="C28">
            <v>37512292</v>
          </cell>
          <cell r="D28">
            <v>63644729</v>
          </cell>
          <cell r="E28">
            <v>72228885</v>
          </cell>
        </row>
      </sheetData>
      <sheetData sheetId="12"/>
      <sheetData sheetId="13"/>
      <sheetData sheetId="14" refreshError="1"/>
      <sheetData sheetId="15">
        <row r="8">
          <cell r="C8">
            <v>428445912.47000015</v>
          </cell>
          <cell r="D8">
            <v>659900174.60000002</v>
          </cell>
          <cell r="E8">
            <v>601047292</v>
          </cell>
        </row>
        <row r="9">
          <cell r="C9">
            <v>104156505.56999999</v>
          </cell>
          <cell r="D9">
            <v>125201599.53999999</v>
          </cell>
          <cell r="E9">
            <v>93097054</v>
          </cell>
        </row>
        <row r="10">
          <cell r="C10">
            <v>3553.48</v>
          </cell>
          <cell r="D10">
            <v>3890.87</v>
          </cell>
          <cell r="E10">
            <v>11037194</v>
          </cell>
        </row>
      </sheetData>
      <sheetData sheetId="16">
        <row r="11">
          <cell r="D11">
            <v>29592700</v>
          </cell>
          <cell r="E11">
            <v>25979289.917086422</v>
          </cell>
          <cell r="F11">
            <v>103483380</v>
          </cell>
        </row>
        <row r="35">
          <cell r="D35">
            <v>-59829253</v>
          </cell>
          <cell r="E35">
            <v>-57630012</v>
          </cell>
          <cell r="F35">
            <v>-60000000</v>
          </cell>
        </row>
        <row r="40">
          <cell r="C40">
            <v>96966742.070000619</v>
          </cell>
          <cell r="D40">
            <v>3072143.9000000954</v>
          </cell>
          <cell r="E40">
            <v>84084488.899997383</v>
          </cell>
        </row>
      </sheetData>
      <sheetData sheetId="17"/>
      <sheetData sheetId="18">
        <row r="169">
          <cell r="C169">
            <v>244422410.94999999</v>
          </cell>
          <cell r="D169">
            <v>289039668</v>
          </cell>
          <cell r="E169">
            <v>510664584.7100004</v>
          </cell>
        </row>
      </sheetData>
      <sheetData sheetId="19"/>
      <sheetData sheetId="20"/>
      <sheetData sheetId="21"/>
      <sheetData sheetId="22"/>
      <sheetData sheetId="23"/>
      <sheetData sheetId="24"/>
      <sheetData sheetId="25"/>
      <sheetData sheetId="26"/>
      <sheetData sheetId="27">
        <row r="46">
          <cell r="C46">
            <v>150598172.16600001</v>
          </cell>
          <cell r="D46">
            <v>223458576.13750005</v>
          </cell>
          <cell r="E46">
            <v>233006444.02866665</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ow r="102">
          <cell r="C102">
            <v>541296194.2899996</v>
          </cell>
          <cell r="D102">
            <v>0</v>
          </cell>
          <cell r="E102">
            <v>892250806</v>
          </cell>
        </row>
      </sheetData>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13.emf"/><Relationship Id="rId18" Type="http://schemas.openxmlformats.org/officeDocument/2006/relationships/control" Target="../activeX/activeX8.xml"/><Relationship Id="rId3" Type="http://schemas.openxmlformats.org/officeDocument/2006/relationships/vmlDrawing" Target="../drawings/vmlDrawing1.vml"/><Relationship Id="rId21" Type="http://schemas.openxmlformats.org/officeDocument/2006/relationships/ctrlProp" Target="../ctrlProps/ctrlProp2.xml"/><Relationship Id="rId7" Type="http://schemas.openxmlformats.org/officeDocument/2006/relationships/image" Target="../media/image10.emf"/><Relationship Id="rId12" Type="http://schemas.openxmlformats.org/officeDocument/2006/relationships/control" Target="../activeX/activeX5.xml"/><Relationship Id="rId17" Type="http://schemas.openxmlformats.org/officeDocument/2006/relationships/image" Target="../media/image15.emf"/><Relationship Id="rId2" Type="http://schemas.openxmlformats.org/officeDocument/2006/relationships/drawing" Target="../drawings/drawing2.xml"/><Relationship Id="rId16" Type="http://schemas.openxmlformats.org/officeDocument/2006/relationships/control" Target="../activeX/activeX7.xml"/><Relationship Id="rId20" Type="http://schemas.openxmlformats.org/officeDocument/2006/relationships/ctrlProp" Target="../ctrlProps/ctrlProp1.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12.emf"/><Relationship Id="rId5" Type="http://schemas.openxmlformats.org/officeDocument/2006/relationships/image" Target="../media/image9.emf"/><Relationship Id="rId15" Type="http://schemas.openxmlformats.org/officeDocument/2006/relationships/image" Target="../media/image14.emf"/><Relationship Id="rId23" Type="http://schemas.openxmlformats.org/officeDocument/2006/relationships/ctrlProp" Target="../ctrlProps/ctrlProp4.xml"/><Relationship Id="rId10" Type="http://schemas.openxmlformats.org/officeDocument/2006/relationships/control" Target="../activeX/activeX4.xml"/><Relationship Id="rId19" Type="http://schemas.openxmlformats.org/officeDocument/2006/relationships/image" Target="../media/image16.emf"/><Relationship Id="rId4" Type="http://schemas.openxmlformats.org/officeDocument/2006/relationships/control" Target="../activeX/activeX1.xml"/><Relationship Id="rId9" Type="http://schemas.openxmlformats.org/officeDocument/2006/relationships/image" Target="../media/image11.emf"/><Relationship Id="rId14" Type="http://schemas.openxmlformats.org/officeDocument/2006/relationships/control" Target="../activeX/activeX6.xml"/><Relationship Id="rId22" Type="http://schemas.openxmlformats.org/officeDocument/2006/relationships/ctrlProp" Target="../ctrlProps/ctrlProp3.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ctrlProp" Target="../ctrlProps/ctrlProp5.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6.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indexed="46"/>
  </sheetPr>
  <dimension ref="A1:A40"/>
  <sheetViews>
    <sheetView showGridLines="0" zoomScaleNormal="100" workbookViewId="0"/>
  </sheetViews>
  <sheetFormatPr defaultRowHeight="12.75" x14ac:dyDescent="0.2"/>
  <sheetData>
    <row r="1" spans="1:1" x14ac:dyDescent="0.2">
      <c r="A1" t="str">
        <f>muni</f>
        <v>LIM354 Polokwane</v>
      </c>
    </row>
    <row r="14" spans="1:1" ht="36" customHeight="1" x14ac:dyDescent="0.2"/>
    <row r="36" ht="51.75" customHeight="1" x14ac:dyDescent="0.2"/>
    <row r="40" ht="34.5" customHeight="1" x14ac:dyDescent="0.2"/>
  </sheetData>
  <sheetProtection sheet="1" objects="1" scenarios="1"/>
  <phoneticPr fontId="4" type="noConversion"/>
  <pageMargins left="0.75" right="0.75" top="1" bottom="1" header="0.5" footer="0.5"/>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2">
    <tabColor indexed="44"/>
    <pageSetUpPr fitToPage="1"/>
  </sheetPr>
  <dimension ref="A1:Z87"/>
  <sheetViews>
    <sheetView showGridLines="0" zoomScaleNormal="100" workbookViewId="0">
      <pane xSplit="2" ySplit="5" topLeftCell="C6" activePane="bottomRight" state="frozen"/>
      <selection activeCell="C6" sqref="C6"/>
      <selection pane="topRight" activeCell="C6" sqref="C6"/>
      <selection pane="bottomLeft" activeCell="C6" sqref="C6"/>
      <selection pane="bottomRight" activeCell="M41" sqref="C7:M41"/>
    </sheetView>
  </sheetViews>
  <sheetFormatPr defaultColWidth="9.140625" defaultRowHeight="12.75" x14ac:dyDescent="0.25"/>
  <cols>
    <col min="1" max="1" width="34.140625" style="5" customWidth="1"/>
    <col min="2" max="2" width="3.140625" style="58" customWidth="1"/>
    <col min="3" max="13" width="8.7109375" style="5" customWidth="1"/>
    <col min="14" max="16384" width="9.140625" style="5"/>
  </cols>
  <sheetData>
    <row r="1" spans="1:26" ht="13.5" x14ac:dyDescent="0.25">
      <c r="A1" s="57" t="str">
        <f>muni&amp;" - "&amp;_ADJ2&amp;" - "&amp;Date</f>
        <v>LIM354 Polokwane - Table B3 Adjustments Budget Financial Performance (revenue and expenditure by municipal vote) - 2020</v>
      </c>
      <c r="B1" s="5"/>
      <c r="C1" s="58"/>
    </row>
    <row r="2" spans="1:26" ht="38.25" x14ac:dyDescent="0.25">
      <c r="A2" s="1409" t="str">
        <f>Vdesc</f>
        <v>Vote Description</v>
      </c>
      <c r="B2" s="1406" t="str">
        <f>head27</f>
        <v>Ref</v>
      </c>
      <c r="C2" s="1403" t="str">
        <f>Head2</f>
        <v>Budget Year 2020/21</v>
      </c>
      <c r="D2" s="1404"/>
      <c r="E2" s="1404"/>
      <c r="F2" s="1404"/>
      <c r="G2" s="1404"/>
      <c r="H2" s="1404"/>
      <c r="I2" s="1404"/>
      <c r="J2" s="1404"/>
      <c r="K2" s="1404"/>
      <c r="L2" s="60" t="str">
        <f>Head10</f>
        <v>Budget Year +1 2021/22</v>
      </c>
      <c r="M2" s="61" t="str">
        <f>Head11</f>
        <v>Budget Year +2 2022/23</v>
      </c>
    </row>
    <row r="3" spans="1:26" ht="25.5" x14ac:dyDescent="0.25">
      <c r="A3" s="1410"/>
      <c r="B3" s="1407"/>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63" t="str">
        <f>Head7</f>
        <v>Adjusted Budget</v>
      </c>
    </row>
    <row r="4" spans="1:26" ht="13.5" customHeight="1" x14ac:dyDescent="0.25">
      <c r="A4" s="64" t="s">
        <v>602</v>
      </c>
      <c r="B4" s="1407"/>
      <c r="C4" s="65"/>
      <c r="D4" s="15">
        <v>3</v>
      </c>
      <c r="E4" s="15">
        <v>4</v>
      </c>
      <c r="F4" s="15">
        <v>5</v>
      </c>
      <c r="G4" s="15">
        <v>6</v>
      </c>
      <c r="H4" s="15">
        <v>7</v>
      </c>
      <c r="I4" s="15">
        <v>8</v>
      </c>
      <c r="J4" s="15">
        <v>9</v>
      </c>
      <c r="K4" s="15">
        <v>10</v>
      </c>
      <c r="L4" s="15"/>
      <c r="M4" s="17"/>
    </row>
    <row r="5" spans="1:26" ht="13.5" customHeight="1" x14ac:dyDescent="0.25">
      <c r="A5" s="66" t="s">
        <v>603</v>
      </c>
      <c r="B5" s="1415"/>
      <c r="C5" s="67" t="s">
        <v>547</v>
      </c>
      <c r="D5" s="68" t="s">
        <v>548</v>
      </c>
      <c r="E5" s="68" t="s">
        <v>549</v>
      </c>
      <c r="F5" s="69" t="s">
        <v>550</v>
      </c>
      <c r="G5" s="69" t="s">
        <v>551</v>
      </c>
      <c r="H5" s="69" t="s">
        <v>552</v>
      </c>
      <c r="I5" s="70" t="s">
        <v>553</v>
      </c>
      <c r="J5" s="70" t="s">
        <v>554</v>
      </c>
      <c r="K5" s="70" t="s">
        <v>555</v>
      </c>
      <c r="L5" s="70"/>
      <c r="M5" s="71"/>
      <c r="N5" s="48"/>
      <c r="O5" s="48"/>
      <c r="P5" s="48"/>
      <c r="Q5" s="48"/>
      <c r="R5" s="48"/>
      <c r="S5" s="48"/>
      <c r="T5" s="48"/>
      <c r="U5" s="48"/>
      <c r="V5" s="48"/>
      <c r="W5" s="48"/>
      <c r="X5" s="48"/>
      <c r="Y5" s="48"/>
      <c r="Z5" s="48"/>
    </row>
    <row r="6" spans="1:26" ht="12.75" customHeight="1" x14ac:dyDescent="0.25">
      <c r="A6" s="72" t="s">
        <v>604</v>
      </c>
      <c r="B6" s="73">
        <v>1</v>
      </c>
      <c r="C6" s="74"/>
      <c r="D6" s="75"/>
      <c r="E6" s="75"/>
      <c r="F6" s="75"/>
      <c r="G6" s="75"/>
      <c r="H6" s="75"/>
      <c r="I6" s="75"/>
      <c r="J6" s="75"/>
      <c r="K6" s="75"/>
      <c r="L6" s="75"/>
      <c r="M6" s="76"/>
      <c r="N6" s="840"/>
      <c r="O6" s="77"/>
      <c r="P6" s="77"/>
      <c r="Q6" s="77"/>
      <c r="R6" s="77"/>
      <c r="S6" s="77"/>
      <c r="T6" s="77"/>
      <c r="U6" s="77"/>
      <c r="V6" s="77"/>
      <c r="W6" s="77"/>
      <c r="X6" s="77"/>
      <c r="Y6" s="77"/>
      <c r="Z6" s="48"/>
    </row>
    <row r="7" spans="1:26" ht="12.75" customHeight="1" x14ac:dyDescent="0.25">
      <c r="A7" s="925" t="str">
        <f>B3B!A7</f>
        <v>Vote 1 - CHIEF OPERATION OFFICE</v>
      </c>
      <c r="B7" s="73"/>
      <c r="C7" s="127">
        <f>B3B!C7</f>
        <v>8964</v>
      </c>
      <c r="D7" s="171">
        <f>B3B!D7</f>
        <v>8964</v>
      </c>
      <c r="E7" s="171">
        <f>B3B!E7</f>
        <v>0</v>
      </c>
      <c r="F7" s="171">
        <f>B3B!F7</f>
        <v>0</v>
      </c>
      <c r="G7" s="171">
        <f>B3B!G7</f>
        <v>0</v>
      </c>
      <c r="H7" s="171">
        <f>B3B!H7</f>
        <v>0</v>
      </c>
      <c r="I7" s="171">
        <f>B3B!I7</f>
        <v>-604</v>
      </c>
      <c r="J7" s="75">
        <f t="shared" ref="J7:J21" si="0">SUM(E7:I7)</f>
        <v>-604</v>
      </c>
      <c r="K7" s="75">
        <f t="shared" ref="K7:K21" si="1">IF(D7=0,C7+J7,D7+J7)</f>
        <v>8360</v>
      </c>
      <c r="L7" s="171">
        <f>B3B!L7</f>
        <v>8964</v>
      </c>
      <c r="M7" s="235">
        <f>B3B!M7</f>
        <v>9351.3072168778181</v>
      </c>
      <c r="N7" s="841"/>
      <c r="O7" s="77"/>
      <c r="P7" s="77"/>
      <c r="Q7" s="77"/>
      <c r="R7" s="77"/>
      <c r="S7" s="77"/>
      <c r="T7" s="77"/>
      <c r="U7" s="77"/>
      <c r="V7" s="77"/>
      <c r="W7" s="77"/>
      <c r="X7" s="77"/>
      <c r="Y7" s="77"/>
      <c r="Z7" s="48"/>
    </row>
    <row r="8" spans="1:26" ht="12.75" customHeight="1" x14ac:dyDescent="0.25">
      <c r="A8" s="925" t="str">
        <f>B3B!A18</f>
        <v>Vote 2 - MUNICIPAL MANAGER'S OFFICE</v>
      </c>
      <c r="B8" s="73"/>
      <c r="C8" s="127">
        <f>B3B!C18</f>
        <v>2003988</v>
      </c>
      <c r="D8" s="171">
        <f>B3B!D18</f>
        <v>2003988</v>
      </c>
      <c r="E8" s="171">
        <f>B3B!E18</f>
        <v>0</v>
      </c>
      <c r="F8" s="171">
        <f>B3B!F18</f>
        <v>0</v>
      </c>
      <c r="G8" s="171">
        <f>B3B!G18</f>
        <v>0</v>
      </c>
      <c r="H8" s="171">
        <f>B3B!H18</f>
        <v>0</v>
      </c>
      <c r="I8" s="171">
        <f>B3B!I18</f>
        <v>-499808</v>
      </c>
      <c r="J8" s="75">
        <f t="shared" si="0"/>
        <v>-499808</v>
      </c>
      <c r="K8" s="75">
        <f t="shared" si="1"/>
        <v>1504180</v>
      </c>
      <c r="L8" s="171">
        <f>B3B!L18</f>
        <v>2003988</v>
      </c>
      <c r="M8" s="235">
        <f>B3B!M18</f>
        <v>2090574.2354904669</v>
      </c>
      <c r="N8" s="841"/>
      <c r="O8" s="77"/>
      <c r="P8" s="77"/>
      <c r="Q8" s="77"/>
      <c r="R8" s="77"/>
      <c r="S8" s="77"/>
      <c r="T8" s="77"/>
      <c r="U8" s="77"/>
      <c r="V8" s="77"/>
      <c r="W8" s="77"/>
      <c r="X8" s="77"/>
      <c r="Y8" s="77"/>
      <c r="Z8" s="48"/>
    </row>
    <row r="9" spans="1:26" ht="12.75" customHeight="1" x14ac:dyDescent="0.25">
      <c r="A9" s="925" t="str">
        <f>B3B!A29</f>
        <v>Vote 3 - WATER AND SANITATION</v>
      </c>
      <c r="B9" s="73"/>
      <c r="C9" s="127">
        <f>B3B!C29</f>
        <v>471441984</v>
      </c>
      <c r="D9" s="171">
        <f>B3B!D29</f>
        <v>471441984</v>
      </c>
      <c r="E9" s="171">
        <f>B3B!E29</f>
        <v>0</v>
      </c>
      <c r="F9" s="171">
        <f>B3B!F29</f>
        <v>0</v>
      </c>
      <c r="G9" s="171">
        <f>B3B!G29</f>
        <v>0</v>
      </c>
      <c r="H9" s="171">
        <f>B3B!H29</f>
        <v>0</v>
      </c>
      <c r="I9" s="171">
        <f>B3B!I29</f>
        <v>-90852506</v>
      </c>
      <c r="J9" s="75">
        <f t="shared" si="0"/>
        <v>-90852506</v>
      </c>
      <c r="K9" s="75">
        <f t="shared" si="1"/>
        <v>380589478</v>
      </c>
      <c r="L9" s="171">
        <f>B3B!L29</f>
        <v>499727988</v>
      </c>
      <c r="M9" s="235">
        <f>B3B!M29</f>
        <v>521319716.71800894</v>
      </c>
      <c r="N9" s="840"/>
      <c r="O9" s="77"/>
      <c r="P9" s="77"/>
      <c r="Q9" s="77"/>
      <c r="R9" s="77"/>
      <c r="S9" s="77"/>
      <c r="T9" s="77"/>
      <c r="U9" s="77"/>
      <c r="V9" s="77"/>
      <c r="W9" s="77"/>
      <c r="X9" s="77"/>
      <c r="Y9" s="77"/>
      <c r="Z9" s="48"/>
    </row>
    <row r="10" spans="1:26" ht="12.75" customHeight="1" x14ac:dyDescent="0.25">
      <c r="A10" s="925" t="str">
        <f>B3B!A40</f>
        <v>Vote 4 - ENERGY</v>
      </c>
      <c r="B10" s="73"/>
      <c r="C10" s="127">
        <f>B3B!C40</f>
        <v>1355755992</v>
      </c>
      <c r="D10" s="171">
        <f>B3B!D40</f>
        <v>1355755992</v>
      </c>
      <c r="E10" s="171">
        <f>B3B!E40</f>
        <v>0</v>
      </c>
      <c r="F10" s="171">
        <f>B3B!F40</f>
        <v>0</v>
      </c>
      <c r="G10" s="171">
        <f>B3B!G40</f>
        <v>0</v>
      </c>
      <c r="H10" s="171">
        <f>B3B!H40</f>
        <v>0</v>
      </c>
      <c r="I10" s="171">
        <f>B3B!I40</f>
        <v>-121162219</v>
      </c>
      <c r="J10" s="75">
        <f t="shared" si="0"/>
        <v>-121162219</v>
      </c>
      <c r="K10" s="75">
        <f t="shared" si="1"/>
        <v>1234593773</v>
      </c>
      <c r="L10" s="171">
        <f>B3B!L40</f>
        <v>1492885968</v>
      </c>
      <c r="M10" s="235">
        <f>B3B!M40</f>
        <v>1557389036.8734965</v>
      </c>
      <c r="N10" s="840"/>
      <c r="O10" s="77"/>
      <c r="P10" s="77"/>
      <c r="Q10" s="77"/>
      <c r="R10" s="77"/>
      <c r="S10" s="77"/>
      <c r="T10" s="77"/>
      <c r="U10" s="77"/>
      <c r="V10" s="77"/>
      <c r="W10" s="77"/>
      <c r="X10" s="77"/>
      <c r="Y10" s="77"/>
      <c r="Z10" s="48"/>
    </row>
    <row r="11" spans="1:26" ht="12.75" customHeight="1" x14ac:dyDescent="0.25">
      <c r="A11" s="925" t="str">
        <f>B3B!A51</f>
        <v>Vote 5 - COMMUNITY SERVICES</v>
      </c>
      <c r="B11" s="73"/>
      <c r="C11" s="127">
        <f>B3B!C51</f>
        <v>151340964</v>
      </c>
      <c r="D11" s="171">
        <f>B3B!D51</f>
        <v>151340964</v>
      </c>
      <c r="E11" s="171">
        <f>B3B!E51</f>
        <v>0</v>
      </c>
      <c r="F11" s="171">
        <f>B3B!F51</f>
        <v>0</v>
      </c>
      <c r="G11" s="171">
        <f>B3B!G51</f>
        <v>0</v>
      </c>
      <c r="H11" s="171">
        <f>B3B!H51</f>
        <v>0</v>
      </c>
      <c r="I11" s="171">
        <f>B3B!I51</f>
        <v>-15494246</v>
      </c>
      <c r="J11" s="75">
        <f t="shared" si="0"/>
        <v>-15494246</v>
      </c>
      <c r="K11" s="75">
        <f t="shared" si="1"/>
        <v>135846718</v>
      </c>
      <c r="L11" s="171">
        <f>B3B!L51</f>
        <v>163533948</v>
      </c>
      <c r="M11" s="235">
        <f>B3B!M51</f>
        <v>170599753.25043753</v>
      </c>
      <c r="N11" s="840"/>
      <c r="O11" s="77"/>
      <c r="P11" s="77"/>
      <c r="Q11" s="77"/>
      <c r="R11" s="77"/>
      <c r="S11" s="77"/>
      <c r="T11" s="77"/>
      <c r="U11" s="77"/>
      <c r="V11" s="77"/>
      <c r="W11" s="77"/>
      <c r="X11" s="77"/>
      <c r="Y11" s="77"/>
      <c r="Z11" s="48"/>
    </row>
    <row r="12" spans="1:26" ht="12.75" customHeight="1" x14ac:dyDescent="0.25">
      <c r="A12" s="925" t="str">
        <f>B3B!A62</f>
        <v>Vote 6 - PUBLIC SAFETY</v>
      </c>
      <c r="B12" s="73"/>
      <c r="C12" s="127">
        <f>B3B!C62</f>
        <v>70244940</v>
      </c>
      <c r="D12" s="171">
        <f>B3B!D62</f>
        <v>70244940</v>
      </c>
      <c r="E12" s="171">
        <f>B3B!E62</f>
        <v>0</v>
      </c>
      <c r="F12" s="171">
        <f>B3B!F62</f>
        <v>0</v>
      </c>
      <c r="G12" s="171">
        <f>B3B!G62</f>
        <v>0</v>
      </c>
      <c r="H12" s="171">
        <f>B3B!H62</f>
        <v>0</v>
      </c>
      <c r="I12" s="171">
        <f>B3B!I62</f>
        <v>-17116799</v>
      </c>
      <c r="J12" s="75">
        <f t="shared" si="0"/>
        <v>-17116799</v>
      </c>
      <c r="K12" s="75">
        <f t="shared" si="1"/>
        <v>53128141</v>
      </c>
      <c r="L12" s="171">
        <f>B3B!L62</f>
        <v>74458956</v>
      </c>
      <c r="M12" s="235">
        <f>B3B!M62</f>
        <v>77676101.361444429</v>
      </c>
      <c r="N12" s="840"/>
      <c r="O12" s="77"/>
      <c r="P12" s="77"/>
      <c r="Q12" s="77"/>
      <c r="R12" s="77"/>
      <c r="S12" s="77"/>
      <c r="T12" s="77"/>
      <c r="U12" s="77"/>
      <c r="V12" s="77"/>
      <c r="W12" s="77"/>
      <c r="X12" s="77"/>
      <c r="Y12" s="77"/>
      <c r="Z12" s="48"/>
    </row>
    <row r="13" spans="1:26" ht="12.75" customHeight="1" x14ac:dyDescent="0.25">
      <c r="A13" s="925" t="str">
        <f>B3B!A73</f>
        <v>Vote 7 - CORPORATE AND SHARED SERVICES</v>
      </c>
      <c r="B13" s="73"/>
      <c r="C13" s="127">
        <f>B3B!C73</f>
        <v>6007956</v>
      </c>
      <c r="D13" s="171">
        <f>B3B!D73</f>
        <v>6007956</v>
      </c>
      <c r="E13" s="171">
        <f>B3B!E73</f>
        <v>0</v>
      </c>
      <c r="F13" s="171">
        <f>B3B!F73</f>
        <v>0</v>
      </c>
      <c r="G13" s="171">
        <f>B3B!G73</f>
        <v>0</v>
      </c>
      <c r="H13" s="171">
        <f>B3B!H73</f>
        <v>0</v>
      </c>
      <c r="I13" s="171">
        <f>B3B!I73</f>
        <v>-1879591</v>
      </c>
      <c r="J13" s="75">
        <f t="shared" si="0"/>
        <v>-1879591</v>
      </c>
      <c r="K13" s="75">
        <f t="shared" si="1"/>
        <v>4128365</v>
      </c>
      <c r="L13" s="171">
        <f>B3B!L73</f>
        <v>6366948</v>
      </c>
      <c r="M13" s="235">
        <f>B3B!M73</f>
        <v>6642044.4870466078</v>
      </c>
      <c r="N13" s="840"/>
      <c r="O13" s="77"/>
      <c r="P13" s="77"/>
      <c r="Q13" s="77"/>
      <c r="R13" s="77"/>
      <c r="S13" s="77"/>
      <c r="T13" s="77"/>
      <c r="U13" s="77"/>
      <c r="V13" s="77"/>
      <c r="W13" s="77"/>
      <c r="X13" s="77"/>
      <c r="Y13" s="77"/>
      <c r="Z13" s="48"/>
    </row>
    <row r="14" spans="1:26" ht="12.75" customHeight="1" x14ac:dyDescent="0.25">
      <c r="A14" s="925" t="str">
        <f>B3B!A84</f>
        <v xml:space="preserve">Vote 8 - PLANNING AND ECONOMIC DEVELOPMENT </v>
      </c>
      <c r="B14" s="73"/>
      <c r="C14" s="127">
        <f>B3B!C84</f>
        <v>55686956</v>
      </c>
      <c r="D14" s="171">
        <f>B3B!D84</f>
        <v>55686956</v>
      </c>
      <c r="E14" s="171">
        <f>B3B!E84</f>
        <v>0</v>
      </c>
      <c r="F14" s="171">
        <f>B3B!F84</f>
        <v>0</v>
      </c>
      <c r="G14" s="171">
        <f>B3B!G84</f>
        <v>0</v>
      </c>
      <c r="H14" s="171">
        <f>B3B!H84</f>
        <v>0</v>
      </c>
      <c r="I14" s="171">
        <f>B3B!I84</f>
        <v>-5283640</v>
      </c>
      <c r="J14" s="75">
        <f t="shared" si="0"/>
        <v>-5283640</v>
      </c>
      <c r="K14" s="75">
        <f t="shared" si="1"/>
        <v>50403316</v>
      </c>
      <c r="L14" s="171">
        <f>B3B!L84</f>
        <v>60086940</v>
      </c>
      <c r="M14" s="235">
        <f>B3B!M84</f>
        <v>62683114.197021909</v>
      </c>
      <c r="N14" s="840"/>
      <c r="O14" s="77"/>
      <c r="P14" s="77"/>
      <c r="Q14" s="77"/>
      <c r="R14" s="77"/>
      <c r="S14" s="77"/>
      <c r="T14" s="77"/>
      <c r="U14" s="77"/>
      <c r="V14" s="77"/>
      <c r="W14" s="77"/>
      <c r="X14" s="77"/>
      <c r="Y14" s="77"/>
      <c r="Z14" s="48"/>
    </row>
    <row r="15" spans="1:26" ht="12.75" customHeight="1" x14ac:dyDescent="0.25">
      <c r="A15" s="925" t="str">
        <f>B3B!A95</f>
        <v>Vote 9 - BUDGET AND TREASURY OFFICE</v>
      </c>
      <c r="B15" s="73"/>
      <c r="C15" s="127">
        <f>B3B!C95</f>
        <v>2560404219.0144</v>
      </c>
      <c r="D15" s="171">
        <f>B3B!D95</f>
        <v>2614547219.0144</v>
      </c>
      <c r="E15" s="171">
        <f>B3B!E95</f>
        <v>0</v>
      </c>
      <c r="F15" s="171">
        <f>B3B!F95</f>
        <v>0</v>
      </c>
      <c r="G15" s="171">
        <f>B3B!G95</f>
        <v>0</v>
      </c>
      <c r="H15" s="171">
        <f>B3B!H95</f>
        <v>100212533</v>
      </c>
      <c r="I15" s="171">
        <f>B3B!I95</f>
        <v>176577465.98559999</v>
      </c>
      <c r="J15" s="75">
        <f t="shared" si="0"/>
        <v>276789998.98559999</v>
      </c>
      <c r="K15" s="75">
        <f t="shared" si="1"/>
        <v>2891337218</v>
      </c>
      <c r="L15" s="171">
        <f>B3B!L95</f>
        <v>2430417107.0251498</v>
      </c>
      <c r="M15" s="235">
        <f>B3B!M95</f>
        <v>2565222816.2534213</v>
      </c>
      <c r="N15" s="840"/>
      <c r="O15" s="77"/>
      <c r="P15" s="77"/>
      <c r="Q15" s="77"/>
      <c r="R15" s="77"/>
      <c r="S15" s="77"/>
      <c r="T15" s="77"/>
      <c r="U15" s="77"/>
      <c r="V15" s="77"/>
      <c r="W15" s="77"/>
      <c r="X15" s="77"/>
      <c r="Y15" s="77"/>
      <c r="Z15" s="48"/>
    </row>
    <row r="16" spans="1:26" ht="12.75" customHeight="1" x14ac:dyDescent="0.25">
      <c r="A16" s="925" t="str">
        <f>B3B!A106</f>
        <v xml:space="preserve">Vote 10 - TRANSPORT SERVICES </v>
      </c>
      <c r="B16" s="73"/>
      <c r="C16" s="127">
        <f>B3B!C106</f>
        <v>292956</v>
      </c>
      <c r="D16" s="171">
        <f>B3B!D106</f>
        <v>292956</v>
      </c>
      <c r="E16" s="171">
        <f>B3B!E106</f>
        <v>0</v>
      </c>
      <c r="F16" s="171">
        <f>B3B!F106</f>
        <v>0</v>
      </c>
      <c r="G16" s="171">
        <f>B3B!G106</f>
        <v>0</v>
      </c>
      <c r="H16" s="171">
        <f>B3B!H106</f>
        <v>0</v>
      </c>
      <c r="I16" s="171">
        <f>B3B!I106</f>
        <v>30795040</v>
      </c>
      <c r="J16" s="75">
        <f t="shared" si="0"/>
        <v>30795040</v>
      </c>
      <c r="K16" s="75">
        <f t="shared" si="1"/>
        <v>31087996</v>
      </c>
      <c r="L16" s="171">
        <f>B3B!L106</f>
        <v>310956</v>
      </c>
      <c r="M16" s="235">
        <f>B3B!M106</f>
        <v>324391.46440556203</v>
      </c>
      <c r="N16" s="840"/>
      <c r="O16" s="77"/>
      <c r="P16" s="77"/>
      <c r="Q16" s="77"/>
      <c r="R16" s="77"/>
      <c r="S16" s="77"/>
      <c r="T16" s="77"/>
      <c r="U16" s="77"/>
      <c r="V16" s="77"/>
      <c r="W16" s="77"/>
      <c r="X16" s="77"/>
      <c r="Y16" s="77"/>
      <c r="Z16" s="48"/>
    </row>
    <row r="17" spans="1:26" ht="12.75" customHeight="1" x14ac:dyDescent="0.25">
      <c r="A17" s="925" t="str">
        <f>B3B!A117</f>
        <v>Vote 11 - HUMAN SETTLEMENT</v>
      </c>
      <c r="B17" s="73"/>
      <c r="C17" s="127">
        <f>B3B!C117</f>
        <v>9388992</v>
      </c>
      <c r="D17" s="171">
        <f>B3B!D117</f>
        <v>9388992</v>
      </c>
      <c r="E17" s="171">
        <f>B3B!E117</f>
        <v>0</v>
      </c>
      <c r="F17" s="171">
        <f>B3B!F117</f>
        <v>0</v>
      </c>
      <c r="G17" s="171">
        <f>B3B!G117</f>
        <v>0</v>
      </c>
      <c r="H17" s="171">
        <f>B3B!H117</f>
        <v>0</v>
      </c>
      <c r="I17" s="171">
        <f>B3B!I117</f>
        <v>-8869077</v>
      </c>
      <c r="J17" s="75">
        <f t="shared" si="0"/>
        <v>-8869077</v>
      </c>
      <c r="K17" s="75">
        <f t="shared" si="1"/>
        <v>519915</v>
      </c>
      <c r="L17" s="171">
        <f>B3B!L117</f>
        <v>9952992</v>
      </c>
      <c r="M17" s="235">
        <f>B3B!M117</f>
        <v>10383030.557689333</v>
      </c>
      <c r="N17" s="840"/>
      <c r="O17" s="77"/>
      <c r="P17" s="77"/>
      <c r="Q17" s="77"/>
      <c r="R17" s="77"/>
      <c r="S17" s="77"/>
      <c r="T17" s="77"/>
      <c r="U17" s="77"/>
      <c r="V17" s="77"/>
      <c r="W17" s="77"/>
      <c r="X17" s="77"/>
      <c r="Y17" s="77"/>
      <c r="Z17" s="48"/>
    </row>
    <row r="18" spans="1:26" ht="12.75" customHeight="1" x14ac:dyDescent="0.25">
      <c r="A18" s="925" t="str">
        <f>B3B!A128</f>
        <v>11.2 - HUMAN SETTLEMENT - HOUSING ADMINISTRATION</v>
      </c>
      <c r="B18" s="73"/>
      <c r="C18" s="127">
        <f>B3B!C128</f>
        <v>0</v>
      </c>
      <c r="D18" s="171">
        <f>B3B!D128</f>
        <v>0</v>
      </c>
      <c r="E18" s="171">
        <f>B3B!E128</f>
        <v>0</v>
      </c>
      <c r="F18" s="171">
        <f>B3B!F128</f>
        <v>0</v>
      </c>
      <c r="G18" s="171">
        <f>B3B!G128</f>
        <v>0</v>
      </c>
      <c r="H18" s="171">
        <f>B3B!H128</f>
        <v>0</v>
      </c>
      <c r="I18" s="171">
        <f>B3B!I128</f>
        <v>0</v>
      </c>
      <c r="J18" s="75">
        <f t="shared" si="0"/>
        <v>0</v>
      </c>
      <c r="K18" s="75">
        <f t="shared" si="1"/>
        <v>0</v>
      </c>
      <c r="L18" s="171">
        <f>B3B!L128</f>
        <v>0</v>
      </c>
      <c r="M18" s="235">
        <f>B3B!M128</f>
        <v>0</v>
      </c>
      <c r="N18" s="840"/>
      <c r="O18" s="77"/>
      <c r="P18" s="77"/>
      <c r="Q18" s="77"/>
      <c r="R18" s="77"/>
      <c r="S18" s="77"/>
      <c r="T18" s="77"/>
      <c r="U18" s="77"/>
      <c r="V18" s="77"/>
      <c r="W18" s="77"/>
      <c r="X18" s="77"/>
      <c r="Y18" s="77"/>
      <c r="Z18" s="48"/>
    </row>
    <row r="19" spans="1:26" ht="12.75" customHeight="1" x14ac:dyDescent="0.25">
      <c r="A19" s="925" t="str">
        <f>B3B!A139</f>
        <v>Vote 13 - [NAME OF VOTE 13]</v>
      </c>
      <c r="B19" s="73"/>
      <c r="C19" s="127">
        <f>B3B!C139</f>
        <v>0</v>
      </c>
      <c r="D19" s="171">
        <f>B3B!D139</f>
        <v>0</v>
      </c>
      <c r="E19" s="171">
        <f>B3B!E139</f>
        <v>0</v>
      </c>
      <c r="F19" s="171">
        <f>B3B!F139</f>
        <v>0</v>
      </c>
      <c r="G19" s="171">
        <f>B3B!G139</f>
        <v>0</v>
      </c>
      <c r="H19" s="171">
        <f>B3B!H139</f>
        <v>0</v>
      </c>
      <c r="I19" s="171">
        <f>B3B!I139</f>
        <v>0</v>
      </c>
      <c r="J19" s="75">
        <f t="shared" si="0"/>
        <v>0</v>
      </c>
      <c r="K19" s="75">
        <f t="shared" si="1"/>
        <v>0</v>
      </c>
      <c r="L19" s="171">
        <f>B3B!L139</f>
        <v>0</v>
      </c>
      <c r="M19" s="235">
        <f>B3B!M139</f>
        <v>0</v>
      </c>
      <c r="N19" s="840"/>
      <c r="O19" s="77"/>
      <c r="P19" s="77"/>
      <c r="Q19" s="77"/>
      <c r="R19" s="77"/>
      <c r="S19" s="77"/>
      <c r="T19" s="77"/>
      <c r="U19" s="77"/>
      <c r="V19" s="77"/>
      <c r="W19" s="77"/>
      <c r="X19" s="77"/>
      <c r="Y19" s="77"/>
      <c r="Z19" s="48"/>
    </row>
    <row r="20" spans="1:26" ht="12.75" customHeight="1" x14ac:dyDescent="0.25">
      <c r="A20" s="925" t="str">
        <f>B3B!A150</f>
        <v>Vote 14 - [NAME OF VOTE 14]</v>
      </c>
      <c r="B20" s="73"/>
      <c r="C20" s="127">
        <f>B3B!C150</f>
        <v>0</v>
      </c>
      <c r="D20" s="171">
        <f>B3B!D150</f>
        <v>0</v>
      </c>
      <c r="E20" s="171">
        <f>B3B!E150</f>
        <v>0</v>
      </c>
      <c r="F20" s="171">
        <f>B3B!F150</f>
        <v>0</v>
      </c>
      <c r="G20" s="171">
        <f>B3B!G150</f>
        <v>0</v>
      </c>
      <c r="H20" s="171">
        <f>B3B!H150</f>
        <v>0</v>
      </c>
      <c r="I20" s="171">
        <f>B3B!I150</f>
        <v>0</v>
      </c>
      <c r="J20" s="75">
        <f t="shared" si="0"/>
        <v>0</v>
      </c>
      <c r="K20" s="75">
        <f t="shared" si="1"/>
        <v>0</v>
      </c>
      <c r="L20" s="171">
        <f>B3B!L150</f>
        <v>0</v>
      </c>
      <c r="M20" s="235">
        <f>B3B!M150</f>
        <v>0</v>
      </c>
      <c r="N20" s="840"/>
      <c r="O20" s="77"/>
      <c r="P20" s="77"/>
      <c r="Q20" s="77"/>
      <c r="R20" s="77"/>
      <c r="S20" s="77"/>
      <c r="T20" s="77"/>
      <c r="U20" s="77"/>
      <c r="V20" s="77"/>
      <c r="W20" s="77"/>
      <c r="X20" s="77"/>
      <c r="Y20" s="77"/>
      <c r="Z20" s="48"/>
    </row>
    <row r="21" spans="1:26" ht="12.75" customHeight="1" x14ac:dyDescent="0.25">
      <c r="A21" s="925" t="str">
        <f>B3B!A161</f>
        <v>Vote 15 - [NAME OF VOTE 15]</v>
      </c>
      <c r="B21" s="73"/>
      <c r="C21" s="127">
        <f>B3B!C161</f>
        <v>0</v>
      </c>
      <c r="D21" s="171">
        <f>B3B!D161</f>
        <v>0</v>
      </c>
      <c r="E21" s="171">
        <f>B3B!E161</f>
        <v>0</v>
      </c>
      <c r="F21" s="171">
        <f>B3B!F161</f>
        <v>0</v>
      </c>
      <c r="G21" s="171">
        <f>B3B!G161</f>
        <v>0</v>
      </c>
      <c r="H21" s="171">
        <f>B3B!H161</f>
        <v>0</v>
      </c>
      <c r="I21" s="171">
        <f>B3B!I161</f>
        <v>0</v>
      </c>
      <c r="J21" s="75">
        <f t="shared" si="0"/>
        <v>0</v>
      </c>
      <c r="K21" s="75">
        <f t="shared" si="1"/>
        <v>0</v>
      </c>
      <c r="L21" s="171">
        <f>B3B!L161</f>
        <v>0</v>
      </c>
      <c r="M21" s="235">
        <f>B3B!M161</f>
        <v>0</v>
      </c>
      <c r="N21" s="840"/>
      <c r="O21" s="77"/>
      <c r="P21" s="77"/>
      <c r="Q21" s="77"/>
      <c r="R21" s="77"/>
      <c r="S21" s="77"/>
      <c r="T21" s="77"/>
      <c r="U21" s="77"/>
      <c r="V21" s="77"/>
      <c r="W21" s="77"/>
      <c r="X21" s="77"/>
      <c r="Y21" s="77"/>
      <c r="Z21" s="48"/>
    </row>
    <row r="22" spans="1:26" ht="12.75" customHeight="1" x14ac:dyDescent="0.25">
      <c r="A22" s="78" t="s">
        <v>605</v>
      </c>
      <c r="B22" s="79">
        <v>2</v>
      </c>
      <c r="C22" s="80">
        <f>SUM(C7:C21)</f>
        <v>4682577911.0144005</v>
      </c>
      <c r="D22" s="81">
        <f t="shared" ref="D22:K22" si="2">SUM(D7:D21)</f>
        <v>4736720911.0144005</v>
      </c>
      <c r="E22" s="81">
        <f t="shared" si="2"/>
        <v>0</v>
      </c>
      <c r="F22" s="81">
        <f t="shared" si="2"/>
        <v>0</v>
      </c>
      <c r="G22" s="81">
        <f t="shared" si="2"/>
        <v>0</v>
      </c>
      <c r="H22" s="81">
        <f t="shared" si="2"/>
        <v>100212533</v>
      </c>
      <c r="I22" s="81">
        <f t="shared" si="2"/>
        <v>-53785984.014400005</v>
      </c>
      <c r="J22" s="81">
        <f>SUM(J7:J21)</f>
        <v>46426548.985599995</v>
      </c>
      <c r="K22" s="81">
        <f t="shared" si="2"/>
        <v>4783147460</v>
      </c>
      <c r="L22" s="81">
        <f>SUM(L7:L21)</f>
        <v>4739754755.0251503</v>
      </c>
      <c r="M22" s="82">
        <f>SUM(M7:M21)</f>
        <v>4974339930.7056799</v>
      </c>
      <c r="N22" s="545"/>
      <c r="O22" s="53"/>
      <c r="P22" s="53"/>
      <c r="Q22" s="53"/>
      <c r="R22" s="53"/>
      <c r="S22" s="53"/>
      <c r="T22" s="53"/>
      <c r="U22" s="53"/>
      <c r="V22" s="53"/>
      <c r="W22" s="53"/>
      <c r="X22" s="53"/>
      <c r="Y22" s="53"/>
      <c r="Z22" s="48"/>
    </row>
    <row r="23" spans="1:26" ht="5.0999999999999996" customHeight="1" x14ac:dyDescent="0.25">
      <c r="A23" s="83"/>
      <c r="B23" s="73"/>
      <c r="C23" s="74"/>
      <c r="D23" s="75"/>
      <c r="E23" s="75"/>
      <c r="F23" s="75"/>
      <c r="G23" s="75"/>
      <c r="H23" s="75"/>
      <c r="I23" s="75"/>
      <c r="J23" s="75"/>
      <c r="K23" s="75"/>
      <c r="L23" s="75"/>
      <c r="M23" s="76"/>
      <c r="N23" s="86"/>
      <c r="O23" s="84"/>
      <c r="P23" s="84"/>
      <c r="Q23" s="84"/>
      <c r="R23" s="84"/>
      <c r="S23" s="84"/>
      <c r="T23" s="84"/>
      <c r="U23" s="84"/>
      <c r="V23" s="84"/>
      <c r="W23" s="84"/>
      <c r="X23" s="84"/>
      <c r="Y23" s="84"/>
      <c r="Z23" s="48"/>
    </row>
    <row r="24" spans="1:26" ht="12.75" customHeight="1" x14ac:dyDescent="0.25">
      <c r="A24" s="72" t="s">
        <v>606</v>
      </c>
      <c r="B24" s="73">
        <v>1</v>
      </c>
      <c r="C24" s="74"/>
      <c r="D24" s="75"/>
      <c r="E24" s="75"/>
      <c r="F24" s="75"/>
      <c r="G24" s="75"/>
      <c r="H24" s="75"/>
      <c r="I24" s="75"/>
      <c r="J24" s="75"/>
      <c r="K24" s="75"/>
      <c r="L24" s="75"/>
      <c r="M24" s="76"/>
      <c r="N24" s="86"/>
      <c r="O24" s="84"/>
      <c r="P24" s="84"/>
      <c r="Q24" s="84"/>
      <c r="R24" s="84"/>
      <c r="S24" s="84"/>
      <c r="T24" s="84"/>
      <c r="U24" s="84"/>
      <c r="V24" s="84"/>
      <c r="W24" s="84"/>
      <c r="X24" s="84"/>
      <c r="Y24" s="84"/>
      <c r="Z24" s="48"/>
    </row>
    <row r="25" spans="1:26" ht="12.75" customHeight="1" x14ac:dyDescent="0.25">
      <c r="A25" s="85" t="str">
        <f>B3B!A175</f>
        <v>Vote 1 - CHIEF OPERATION OFFICE</v>
      </c>
      <c r="B25" s="73"/>
      <c r="C25" s="127">
        <f>B3B!C175</f>
        <v>165657857</v>
      </c>
      <c r="D25" s="171">
        <f>B3B!D175</f>
        <v>165657857</v>
      </c>
      <c r="E25" s="171">
        <f>B3B!E175</f>
        <v>0</v>
      </c>
      <c r="F25" s="171">
        <f>B3B!F175</f>
        <v>0</v>
      </c>
      <c r="G25" s="171">
        <f>B3B!G175</f>
        <v>0</v>
      </c>
      <c r="H25" s="171">
        <f>B3B!H175</f>
        <v>0</v>
      </c>
      <c r="I25" s="171">
        <f>B3B!I175</f>
        <v>-19369354</v>
      </c>
      <c r="J25" s="75">
        <f t="shared" ref="J25:J39" si="3">SUM(E25:I25)</f>
        <v>-19369354</v>
      </c>
      <c r="K25" s="75">
        <f t="shared" ref="K25:K39" si="4">IF(D25=0,C25+J25,D25+J25)</f>
        <v>146288503</v>
      </c>
      <c r="L25" s="171">
        <f>B3B!L175</f>
        <v>179074891.17568341</v>
      </c>
      <c r="M25" s="235">
        <f>B3B!M175</f>
        <v>191863992.45468855</v>
      </c>
      <c r="N25" s="841"/>
      <c r="O25" s="84"/>
      <c r="P25" s="84"/>
      <c r="Q25" s="84"/>
      <c r="R25" s="84"/>
      <c r="S25" s="84"/>
      <c r="T25" s="84"/>
      <c r="U25" s="84"/>
      <c r="V25" s="84"/>
      <c r="W25" s="84"/>
      <c r="X25" s="84"/>
      <c r="Y25" s="84"/>
      <c r="Z25" s="48"/>
    </row>
    <row r="26" spans="1:26" ht="12.75" customHeight="1" x14ac:dyDescent="0.25">
      <c r="A26" s="85" t="str">
        <f>B3B!A186</f>
        <v>Vote 2 - MUNICIPAL MANAGER'S OFFICE</v>
      </c>
      <c r="B26" s="73"/>
      <c r="C26" s="127">
        <f>B3B!C186</f>
        <v>357910903</v>
      </c>
      <c r="D26" s="171">
        <f>B3B!D186</f>
        <v>357910903</v>
      </c>
      <c r="E26" s="171">
        <f>B3B!E186</f>
        <v>0</v>
      </c>
      <c r="F26" s="171">
        <f>B3B!F186</f>
        <v>0</v>
      </c>
      <c r="G26" s="171">
        <f>B3B!G186</f>
        <v>0</v>
      </c>
      <c r="H26" s="171">
        <f>B3B!H186</f>
        <v>0</v>
      </c>
      <c r="I26" s="171">
        <f>B3B!I186</f>
        <v>20626976</v>
      </c>
      <c r="J26" s="75">
        <f t="shared" si="3"/>
        <v>20626976</v>
      </c>
      <c r="K26" s="75">
        <f t="shared" si="4"/>
        <v>378537879</v>
      </c>
      <c r="L26" s="171">
        <f>B3B!L186</f>
        <v>386898980.62194282</v>
      </c>
      <c r="M26" s="235">
        <f>B3B!M186</f>
        <v>414530382.29658359</v>
      </c>
      <c r="N26" s="841"/>
      <c r="O26" s="86"/>
      <c r="P26" s="86"/>
      <c r="Q26" s="86"/>
      <c r="R26" s="86"/>
      <c r="S26" s="86"/>
      <c r="T26" s="86"/>
      <c r="U26" s="86"/>
      <c r="V26" s="86"/>
      <c r="W26" s="86"/>
      <c r="X26" s="86"/>
      <c r="Y26" s="86"/>
      <c r="Z26" s="48"/>
    </row>
    <row r="27" spans="1:26" ht="12.75" customHeight="1" x14ac:dyDescent="0.25">
      <c r="A27" s="85" t="str">
        <f>B3B!A197</f>
        <v>Vote 3 - WATER AND SANITATION</v>
      </c>
      <c r="B27" s="73"/>
      <c r="C27" s="127">
        <f>B3B!C197</f>
        <v>446538856</v>
      </c>
      <c r="D27" s="171">
        <f>B3B!D197</f>
        <v>476538856</v>
      </c>
      <c r="E27" s="171">
        <f>B3B!E197</f>
        <v>0</v>
      </c>
      <c r="F27" s="171">
        <f>B3B!F197</f>
        <v>0</v>
      </c>
      <c r="G27" s="171">
        <f>B3B!G197</f>
        <v>0</v>
      </c>
      <c r="H27" s="171">
        <f>B3B!H197</f>
        <v>12619994</v>
      </c>
      <c r="I27" s="171">
        <f>B3B!I197</f>
        <v>131813869</v>
      </c>
      <c r="J27" s="75">
        <f t="shared" si="3"/>
        <v>144433863</v>
      </c>
      <c r="K27" s="75">
        <f t="shared" si="4"/>
        <v>620972719</v>
      </c>
      <c r="L27" s="171">
        <f>B3B!L197</f>
        <v>482705127.85828298</v>
      </c>
      <c r="M27" s="235">
        <f>B3B!M197</f>
        <v>517178775.88087636</v>
      </c>
      <c r="N27" s="840"/>
      <c r="O27" s="86"/>
      <c r="P27" s="86"/>
      <c r="Q27" s="86"/>
      <c r="R27" s="86"/>
      <c r="S27" s="86"/>
      <c r="T27" s="86"/>
      <c r="U27" s="86"/>
      <c r="V27" s="86"/>
      <c r="W27" s="86"/>
      <c r="X27" s="86"/>
      <c r="Y27" s="86"/>
      <c r="Z27" s="48"/>
    </row>
    <row r="28" spans="1:26" ht="12.75" customHeight="1" x14ac:dyDescent="0.25">
      <c r="A28" s="85" t="str">
        <f>B3B!A208</f>
        <v>Vote 4 - ENERGY</v>
      </c>
      <c r="B28" s="73"/>
      <c r="C28" s="127">
        <f>B3B!C208</f>
        <v>924808134.39999998</v>
      </c>
      <c r="D28" s="171">
        <f>B3B!D208</f>
        <v>904808134.39999998</v>
      </c>
      <c r="E28" s="171">
        <f>B3B!E208</f>
        <v>0</v>
      </c>
      <c r="F28" s="171">
        <f>B3B!F208</f>
        <v>0</v>
      </c>
      <c r="G28" s="171">
        <f>B3B!G208</f>
        <v>0</v>
      </c>
      <c r="H28" s="171">
        <f>B3B!H208</f>
        <v>0</v>
      </c>
      <c r="I28" s="171">
        <f>B3B!I208</f>
        <v>60633979.600000024</v>
      </c>
      <c r="J28" s="75">
        <f t="shared" si="3"/>
        <v>60633979.600000024</v>
      </c>
      <c r="K28" s="75">
        <f t="shared" si="4"/>
        <v>965442114</v>
      </c>
      <c r="L28" s="171">
        <f>B3B!L208</f>
        <v>999710602.47427189</v>
      </c>
      <c r="M28" s="235">
        <f>B3B!M208</f>
        <v>1071107547.4105413</v>
      </c>
      <c r="N28" s="840"/>
      <c r="O28" s="86"/>
      <c r="P28" s="86"/>
      <c r="Q28" s="86"/>
      <c r="R28" s="86"/>
      <c r="S28" s="86"/>
      <c r="T28" s="86"/>
      <c r="U28" s="86"/>
      <c r="V28" s="86"/>
      <c r="W28" s="86"/>
      <c r="X28" s="86"/>
      <c r="Y28" s="86"/>
      <c r="Z28" s="48"/>
    </row>
    <row r="29" spans="1:26" ht="12.75" customHeight="1" x14ac:dyDescent="0.25">
      <c r="A29" s="85" t="str">
        <f>B3B!A219</f>
        <v>Vote 5 - COMMUNITY SERVICES</v>
      </c>
      <c r="B29" s="73"/>
      <c r="C29" s="127">
        <f>B3B!C219</f>
        <v>336592492</v>
      </c>
      <c r="D29" s="171">
        <f>B3B!D219</f>
        <v>336592492</v>
      </c>
      <c r="E29" s="171">
        <f>B3B!E219</f>
        <v>0</v>
      </c>
      <c r="F29" s="171">
        <f>B3B!F219</f>
        <v>0</v>
      </c>
      <c r="G29" s="171">
        <f>B3B!G219</f>
        <v>0</v>
      </c>
      <c r="H29" s="171">
        <f>B3B!H219</f>
        <v>0</v>
      </c>
      <c r="I29" s="171">
        <f>B3B!I219</f>
        <v>14751619</v>
      </c>
      <c r="J29" s="75">
        <f t="shared" si="3"/>
        <v>14751619</v>
      </c>
      <c r="K29" s="75">
        <f t="shared" si="4"/>
        <v>351344111</v>
      </c>
      <c r="L29" s="171">
        <f>B3B!L219</f>
        <v>363853939.91352934</v>
      </c>
      <c r="M29" s="235">
        <f>B3B!M219</f>
        <v>389839519.78890097</v>
      </c>
      <c r="N29" s="840"/>
      <c r="O29" s="86"/>
      <c r="P29" s="86"/>
      <c r="Q29" s="86"/>
      <c r="R29" s="86"/>
      <c r="S29" s="86"/>
      <c r="T29" s="86"/>
      <c r="U29" s="86"/>
      <c r="V29" s="86"/>
      <c r="W29" s="86"/>
      <c r="X29" s="86"/>
      <c r="Y29" s="86"/>
      <c r="Z29" s="48"/>
    </row>
    <row r="30" spans="1:26" ht="10.5" customHeight="1" x14ac:dyDescent="0.25">
      <c r="A30" s="85" t="str">
        <f>B3B!A230</f>
        <v>Vote 6 - PUBLIC SAFETY</v>
      </c>
      <c r="B30" s="73"/>
      <c r="C30" s="127">
        <f>B3B!C230</f>
        <v>299191112</v>
      </c>
      <c r="D30" s="171">
        <f>B3B!D230</f>
        <v>299191112</v>
      </c>
      <c r="E30" s="171">
        <f>B3B!E230</f>
        <v>0</v>
      </c>
      <c r="F30" s="171">
        <f>B3B!F230</f>
        <v>0</v>
      </c>
      <c r="G30" s="171">
        <f>B3B!G230</f>
        <v>0</v>
      </c>
      <c r="H30" s="171">
        <f>B3B!H230</f>
        <v>0</v>
      </c>
      <c r="I30" s="171">
        <f>B3B!I230</f>
        <v>30519159</v>
      </c>
      <c r="J30" s="75">
        <f t="shared" si="3"/>
        <v>30519159</v>
      </c>
      <c r="K30" s="75">
        <f t="shared" si="4"/>
        <v>329710271</v>
      </c>
      <c r="L30" s="171">
        <f>B3B!L230</f>
        <v>323423330.42574435</v>
      </c>
      <c r="M30" s="235">
        <f>B3B!M230</f>
        <v>346521452.67868507</v>
      </c>
      <c r="N30" s="840"/>
      <c r="O30" s="86"/>
      <c r="P30" s="86"/>
      <c r="Q30" s="86"/>
      <c r="R30" s="86"/>
      <c r="S30" s="86"/>
      <c r="T30" s="86"/>
      <c r="U30" s="86"/>
      <c r="V30" s="86"/>
      <c r="W30" s="86"/>
      <c r="X30" s="86"/>
      <c r="Y30" s="86"/>
      <c r="Z30" s="48"/>
    </row>
    <row r="31" spans="1:26" ht="12.75" customHeight="1" x14ac:dyDescent="0.25">
      <c r="A31" s="85" t="str">
        <f>B3B!A241</f>
        <v>Vote 7 - CORPORATE AND SHARED SERVICES</v>
      </c>
      <c r="B31" s="73"/>
      <c r="C31" s="127">
        <f>B3B!C241</f>
        <v>230469771</v>
      </c>
      <c r="D31" s="171">
        <f>B3B!D241</f>
        <v>236469771</v>
      </c>
      <c r="E31" s="171">
        <f>B3B!E241</f>
        <v>0</v>
      </c>
      <c r="F31" s="171">
        <f>B3B!F241</f>
        <v>0</v>
      </c>
      <c r="G31" s="171">
        <f>B3B!G241</f>
        <v>0</v>
      </c>
      <c r="H31" s="171">
        <f>B3B!H241</f>
        <v>0</v>
      </c>
      <c r="I31" s="171">
        <f>B3B!I241</f>
        <v>34741516</v>
      </c>
      <c r="J31" s="75">
        <f t="shared" si="3"/>
        <v>34741516</v>
      </c>
      <c r="K31" s="75">
        <f t="shared" si="4"/>
        <v>271211287</v>
      </c>
      <c r="L31" s="171">
        <f>B3B!L241</f>
        <v>249136080.28328943</v>
      </c>
      <c r="M31" s="235">
        <f>B3B!M241</f>
        <v>266928784.45347631</v>
      </c>
      <c r="N31" s="840"/>
      <c r="O31" s="86"/>
      <c r="P31" s="86"/>
      <c r="Q31" s="86"/>
      <c r="R31" s="86"/>
      <c r="S31" s="86"/>
      <c r="T31" s="86"/>
      <c r="U31" s="86"/>
      <c r="V31" s="86"/>
      <c r="W31" s="86"/>
      <c r="X31" s="86"/>
      <c r="Y31" s="86"/>
      <c r="Z31" s="48"/>
    </row>
    <row r="32" spans="1:26" ht="12.75" customHeight="1" x14ac:dyDescent="0.25">
      <c r="A32" s="85" t="str">
        <f>B3B!A252</f>
        <v xml:space="preserve">Vote 8 - PLANNING AND ECONOMIC DEVELOPMENT </v>
      </c>
      <c r="B32" s="73"/>
      <c r="C32" s="127">
        <f>B3B!C252</f>
        <v>126695280</v>
      </c>
      <c r="D32" s="171">
        <f>B3B!D252</f>
        <v>130595280</v>
      </c>
      <c r="E32" s="171">
        <f>B3B!E252</f>
        <v>0</v>
      </c>
      <c r="F32" s="171">
        <f>B3B!F252</f>
        <v>0</v>
      </c>
      <c r="G32" s="171">
        <f>B3B!G252</f>
        <v>0</v>
      </c>
      <c r="H32" s="171">
        <f>B3B!H252</f>
        <v>0</v>
      </c>
      <c r="I32" s="171">
        <f>B3B!I252</f>
        <v>-54878190</v>
      </c>
      <c r="J32" s="75">
        <f t="shared" si="3"/>
        <v>-54878190</v>
      </c>
      <c r="K32" s="75">
        <f t="shared" si="4"/>
        <v>75717090</v>
      </c>
      <c r="L32" s="171">
        <f>B3B!L252</f>
        <v>136956639.96469989</v>
      </c>
      <c r="M32" s="235">
        <f>B3B!M252</f>
        <v>146737756.27777591</v>
      </c>
      <c r="N32" s="840"/>
      <c r="O32" s="86"/>
      <c r="P32" s="86"/>
      <c r="Q32" s="86"/>
      <c r="R32" s="86"/>
      <c r="S32" s="86"/>
      <c r="T32" s="86"/>
      <c r="U32" s="86"/>
      <c r="V32" s="86"/>
      <c r="W32" s="86"/>
      <c r="X32" s="86"/>
      <c r="Y32" s="86"/>
      <c r="Z32" s="48"/>
    </row>
    <row r="33" spans="1:26" ht="12.75" customHeight="1" x14ac:dyDescent="0.25">
      <c r="A33" s="85" t="str">
        <f>B3B!A263</f>
        <v>Vote 9 - BUDGET AND TREASURY OFFICE</v>
      </c>
      <c r="B33" s="73"/>
      <c r="C33" s="127">
        <f>B3B!C263</f>
        <v>547788171</v>
      </c>
      <c r="D33" s="171">
        <f>B3B!D263</f>
        <v>551388171</v>
      </c>
      <c r="E33" s="171">
        <f>B3B!E263</f>
        <v>0</v>
      </c>
      <c r="F33" s="171">
        <f>B3B!F263</f>
        <v>0</v>
      </c>
      <c r="G33" s="171">
        <f>B3B!G263</f>
        <v>0</v>
      </c>
      <c r="H33" s="171">
        <f>B3B!H263</f>
        <v>0</v>
      </c>
      <c r="I33" s="171">
        <f>B3B!I263</f>
        <v>-119801649</v>
      </c>
      <c r="J33" s="75">
        <f t="shared" si="3"/>
        <v>-119801649</v>
      </c>
      <c r="K33" s="75">
        <f t="shared" si="4"/>
        <v>431586522</v>
      </c>
      <c r="L33" s="171">
        <f>B3B!L263</f>
        <v>546185537.72674215</v>
      </c>
      <c r="M33" s="235">
        <f>B3B!M263</f>
        <v>553774389.07779753</v>
      </c>
      <c r="N33" s="840"/>
      <c r="O33" s="86"/>
      <c r="P33" s="86"/>
      <c r="Q33" s="86"/>
      <c r="R33" s="86"/>
      <c r="S33" s="86"/>
      <c r="T33" s="86"/>
      <c r="U33" s="86"/>
      <c r="V33" s="86"/>
      <c r="W33" s="86"/>
      <c r="X33" s="86"/>
      <c r="Y33" s="86"/>
      <c r="Z33" s="48"/>
    </row>
    <row r="34" spans="1:26" ht="12.75" customHeight="1" x14ac:dyDescent="0.25">
      <c r="A34" s="85" t="str">
        <f>B3B!A274</f>
        <v xml:space="preserve">Vote 10 - TRANSPORT SERVICES </v>
      </c>
      <c r="B34" s="73"/>
      <c r="C34" s="127">
        <f>B3B!C274</f>
        <v>230522497.19999999</v>
      </c>
      <c r="D34" s="171">
        <f>B3B!D274</f>
        <v>231522497.19999999</v>
      </c>
      <c r="E34" s="171">
        <f>B3B!E274</f>
        <v>0</v>
      </c>
      <c r="F34" s="171">
        <f>B3B!F274</f>
        <v>0</v>
      </c>
      <c r="G34" s="171">
        <f>B3B!G274</f>
        <v>0</v>
      </c>
      <c r="H34" s="171">
        <f>B3B!H274</f>
        <v>25300676</v>
      </c>
      <c r="I34" s="171">
        <f>B3B!I274</f>
        <v>74463279.799999997</v>
      </c>
      <c r="J34" s="75">
        <f t="shared" si="3"/>
        <v>99763955.799999997</v>
      </c>
      <c r="K34" s="75">
        <f t="shared" si="4"/>
        <v>331286453</v>
      </c>
      <c r="L34" s="171">
        <f>B3B!L274</f>
        <v>249193076.90692133</v>
      </c>
      <c r="M34" s="235">
        <f>B3B!M274</f>
        <v>266989851.63991806</v>
      </c>
      <c r="N34" s="840"/>
      <c r="O34" s="86"/>
      <c r="P34" s="86"/>
      <c r="Q34" s="86"/>
      <c r="R34" s="86"/>
      <c r="S34" s="86"/>
      <c r="T34" s="86"/>
      <c r="U34" s="86"/>
      <c r="V34" s="86"/>
      <c r="W34" s="86"/>
      <c r="X34" s="86"/>
      <c r="Y34" s="86"/>
      <c r="Z34" s="48"/>
    </row>
    <row r="35" spans="1:26" ht="12.75" customHeight="1" x14ac:dyDescent="0.25">
      <c r="A35" s="85" t="str">
        <f>B3B!A285</f>
        <v>Vote 11 - HUMAN SETTLEMENT</v>
      </c>
      <c r="B35" s="73"/>
      <c r="C35" s="127">
        <f>B3B!C285</f>
        <v>13292036</v>
      </c>
      <c r="D35" s="171">
        <f>B3B!D285</f>
        <v>13292036</v>
      </c>
      <c r="E35" s="171">
        <f>B3B!E285</f>
        <v>0</v>
      </c>
      <c r="F35" s="171">
        <f>B3B!F285</f>
        <v>0</v>
      </c>
      <c r="G35" s="171">
        <f>B3B!G285</f>
        <v>0</v>
      </c>
      <c r="H35" s="171">
        <f>B3B!H285</f>
        <v>0</v>
      </c>
      <c r="I35" s="171">
        <f>B3B!I285</f>
        <v>-1620788</v>
      </c>
      <c r="J35" s="75">
        <f t="shared" si="3"/>
        <v>-1620788</v>
      </c>
      <c r="K35" s="75">
        <f t="shared" si="4"/>
        <v>11671248</v>
      </c>
      <c r="L35" s="171">
        <f>B3B!L285</f>
        <v>14368590.438805845</v>
      </c>
      <c r="M35" s="235">
        <f>B3B!M285</f>
        <v>15394760.870360943</v>
      </c>
      <c r="N35" s="840"/>
      <c r="O35" s="86"/>
      <c r="P35" s="86"/>
      <c r="Q35" s="86"/>
      <c r="R35" s="86"/>
      <c r="S35" s="86"/>
      <c r="T35" s="86"/>
      <c r="U35" s="86"/>
      <c r="V35" s="86"/>
      <c r="W35" s="86"/>
      <c r="X35" s="86"/>
      <c r="Y35" s="86"/>
      <c r="Z35" s="48"/>
    </row>
    <row r="36" spans="1:26" ht="12.75" customHeight="1" x14ac:dyDescent="0.25">
      <c r="A36" s="85" t="str">
        <f>B3B!A296</f>
        <v>11.2 - HUMAN SETTLEMENT - HOUSING ADMINISTRATION</v>
      </c>
      <c r="B36" s="73"/>
      <c r="C36" s="127">
        <f>B3B!C296</f>
        <v>0</v>
      </c>
      <c r="D36" s="171">
        <f>B3B!D296</f>
        <v>0</v>
      </c>
      <c r="E36" s="171">
        <f>B3B!E296</f>
        <v>0</v>
      </c>
      <c r="F36" s="171">
        <f>B3B!F296</f>
        <v>0</v>
      </c>
      <c r="G36" s="171">
        <f>B3B!G296</f>
        <v>0</v>
      </c>
      <c r="H36" s="171">
        <f>B3B!H296</f>
        <v>0</v>
      </c>
      <c r="I36" s="171">
        <f>B3B!I296</f>
        <v>0</v>
      </c>
      <c r="J36" s="75">
        <f t="shared" si="3"/>
        <v>0</v>
      </c>
      <c r="K36" s="75">
        <f t="shared" si="4"/>
        <v>0</v>
      </c>
      <c r="L36" s="171">
        <f>B3B!L296</f>
        <v>0</v>
      </c>
      <c r="M36" s="235">
        <f>B3B!M296</f>
        <v>0</v>
      </c>
      <c r="N36" s="840"/>
      <c r="O36" s="86"/>
      <c r="P36" s="86"/>
      <c r="Q36" s="86"/>
      <c r="R36" s="86"/>
      <c r="S36" s="86"/>
      <c r="T36" s="86"/>
      <c r="U36" s="86"/>
      <c r="V36" s="86"/>
      <c r="W36" s="86"/>
      <c r="X36" s="86"/>
      <c r="Y36" s="86"/>
      <c r="Z36" s="48"/>
    </row>
    <row r="37" spans="1:26" ht="12.75" customHeight="1" x14ac:dyDescent="0.25">
      <c r="A37" s="85" t="str">
        <f>B3B!A307</f>
        <v>Vote 13 - [NAME OF VOTE 13]</v>
      </c>
      <c r="B37" s="73"/>
      <c r="C37" s="127">
        <f>B3B!C307</f>
        <v>0</v>
      </c>
      <c r="D37" s="171">
        <f>B3B!D307</f>
        <v>0</v>
      </c>
      <c r="E37" s="171">
        <f>B3B!E307</f>
        <v>0</v>
      </c>
      <c r="F37" s="171">
        <f>B3B!F307</f>
        <v>0</v>
      </c>
      <c r="G37" s="171">
        <f>B3B!G307</f>
        <v>0</v>
      </c>
      <c r="H37" s="171">
        <f>B3B!H307</f>
        <v>0</v>
      </c>
      <c r="I37" s="171">
        <f>B3B!I307</f>
        <v>0</v>
      </c>
      <c r="J37" s="75">
        <f t="shared" si="3"/>
        <v>0</v>
      </c>
      <c r="K37" s="75">
        <f t="shared" si="4"/>
        <v>0</v>
      </c>
      <c r="L37" s="171">
        <f>B3B!L307</f>
        <v>0</v>
      </c>
      <c r="M37" s="235">
        <f>B3B!M307</f>
        <v>0</v>
      </c>
      <c r="N37" s="840"/>
      <c r="O37" s="86"/>
      <c r="P37" s="86"/>
      <c r="Q37" s="86"/>
      <c r="R37" s="86"/>
      <c r="S37" s="86"/>
      <c r="T37" s="86"/>
      <c r="U37" s="86"/>
      <c r="V37" s="86"/>
      <c r="W37" s="86"/>
      <c r="X37" s="86"/>
      <c r="Y37" s="86"/>
      <c r="Z37" s="48"/>
    </row>
    <row r="38" spans="1:26" ht="12.75" customHeight="1" x14ac:dyDescent="0.25">
      <c r="A38" s="85" t="str">
        <f>B3B!A318</f>
        <v>Vote 14 - [NAME OF VOTE 14]</v>
      </c>
      <c r="B38" s="73"/>
      <c r="C38" s="127">
        <f>B3B!C318</f>
        <v>0</v>
      </c>
      <c r="D38" s="171">
        <f>B3B!D318</f>
        <v>0</v>
      </c>
      <c r="E38" s="171">
        <f>B3B!E318</f>
        <v>0</v>
      </c>
      <c r="F38" s="171">
        <f>B3B!F318</f>
        <v>0</v>
      </c>
      <c r="G38" s="171">
        <f>B3B!G318</f>
        <v>0</v>
      </c>
      <c r="H38" s="171">
        <f>B3B!H318</f>
        <v>0</v>
      </c>
      <c r="I38" s="171">
        <f>B3B!I318</f>
        <v>0</v>
      </c>
      <c r="J38" s="75">
        <f t="shared" si="3"/>
        <v>0</v>
      </c>
      <c r="K38" s="75">
        <f t="shared" si="4"/>
        <v>0</v>
      </c>
      <c r="L38" s="171">
        <f>B3B!L318</f>
        <v>0</v>
      </c>
      <c r="M38" s="235">
        <f>B3B!M318</f>
        <v>0</v>
      </c>
      <c r="N38" s="840"/>
      <c r="O38" s="86"/>
      <c r="P38" s="86"/>
      <c r="Q38" s="86"/>
      <c r="R38" s="86"/>
      <c r="S38" s="86"/>
      <c r="T38" s="86"/>
      <c r="U38" s="86"/>
      <c r="V38" s="86"/>
      <c r="W38" s="86"/>
      <c r="X38" s="86"/>
      <c r="Y38" s="86"/>
      <c r="Z38" s="48"/>
    </row>
    <row r="39" spans="1:26" ht="12.75" customHeight="1" x14ac:dyDescent="0.25">
      <c r="A39" s="85" t="str">
        <f>B3B!A329</f>
        <v>Vote 15 - [NAME OF VOTE 15]</v>
      </c>
      <c r="B39" s="73"/>
      <c r="C39" s="127">
        <f>B3B!C329</f>
        <v>0</v>
      </c>
      <c r="D39" s="171">
        <f>B3B!D329</f>
        <v>0</v>
      </c>
      <c r="E39" s="171">
        <f>B3B!E329</f>
        <v>0</v>
      </c>
      <c r="F39" s="171">
        <f>B3B!F329</f>
        <v>0</v>
      </c>
      <c r="G39" s="171">
        <f>B3B!G329</f>
        <v>0</v>
      </c>
      <c r="H39" s="171">
        <f>B3B!H329</f>
        <v>0</v>
      </c>
      <c r="I39" s="171">
        <f>B3B!I329</f>
        <v>0</v>
      </c>
      <c r="J39" s="75">
        <f t="shared" si="3"/>
        <v>0</v>
      </c>
      <c r="K39" s="75">
        <f t="shared" si="4"/>
        <v>0</v>
      </c>
      <c r="L39" s="171">
        <f>B3B!L329</f>
        <v>0</v>
      </c>
      <c r="M39" s="235">
        <f>B3B!M329</f>
        <v>0</v>
      </c>
      <c r="N39" s="840"/>
      <c r="O39" s="86"/>
      <c r="P39" s="86"/>
      <c r="Q39" s="86"/>
      <c r="R39" s="86"/>
      <c r="S39" s="86"/>
      <c r="T39" s="86"/>
      <c r="U39" s="86"/>
      <c r="V39" s="86"/>
      <c r="W39" s="86"/>
      <c r="X39" s="86"/>
      <c r="Y39" s="86"/>
      <c r="Z39" s="48"/>
    </row>
    <row r="40" spans="1:26" ht="12.75" customHeight="1" x14ac:dyDescent="0.25">
      <c r="A40" s="78" t="s">
        <v>607</v>
      </c>
      <c r="B40" s="79">
        <v>2</v>
      </c>
      <c r="C40" s="80">
        <f>SUM(C25:C39)</f>
        <v>3679467109.5999999</v>
      </c>
      <c r="D40" s="81">
        <f t="shared" ref="D40:I40" si="5">SUM(D25:D39)</f>
        <v>3703967109.5999999</v>
      </c>
      <c r="E40" s="81">
        <f t="shared" si="5"/>
        <v>0</v>
      </c>
      <c r="F40" s="81">
        <f t="shared" si="5"/>
        <v>0</v>
      </c>
      <c r="G40" s="81">
        <f t="shared" si="5"/>
        <v>0</v>
      </c>
      <c r="H40" s="81">
        <f t="shared" si="5"/>
        <v>37920670</v>
      </c>
      <c r="I40" s="81">
        <f t="shared" si="5"/>
        <v>171880417.40000004</v>
      </c>
      <c r="J40" s="81">
        <f>SUM(J25:J39)</f>
        <v>209801087.40000004</v>
      </c>
      <c r="K40" s="81">
        <f>SUM(K25:K39)</f>
        <v>3913768197</v>
      </c>
      <c r="L40" s="81">
        <f>SUM(L25:L39)</f>
        <v>3931506797.7899141</v>
      </c>
      <c r="M40" s="82">
        <f>SUM(M25:M39)</f>
        <v>4180867212.8296041</v>
      </c>
      <c r="N40" s="545"/>
      <c r="O40" s="53"/>
      <c r="P40" s="53"/>
      <c r="Q40" s="53"/>
      <c r="R40" s="53"/>
      <c r="S40" s="53"/>
      <c r="T40" s="53"/>
      <c r="U40" s="53"/>
      <c r="V40" s="53"/>
      <c r="W40" s="53"/>
      <c r="X40" s="53"/>
      <c r="Y40" s="53"/>
      <c r="Z40" s="48"/>
    </row>
    <row r="41" spans="1:26" ht="12.75" customHeight="1" x14ac:dyDescent="0.25">
      <c r="A41" s="87" t="str">
        <f>result</f>
        <v>Surplus/ (Deficit) for the year</v>
      </c>
      <c r="B41" s="88">
        <v>2</v>
      </c>
      <c r="C41" s="89">
        <f>C22-C40</f>
        <v>1003110801.4144006</v>
      </c>
      <c r="D41" s="90">
        <f t="shared" ref="D41:M41" si="6">D22-D40</f>
        <v>1032753801.4144006</v>
      </c>
      <c r="E41" s="90">
        <f t="shared" si="6"/>
        <v>0</v>
      </c>
      <c r="F41" s="90">
        <f t="shared" si="6"/>
        <v>0</v>
      </c>
      <c r="G41" s="90">
        <f t="shared" si="6"/>
        <v>0</v>
      </c>
      <c r="H41" s="90">
        <f t="shared" si="6"/>
        <v>62291863</v>
      </c>
      <c r="I41" s="90">
        <f t="shared" si="6"/>
        <v>-225666401.41440004</v>
      </c>
      <c r="J41" s="90">
        <f t="shared" si="6"/>
        <v>-163374538.41440004</v>
      </c>
      <c r="K41" s="90">
        <f t="shared" si="6"/>
        <v>869379263</v>
      </c>
      <c r="L41" s="90">
        <f t="shared" si="6"/>
        <v>808247957.23523617</v>
      </c>
      <c r="M41" s="91">
        <f t="shared" si="6"/>
        <v>793472717.87607574</v>
      </c>
      <c r="N41" s="545"/>
      <c r="O41" s="53"/>
      <c r="P41" s="53"/>
      <c r="Q41" s="53"/>
      <c r="R41" s="53"/>
      <c r="S41" s="53"/>
      <c r="T41" s="53"/>
      <c r="U41" s="53"/>
      <c r="V41" s="53"/>
      <c r="W41" s="53"/>
      <c r="X41" s="53"/>
      <c r="Y41" s="53"/>
      <c r="Z41" s="48"/>
    </row>
    <row r="42" spans="1:26" ht="12.75" customHeight="1" x14ac:dyDescent="0.25">
      <c r="A42" s="92" t="str">
        <f>head27a</f>
        <v>References</v>
      </c>
      <c r="B42" s="93"/>
      <c r="C42" s="94"/>
      <c r="D42" s="94"/>
      <c r="E42" s="94"/>
      <c r="F42" s="94"/>
      <c r="G42" s="94"/>
      <c r="H42" s="94"/>
      <c r="I42" s="94"/>
      <c r="J42" s="94"/>
      <c r="K42" s="94"/>
      <c r="L42" s="94"/>
      <c r="M42" s="94"/>
      <c r="N42" s="48"/>
      <c r="O42" s="48"/>
      <c r="P42" s="48"/>
      <c r="Q42" s="48"/>
      <c r="R42" s="48"/>
      <c r="S42" s="48"/>
      <c r="T42" s="48"/>
      <c r="U42" s="48"/>
      <c r="V42" s="48"/>
      <c r="W42" s="48"/>
      <c r="X42" s="48"/>
      <c r="Y42" s="48"/>
      <c r="Z42" s="48"/>
    </row>
    <row r="43" spans="1:26" ht="12.75" customHeight="1" x14ac:dyDescent="0.25">
      <c r="A43" s="95" t="s">
        <v>1035</v>
      </c>
      <c r="B43" s="93"/>
      <c r="C43" s="96"/>
      <c r="D43" s="96"/>
      <c r="E43" s="96"/>
      <c r="F43" s="96"/>
      <c r="G43" s="96"/>
      <c r="H43" s="96"/>
      <c r="I43" s="96"/>
      <c r="J43" s="96"/>
      <c r="K43" s="96"/>
      <c r="L43" s="96"/>
      <c r="M43" s="96"/>
      <c r="N43" s="48"/>
      <c r="O43" s="48"/>
      <c r="P43" s="48"/>
      <c r="Q43" s="48"/>
      <c r="R43" s="48"/>
      <c r="S43" s="48"/>
      <c r="T43" s="48"/>
      <c r="U43" s="48"/>
      <c r="V43" s="48"/>
      <c r="W43" s="48"/>
      <c r="X43" s="48"/>
      <c r="Y43" s="48"/>
      <c r="Z43" s="48"/>
    </row>
    <row r="44" spans="1:26" ht="12.75" customHeight="1" x14ac:dyDescent="0.25">
      <c r="A44" s="632" t="s">
        <v>1036</v>
      </c>
      <c r="B44" s="93"/>
      <c r="C44" s="96"/>
      <c r="D44" s="96"/>
      <c r="E44" s="96"/>
      <c r="F44" s="96"/>
      <c r="G44" s="96"/>
      <c r="H44" s="96"/>
      <c r="I44" s="96"/>
      <c r="J44" s="96"/>
      <c r="K44" s="96"/>
      <c r="L44" s="96"/>
      <c r="M44" s="96"/>
      <c r="N44" s="48"/>
      <c r="O44" s="48"/>
      <c r="P44" s="48"/>
      <c r="Q44" s="48"/>
      <c r="R44" s="48"/>
      <c r="S44" s="48"/>
      <c r="T44" s="48"/>
      <c r="U44" s="48"/>
      <c r="V44" s="48"/>
      <c r="W44" s="48"/>
      <c r="X44" s="48"/>
      <c r="Y44" s="48"/>
      <c r="Z44" s="48"/>
    </row>
    <row r="45" spans="1:26" ht="12.75" customHeight="1" x14ac:dyDescent="0.25">
      <c r="A45" s="1408" t="s">
        <v>986</v>
      </c>
      <c r="B45" s="1408"/>
      <c r="C45" s="1408"/>
      <c r="D45" s="1408"/>
      <c r="E45" s="1408"/>
      <c r="F45" s="1408"/>
      <c r="G45" s="1408"/>
      <c r="H45" s="1408"/>
      <c r="I45" s="1408"/>
      <c r="J45" s="1408"/>
      <c r="K45" s="1408"/>
      <c r="L45" s="1408"/>
      <c r="M45" s="1408"/>
    </row>
    <row r="46" spans="1:26" ht="25.5" customHeight="1" x14ac:dyDescent="0.25">
      <c r="A46" s="1408" t="s">
        <v>1030</v>
      </c>
      <c r="B46" s="1408"/>
      <c r="C46" s="1408"/>
      <c r="D46" s="1408"/>
      <c r="E46" s="1408"/>
      <c r="F46" s="1408"/>
      <c r="G46" s="1408"/>
      <c r="H46" s="1408"/>
      <c r="I46" s="1408"/>
      <c r="J46" s="1408"/>
      <c r="K46" s="1408"/>
      <c r="L46" s="1408"/>
      <c r="M46" s="1408"/>
    </row>
    <row r="47" spans="1:26" ht="12.75" customHeight="1" x14ac:dyDescent="0.25">
      <c r="A47" s="1402" t="s">
        <v>1031</v>
      </c>
      <c r="B47" s="1402"/>
      <c r="C47" s="1402"/>
      <c r="D47" s="1402"/>
      <c r="E47" s="1402"/>
      <c r="F47" s="1402"/>
      <c r="G47" s="1402"/>
      <c r="H47" s="1402"/>
      <c r="I47" s="1402"/>
      <c r="J47" s="1402"/>
      <c r="K47" s="1402"/>
      <c r="L47" s="1402"/>
      <c r="M47" s="1402"/>
    </row>
    <row r="48" spans="1:26" ht="12.75" customHeight="1" x14ac:dyDescent="0.25">
      <c r="A48" s="1402" t="s">
        <v>1032</v>
      </c>
      <c r="B48" s="1402"/>
      <c r="C48" s="1402"/>
      <c r="D48" s="1402"/>
      <c r="E48" s="1402"/>
      <c r="F48" s="1402"/>
      <c r="G48" s="1402"/>
      <c r="H48" s="1402"/>
      <c r="I48" s="1402"/>
      <c r="J48" s="1402"/>
      <c r="K48" s="1402"/>
      <c r="L48" s="1402"/>
      <c r="M48" s="1402"/>
    </row>
    <row r="49" spans="1:13" ht="12.75" customHeight="1" x14ac:dyDescent="0.25">
      <c r="A49" s="99" t="s">
        <v>1033</v>
      </c>
      <c r="B49" s="93"/>
      <c r="C49" s="96"/>
      <c r="D49" s="96"/>
      <c r="E49" s="96"/>
      <c r="F49" s="96"/>
      <c r="G49" s="96"/>
      <c r="H49" s="96"/>
      <c r="I49" s="96"/>
      <c r="J49" s="96"/>
      <c r="K49" s="96"/>
      <c r="L49" s="96"/>
      <c r="M49" s="96"/>
    </row>
    <row r="50" spans="1:13" ht="27.75" customHeight="1" x14ac:dyDescent="0.25">
      <c r="A50" s="1402" t="s">
        <v>1034</v>
      </c>
      <c r="B50" s="1402"/>
      <c r="C50" s="1402"/>
      <c r="D50" s="1402"/>
      <c r="E50" s="1402"/>
      <c r="F50" s="1402"/>
      <c r="G50" s="1402"/>
      <c r="H50" s="1402"/>
      <c r="I50" s="1402"/>
      <c r="J50" s="1402"/>
      <c r="K50" s="1402"/>
      <c r="L50" s="1402"/>
      <c r="M50" s="1402"/>
    </row>
    <row r="51" spans="1:13" ht="12.75" customHeight="1" x14ac:dyDescent="0.25">
      <c r="A51" s="99" t="s">
        <v>608</v>
      </c>
      <c r="B51" s="93"/>
      <c r="C51" s="96"/>
      <c r="D51" s="96"/>
      <c r="E51" s="96"/>
      <c r="F51" s="96"/>
      <c r="G51" s="96"/>
      <c r="H51" s="96"/>
      <c r="I51" s="96"/>
      <c r="J51" s="96"/>
      <c r="K51" s="96"/>
      <c r="L51" s="96"/>
      <c r="M51" s="96"/>
    </row>
    <row r="52" spans="1:13" ht="12.75" customHeight="1" x14ac:dyDescent="0.25">
      <c r="A52" s="1402" t="s">
        <v>609</v>
      </c>
      <c r="B52" s="1402"/>
      <c r="C52" s="1402"/>
      <c r="D52" s="1402"/>
      <c r="E52" s="1402"/>
      <c r="F52" s="1402"/>
      <c r="G52" s="1402"/>
      <c r="H52" s="1402"/>
      <c r="I52" s="1402"/>
      <c r="J52" s="1402"/>
      <c r="K52" s="1402"/>
      <c r="L52" s="1402"/>
      <c r="M52" s="1402"/>
    </row>
    <row r="53" spans="1:13" ht="12.75" customHeight="1" x14ac:dyDescent="0.25">
      <c r="A53" s="48"/>
    </row>
    <row r="54" spans="1:13" ht="12.75" customHeight="1" x14ac:dyDescent="0.25">
      <c r="A54" s="101" t="s">
        <v>610</v>
      </c>
      <c r="C54" s="340">
        <f>C22-'B4-FinPerf RE'!C62</f>
        <v>-15.985599517822266</v>
      </c>
      <c r="D54" s="340">
        <f>D22-'B4-FinPerf RE'!D62</f>
        <v>-15.985599517822266</v>
      </c>
      <c r="E54" s="340">
        <f>E22-'B4-FinPerf RE'!E62</f>
        <v>0</v>
      </c>
      <c r="F54" s="340">
        <f>F22-'B4-FinPerf RE'!F62</f>
        <v>0</v>
      </c>
      <c r="G54" s="340">
        <f>G22-'B4-FinPerf RE'!G62</f>
        <v>0</v>
      </c>
      <c r="H54" s="340">
        <f>H22-'B4-FinPerf RE'!H62</f>
        <v>2</v>
      </c>
      <c r="I54" s="340">
        <f>I22-'B4-FinPerf RE'!I62</f>
        <v>13.985599994659424</v>
      </c>
      <c r="J54" s="340">
        <f>J22-'B4-FinPerf RE'!J62</f>
        <v>15.985599994659424</v>
      </c>
      <c r="K54" s="340">
        <f>K22-'B4-FinPerf RE'!K62</f>
        <v>0</v>
      </c>
      <c r="L54" s="340">
        <f>L22-'B4-FinPerf RE'!L62</f>
        <v>0</v>
      </c>
      <c r="M54" s="340">
        <f>M22-'B4-FinPerf RE'!M62</f>
        <v>0</v>
      </c>
    </row>
    <row r="55" spans="1:13" ht="12.75" customHeight="1" x14ac:dyDescent="0.25">
      <c r="A55" s="101" t="s">
        <v>611</v>
      </c>
      <c r="C55" s="340">
        <f>C40-'B4-FinPerf RE'!C37</f>
        <v>-26.400000095367432</v>
      </c>
      <c r="D55" s="340">
        <f>D40-'B4-FinPerf RE'!D37</f>
        <v>-26.400000095367432</v>
      </c>
      <c r="E55" s="340">
        <f>E40-'B4-FinPerf RE'!E37</f>
        <v>0</v>
      </c>
      <c r="F55" s="340">
        <f>F40-'B4-FinPerf RE'!F37</f>
        <v>0</v>
      </c>
      <c r="G55" s="340">
        <f>G40-'B4-FinPerf RE'!G37</f>
        <v>0</v>
      </c>
      <c r="H55" s="340">
        <f>H40-'B4-FinPerf RE'!H37</f>
        <v>0</v>
      </c>
      <c r="I55" s="340">
        <f>I40-'B4-FinPerf RE'!I37</f>
        <v>26.400000035762787</v>
      </c>
      <c r="J55" s="340">
        <f>J40-'B4-FinPerf RE'!J37</f>
        <v>26.400000035762787</v>
      </c>
      <c r="K55" s="340">
        <f>K40-'B4-FinPerf RE'!K37</f>
        <v>0</v>
      </c>
      <c r="L55" s="340">
        <f>L40-'B4-FinPerf RE'!L37</f>
        <v>0</v>
      </c>
      <c r="M55" s="340">
        <f>M40-'B4-FinPerf RE'!M37</f>
        <v>0</v>
      </c>
    </row>
    <row r="56" spans="1:13" ht="11.25" customHeight="1" x14ac:dyDescent="0.25">
      <c r="A56" s="48"/>
      <c r="B56" s="835"/>
    </row>
    <row r="57" spans="1:13" ht="11.25" customHeight="1" x14ac:dyDescent="0.25">
      <c r="A57" s="48"/>
    </row>
    <row r="58" spans="1:13" ht="11.25" customHeight="1" x14ac:dyDescent="0.25">
      <c r="A58" s="48"/>
    </row>
    <row r="59" spans="1:13" ht="11.25" customHeight="1" x14ac:dyDescent="0.25"/>
    <row r="60" spans="1:13" ht="11.25" customHeight="1" x14ac:dyDescent="0.25"/>
    <row r="61" spans="1:13" ht="11.25" customHeight="1" x14ac:dyDescent="0.25"/>
    <row r="62" spans="1:13" ht="11.25" customHeight="1" x14ac:dyDescent="0.25"/>
    <row r="63" spans="1:13" ht="11.25" customHeight="1" x14ac:dyDescent="0.25"/>
    <row r="64" spans="1:13"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row r="80" ht="11.25" customHeight="1" x14ac:dyDescent="0.25"/>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row r="87" ht="11.25" customHeight="1" x14ac:dyDescent="0.25"/>
  </sheetData>
  <sheetProtection password="C646" sheet="1" objects="1" scenarios="1"/>
  <mergeCells count="9">
    <mergeCell ref="A52:M52"/>
    <mergeCell ref="A48:M48"/>
    <mergeCell ref="A50:M50"/>
    <mergeCell ref="A2:A3"/>
    <mergeCell ref="B2:B5"/>
    <mergeCell ref="C2:K2"/>
    <mergeCell ref="A45:M45"/>
    <mergeCell ref="A46:M46"/>
    <mergeCell ref="A47:M47"/>
  </mergeCells>
  <phoneticPr fontId="4" type="noConversion"/>
  <printOptions horizontalCentered="1"/>
  <pageMargins left="0.36" right="0.17" top="0.79" bottom="0.6" header="0.51181102362204722" footer="0.44"/>
  <pageSetup paperSize="9" scale="42"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44"/>
  </sheetPr>
  <dimension ref="A1:M346"/>
  <sheetViews>
    <sheetView showGridLines="0" showZeros="0" workbookViewId="0">
      <selection activeCell="G33" sqref="G33"/>
    </sheetView>
  </sheetViews>
  <sheetFormatPr defaultRowHeight="12.75" x14ac:dyDescent="0.2"/>
  <cols>
    <col min="1" max="1" width="33.7109375" customWidth="1"/>
    <col min="2" max="2" width="5.28515625" customWidth="1"/>
    <col min="3" max="13" width="10.140625" customWidth="1"/>
  </cols>
  <sheetData>
    <row r="1" spans="1:13" ht="13.5" x14ac:dyDescent="0.25">
      <c r="A1" s="57" t="str">
        <f>muni&amp;" - "&amp;_ADJ2&amp;" - B"&amp;" - "&amp;Date</f>
        <v>LIM354 Polokwane - Table B3 Adjustments Budget Financial Performance (revenue and expenditure by municipal vote) - B - 2020</v>
      </c>
      <c r="B1" s="5"/>
      <c r="C1" s="58"/>
      <c r="D1" s="5"/>
      <c r="E1" s="5"/>
      <c r="F1" s="5"/>
      <c r="G1" s="5"/>
      <c r="H1" s="5"/>
      <c r="I1" s="5"/>
      <c r="J1" s="5"/>
      <c r="K1" s="5"/>
      <c r="L1" s="5"/>
      <c r="M1" s="5"/>
    </row>
    <row r="2" spans="1:13" ht="25.5" x14ac:dyDescent="0.2">
      <c r="A2" s="1409" t="str">
        <f>Vdesc</f>
        <v>Vote Description</v>
      </c>
      <c r="B2" s="1406" t="str">
        <f>head27</f>
        <v>Ref</v>
      </c>
      <c r="C2" s="1403" t="str">
        <f>Head2</f>
        <v>Budget Year 2020/21</v>
      </c>
      <c r="D2" s="1404"/>
      <c r="E2" s="1404"/>
      <c r="F2" s="1404"/>
      <c r="G2" s="1404"/>
      <c r="H2" s="1404"/>
      <c r="I2" s="1404"/>
      <c r="J2" s="1404"/>
      <c r="K2" s="1405"/>
      <c r="L2" s="60" t="str">
        <f>Head10</f>
        <v>Budget Year +1 2021/22</v>
      </c>
      <c r="M2" s="61" t="str">
        <f>Head11</f>
        <v>Budget Year +2 2022/23</v>
      </c>
    </row>
    <row r="3" spans="1:13" ht="25.5" x14ac:dyDescent="0.2">
      <c r="A3" s="1410"/>
      <c r="B3" s="1407"/>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63" t="str">
        <f>Head7</f>
        <v>Adjusted Budget</v>
      </c>
    </row>
    <row r="4" spans="1:13" x14ac:dyDescent="0.2">
      <c r="A4" s="64" t="s">
        <v>602</v>
      </c>
      <c r="B4" s="1407"/>
      <c r="C4" s="65"/>
      <c r="D4" s="15">
        <v>3</v>
      </c>
      <c r="E4" s="15">
        <v>4</v>
      </c>
      <c r="F4" s="15">
        <v>5</v>
      </c>
      <c r="G4" s="15">
        <v>6</v>
      </c>
      <c r="H4" s="15">
        <v>7</v>
      </c>
      <c r="I4" s="15">
        <v>8</v>
      </c>
      <c r="J4" s="15">
        <v>9</v>
      </c>
      <c r="K4" s="15">
        <v>10</v>
      </c>
      <c r="L4" s="15"/>
      <c r="M4" s="17"/>
    </row>
    <row r="5" spans="1:13" ht="13.5" x14ac:dyDescent="0.25">
      <c r="A5" s="18" t="s">
        <v>603</v>
      </c>
      <c r="B5" s="1416"/>
      <c r="C5" s="125" t="s">
        <v>547</v>
      </c>
      <c r="D5" s="20" t="s">
        <v>548</v>
      </c>
      <c r="E5" s="20" t="s">
        <v>549</v>
      </c>
      <c r="F5" s="21" t="s">
        <v>550</v>
      </c>
      <c r="G5" s="21" t="s">
        <v>551</v>
      </c>
      <c r="H5" s="21" t="s">
        <v>552</v>
      </c>
      <c r="I5" s="22" t="s">
        <v>553</v>
      </c>
      <c r="J5" s="22" t="s">
        <v>554</v>
      </c>
      <c r="K5" s="22" t="s">
        <v>555</v>
      </c>
      <c r="L5" s="70"/>
      <c r="M5" s="71"/>
    </row>
    <row r="6" spans="1:13" ht="13.5" x14ac:dyDescent="0.25">
      <c r="A6" s="729" t="s">
        <v>604</v>
      </c>
      <c r="B6" s="902">
        <v>1</v>
      </c>
      <c r="C6" s="767"/>
      <c r="D6" s="768"/>
      <c r="E6" s="768"/>
      <c r="F6" s="768"/>
      <c r="G6" s="768"/>
      <c r="H6" s="768"/>
      <c r="I6" s="768"/>
      <c r="J6" s="768"/>
      <c r="K6" s="768"/>
      <c r="L6" s="730"/>
      <c r="M6" s="759"/>
    </row>
    <row r="7" spans="1:13" ht="13.5" x14ac:dyDescent="0.25">
      <c r="A7" s="746" t="str">
        <f>'Org structure'!A2</f>
        <v>Vote 1 - CHIEF OPERATION OFFICE</v>
      </c>
      <c r="B7" s="903"/>
      <c r="C7" s="733">
        <f>SUM(C8:C17)</f>
        <v>8964</v>
      </c>
      <c r="D7" s="732">
        <f t="shared" ref="D7:I7" si="0">SUM(D8:D17)</f>
        <v>8964</v>
      </c>
      <c r="E7" s="732">
        <f t="shared" si="0"/>
        <v>0</v>
      </c>
      <c r="F7" s="732">
        <f t="shared" si="0"/>
        <v>0</v>
      </c>
      <c r="G7" s="732">
        <f t="shared" si="0"/>
        <v>0</v>
      </c>
      <c r="H7" s="732">
        <f t="shared" si="0"/>
        <v>0</v>
      </c>
      <c r="I7" s="732">
        <f t="shared" si="0"/>
        <v>-604</v>
      </c>
      <c r="J7" s="75">
        <f>SUM(E7:I7)</f>
        <v>-604</v>
      </c>
      <c r="K7" s="75">
        <f>IF(D7=0,C7+J7,D7+J7)</f>
        <v>8360</v>
      </c>
      <c r="L7" s="732">
        <f>SUM(L8:L17)</f>
        <v>8964</v>
      </c>
      <c r="M7" s="760">
        <f>SUM(M8:M17)</f>
        <v>9351.3072168778181</v>
      </c>
    </row>
    <row r="8" spans="1:13" ht="13.5" x14ac:dyDescent="0.25">
      <c r="A8" s="749" t="s">
        <v>1913</v>
      </c>
      <c r="B8" s="904"/>
      <c r="C8" s="735">
        <v>996</v>
      </c>
      <c r="D8" s="734">
        <v>996</v>
      </c>
      <c r="E8" s="734">
        <v>0</v>
      </c>
      <c r="F8" s="734">
        <v>0</v>
      </c>
      <c r="G8" s="734">
        <v>0</v>
      </c>
      <c r="H8" s="734">
        <v>0</v>
      </c>
      <c r="I8" s="734">
        <v>0</v>
      </c>
      <c r="J8" s="75">
        <f t="shared" ref="J8:J71" si="1">SUM(E8:I8)</f>
        <v>0</v>
      </c>
      <c r="K8" s="75">
        <f t="shared" ref="K8:K71" si="2">IF(D8=0,C8+J8,D8+J8)</f>
        <v>996</v>
      </c>
      <c r="L8" s="734">
        <v>996</v>
      </c>
      <c r="M8" s="736">
        <v>1039.0341352086464</v>
      </c>
    </row>
    <row r="9" spans="1:13" ht="13.5" x14ac:dyDescent="0.25">
      <c r="A9" s="749" t="s">
        <v>1914</v>
      </c>
      <c r="B9" s="904"/>
      <c r="C9" s="735">
        <v>996</v>
      </c>
      <c r="D9" s="734">
        <v>996</v>
      </c>
      <c r="E9" s="734">
        <v>0</v>
      </c>
      <c r="F9" s="734">
        <v>0</v>
      </c>
      <c r="G9" s="734">
        <v>0</v>
      </c>
      <c r="H9" s="734">
        <v>0</v>
      </c>
      <c r="I9" s="734">
        <v>0</v>
      </c>
      <c r="J9" s="75">
        <f t="shared" si="1"/>
        <v>0</v>
      </c>
      <c r="K9" s="75">
        <f t="shared" si="2"/>
        <v>996</v>
      </c>
      <c r="L9" s="734">
        <v>996</v>
      </c>
      <c r="M9" s="736">
        <v>1039.0341352086464</v>
      </c>
    </row>
    <row r="10" spans="1:13" ht="13.5" x14ac:dyDescent="0.25">
      <c r="A10" s="749" t="s">
        <v>1915</v>
      </c>
      <c r="B10" s="904"/>
      <c r="C10" s="735">
        <v>996</v>
      </c>
      <c r="D10" s="734">
        <v>996</v>
      </c>
      <c r="E10" s="734">
        <v>0</v>
      </c>
      <c r="F10" s="734">
        <v>0</v>
      </c>
      <c r="G10" s="734">
        <v>0</v>
      </c>
      <c r="H10" s="734">
        <v>0</v>
      </c>
      <c r="I10" s="734">
        <v>0</v>
      </c>
      <c r="J10" s="75">
        <f t="shared" si="1"/>
        <v>0</v>
      </c>
      <c r="K10" s="75">
        <f t="shared" si="2"/>
        <v>996</v>
      </c>
      <c r="L10" s="734">
        <v>996</v>
      </c>
      <c r="M10" s="736">
        <v>1039.0341352086464</v>
      </c>
    </row>
    <row r="11" spans="1:13" ht="13.5" x14ac:dyDescent="0.25">
      <c r="A11" s="749" t="s">
        <v>1916</v>
      </c>
      <c r="B11" s="904"/>
      <c r="C11" s="735">
        <v>996</v>
      </c>
      <c r="D11" s="734">
        <v>996</v>
      </c>
      <c r="E11" s="734">
        <v>0</v>
      </c>
      <c r="F11" s="734">
        <v>0</v>
      </c>
      <c r="G11" s="734">
        <v>0</v>
      </c>
      <c r="H11" s="734">
        <v>0</v>
      </c>
      <c r="I11" s="734">
        <v>-996</v>
      </c>
      <c r="J11" s="75">
        <f t="shared" si="1"/>
        <v>-996</v>
      </c>
      <c r="K11" s="75">
        <f t="shared" si="2"/>
        <v>0</v>
      </c>
      <c r="L11" s="734">
        <v>996</v>
      </c>
      <c r="M11" s="736">
        <v>1039.0341352086464</v>
      </c>
    </row>
    <row r="12" spans="1:13" ht="13.5" x14ac:dyDescent="0.25">
      <c r="A12" s="749" t="s">
        <v>1917</v>
      </c>
      <c r="B12" s="904"/>
      <c r="C12" s="735">
        <v>996</v>
      </c>
      <c r="D12" s="734">
        <v>996</v>
      </c>
      <c r="E12" s="734">
        <v>0</v>
      </c>
      <c r="F12" s="734">
        <v>0</v>
      </c>
      <c r="G12" s="734">
        <v>0</v>
      </c>
      <c r="H12" s="734">
        <v>0</v>
      </c>
      <c r="I12" s="734">
        <v>392</v>
      </c>
      <c r="J12" s="75">
        <f t="shared" si="1"/>
        <v>392</v>
      </c>
      <c r="K12" s="75">
        <f t="shared" si="2"/>
        <v>1388</v>
      </c>
      <c r="L12" s="734">
        <v>996</v>
      </c>
      <c r="M12" s="736">
        <v>1039.0341352086464</v>
      </c>
    </row>
    <row r="13" spans="1:13" ht="13.5" x14ac:dyDescent="0.25">
      <c r="A13" s="749" t="s">
        <v>1918</v>
      </c>
      <c r="B13" s="904"/>
      <c r="C13" s="735">
        <v>996</v>
      </c>
      <c r="D13" s="734">
        <v>996</v>
      </c>
      <c r="E13" s="734">
        <v>0</v>
      </c>
      <c r="F13" s="734">
        <v>0</v>
      </c>
      <c r="G13" s="734">
        <v>0</v>
      </c>
      <c r="H13" s="734">
        <v>0</v>
      </c>
      <c r="I13" s="734">
        <v>0</v>
      </c>
      <c r="J13" s="75">
        <f t="shared" si="1"/>
        <v>0</v>
      </c>
      <c r="K13" s="75">
        <f t="shared" si="2"/>
        <v>996</v>
      </c>
      <c r="L13" s="734">
        <v>996</v>
      </c>
      <c r="M13" s="736">
        <v>1039.0341352086464</v>
      </c>
    </row>
    <row r="14" spans="1:13" ht="13.5" x14ac:dyDescent="0.25">
      <c r="A14" s="749" t="s">
        <v>1919</v>
      </c>
      <c r="B14" s="904"/>
      <c r="C14" s="735">
        <v>996</v>
      </c>
      <c r="D14" s="734">
        <v>996</v>
      </c>
      <c r="E14" s="734">
        <v>0</v>
      </c>
      <c r="F14" s="734">
        <v>0</v>
      </c>
      <c r="G14" s="734">
        <v>0</v>
      </c>
      <c r="H14" s="734">
        <v>0</v>
      </c>
      <c r="I14" s="734">
        <v>0</v>
      </c>
      <c r="J14" s="75">
        <f t="shared" si="1"/>
        <v>0</v>
      </c>
      <c r="K14" s="75">
        <f t="shared" si="2"/>
        <v>996</v>
      </c>
      <c r="L14" s="734">
        <v>996</v>
      </c>
      <c r="M14" s="736">
        <v>1039.0341352086464</v>
      </c>
    </row>
    <row r="15" spans="1:13" ht="13.5" x14ac:dyDescent="0.25">
      <c r="A15" s="749" t="s">
        <v>1920</v>
      </c>
      <c r="B15" s="904"/>
      <c r="C15" s="735">
        <v>996</v>
      </c>
      <c r="D15" s="734">
        <v>996</v>
      </c>
      <c r="E15" s="734">
        <v>0</v>
      </c>
      <c r="F15" s="734">
        <v>0</v>
      </c>
      <c r="G15" s="734">
        <v>0</v>
      </c>
      <c r="H15" s="734">
        <v>0</v>
      </c>
      <c r="I15" s="734">
        <v>0</v>
      </c>
      <c r="J15" s="75">
        <f t="shared" si="1"/>
        <v>0</v>
      </c>
      <c r="K15" s="75">
        <f t="shared" si="2"/>
        <v>996</v>
      </c>
      <c r="L15" s="734">
        <v>996</v>
      </c>
      <c r="M15" s="736">
        <v>1039.0341352086464</v>
      </c>
    </row>
    <row r="16" spans="1:13" ht="13.5" x14ac:dyDescent="0.25">
      <c r="A16" s="749" t="s">
        <v>1921</v>
      </c>
      <c r="B16" s="904"/>
      <c r="C16" s="735">
        <v>996</v>
      </c>
      <c r="D16" s="734">
        <v>996</v>
      </c>
      <c r="E16" s="734">
        <v>0</v>
      </c>
      <c r="F16" s="734">
        <v>0</v>
      </c>
      <c r="G16" s="734">
        <v>0</v>
      </c>
      <c r="H16" s="734">
        <v>0</v>
      </c>
      <c r="I16" s="734">
        <v>0</v>
      </c>
      <c r="J16" s="75">
        <f t="shared" si="1"/>
        <v>0</v>
      </c>
      <c r="K16" s="75">
        <f t="shared" si="2"/>
        <v>996</v>
      </c>
      <c r="L16" s="734">
        <v>996</v>
      </c>
      <c r="M16" s="736">
        <v>1039.0341352086464</v>
      </c>
    </row>
    <row r="17" spans="1:13" ht="13.5" x14ac:dyDescent="0.25">
      <c r="A17" s="749">
        <f>'Org structure'!E12</f>
        <v>0</v>
      </c>
      <c r="B17" s="904"/>
      <c r="C17" s="735"/>
      <c r="D17" s="734">
        <v>0</v>
      </c>
      <c r="E17" s="734">
        <v>0</v>
      </c>
      <c r="F17" s="734">
        <v>0</v>
      </c>
      <c r="G17" s="734">
        <v>0</v>
      </c>
      <c r="H17" s="734">
        <v>0</v>
      </c>
      <c r="I17" s="734">
        <v>0</v>
      </c>
      <c r="J17" s="75">
        <f t="shared" si="1"/>
        <v>0</v>
      </c>
      <c r="K17" s="75">
        <f t="shared" si="2"/>
        <v>0</v>
      </c>
      <c r="L17" s="734"/>
      <c r="M17" s="736"/>
    </row>
    <row r="18" spans="1:13" ht="13.5" x14ac:dyDescent="0.25">
      <c r="A18" s="746" t="str">
        <f>'Org structure'!A3</f>
        <v>Vote 2 - MUNICIPAL MANAGER'S OFFICE</v>
      </c>
      <c r="B18" s="903"/>
      <c r="C18" s="733">
        <f>SUM(C19:C28)</f>
        <v>2003988</v>
      </c>
      <c r="D18" s="732">
        <f t="shared" ref="D18:I18" si="3">SUM(D19:D28)</f>
        <v>2003988</v>
      </c>
      <c r="E18" s="732">
        <f t="shared" si="3"/>
        <v>0</v>
      </c>
      <c r="F18" s="732">
        <f t="shared" si="3"/>
        <v>0</v>
      </c>
      <c r="G18" s="732">
        <f t="shared" si="3"/>
        <v>0</v>
      </c>
      <c r="H18" s="732">
        <f t="shared" si="3"/>
        <v>0</v>
      </c>
      <c r="I18" s="732">
        <f t="shared" si="3"/>
        <v>-499808</v>
      </c>
      <c r="J18" s="75">
        <f t="shared" si="1"/>
        <v>-499808</v>
      </c>
      <c r="K18" s="75">
        <f t="shared" si="2"/>
        <v>1504180</v>
      </c>
      <c r="L18" s="732">
        <f>SUM(L19:L28)</f>
        <v>2003988</v>
      </c>
      <c r="M18" s="760">
        <f>SUM(M19:M28)</f>
        <v>2090574.2354904669</v>
      </c>
    </row>
    <row r="19" spans="1:13" ht="13.5" x14ac:dyDescent="0.25">
      <c r="A19" s="749" t="s">
        <v>1922</v>
      </c>
      <c r="B19" s="904"/>
      <c r="C19" s="735">
        <v>2001000</v>
      </c>
      <c r="D19" s="734">
        <v>2001000</v>
      </c>
      <c r="E19" s="734">
        <v>0</v>
      </c>
      <c r="F19" s="734">
        <v>0</v>
      </c>
      <c r="G19" s="734">
        <v>0</v>
      </c>
      <c r="H19" s="734">
        <v>0</v>
      </c>
      <c r="I19" s="734">
        <v>-499955</v>
      </c>
      <c r="J19" s="75">
        <f t="shared" si="1"/>
        <v>-499955</v>
      </c>
      <c r="K19" s="75">
        <f t="shared" si="2"/>
        <v>1501045</v>
      </c>
      <c r="L19" s="734">
        <v>2001000</v>
      </c>
      <c r="M19" s="736">
        <v>2087457.1330848408</v>
      </c>
    </row>
    <row r="20" spans="1:13" ht="13.5" x14ac:dyDescent="0.25">
      <c r="A20" s="749" t="s">
        <v>1923</v>
      </c>
      <c r="B20" s="904"/>
      <c r="C20" s="735">
        <v>996</v>
      </c>
      <c r="D20" s="734">
        <v>996</v>
      </c>
      <c r="E20" s="734">
        <v>0</v>
      </c>
      <c r="F20" s="734">
        <v>0</v>
      </c>
      <c r="G20" s="734">
        <v>0</v>
      </c>
      <c r="H20" s="734">
        <v>0</v>
      </c>
      <c r="I20" s="734">
        <v>147</v>
      </c>
      <c r="J20" s="75">
        <f>SUM(E20:I20)</f>
        <v>147</v>
      </c>
      <c r="K20" s="75">
        <f t="shared" si="2"/>
        <v>1143</v>
      </c>
      <c r="L20" s="734">
        <v>996</v>
      </c>
      <c r="M20" s="736">
        <v>1039.0341352086464</v>
      </c>
    </row>
    <row r="21" spans="1:13" ht="13.5" x14ac:dyDescent="0.25">
      <c r="A21" s="749" t="s">
        <v>1924</v>
      </c>
      <c r="B21" s="904"/>
      <c r="C21" s="735">
        <v>996</v>
      </c>
      <c r="D21" s="734">
        <v>996</v>
      </c>
      <c r="E21" s="734">
        <v>0</v>
      </c>
      <c r="F21" s="734">
        <v>0</v>
      </c>
      <c r="G21" s="734">
        <v>0</v>
      </c>
      <c r="H21" s="734">
        <v>0</v>
      </c>
      <c r="I21" s="734">
        <v>0</v>
      </c>
      <c r="J21" s="75">
        <f t="shared" si="1"/>
        <v>0</v>
      </c>
      <c r="K21" s="75">
        <f t="shared" si="2"/>
        <v>996</v>
      </c>
      <c r="L21" s="734">
        <v>996</v>
      </c>
      <c r="M21" s="736">
        <v>1039.0341352086464</v>
      </c>
    </row>
    <row r="22" spans="1:13" ht="13.5" x14ac:dyDescent="0.25">
      <c r="A22" s="749" t="s">
        <v>1925</v>
      </c>
      <c r="B22" s="904"/>
      <c r="C22" s="735">
        <v>996</v>
      </c>
      <c r="D22" s="734">
        <v>996</v>
      </c>
      <c r="E22" s="734">
        <v>0</v>
      </c>
      <c r="F22" s="734">
        <v>0</v>
      </c>
      <c r="G22" s="734">
        <v>0</v>
      </c>
      <c r="H22" s="734">
        <v>0</v>
      </c>
      <c r="I22" s="734">
        <v>0</v>
      </c>
      <c r="J22" s="75">
        <f t="shared" si="1"/>
        <v>0</v>
      </c>
      <c r="K22" s="75">
        <f t="shared" si="2"/>
        <v>996</v>
      </c>
      <c r="L22" s="734">
        <v>996</v>
      </c>
      <c r="M22" s="736">
        <v>1039.0341352086464</v>
      </c>
    </row>
    <row r="23" spans="1:13" ht="13.5" x14ac:dyDescent="0.25">
      <c r="A23" s="749">
        <f>'Org structure'!E18</f>
        <v>0</v>
      </c>
      <c r="B23" s="904"/>
      <c r="C23" s="735"/>
      <c r="D23" s="734">
        <v>0</v>
      </c>
      <c r="E23" s="734">
        <v>0</v>
      </c>
      <c r="F23" s="734">
        <v>0</v>
      </c>
      <c r="G23" s="734">
        <v>0</v>
      </c>
      <c r="H23" s="734">
        <v>0</v>
      </c>
      <c r="I23" s="734">
        <v>0</v>
      </c>
      <c r="J23" s="75">
        <f t="shared" si="1"/>
        <v>0</v>
      </c>
      <c r="K23" s="75">
        <f t="shared" si="2"/>
        <v>0</v>
      </c>
      <c r="L23" s="734"/>
      <c r="M23" s="736"/>
    </row>
    <row r="24" spans="1:13" ht="13.5" x14ac:dyDescent="0.25">
      <c r="A24" s="749">
        <f>'Org structure'!E19</f>
        <v>0</v>
      </c>
      <c r="B24" s="904"/>
      <c r="C24" s="735"/>
      <c r="D24" s="734">
        <v>0</v>
      </c>
      <c r="E24" s="734">
        <v>0</v>
      </c>
      <c r="F24" s="734">
        <v>0</v>
      </c>
      <c r="G24" s="734">
        <v>0</v>
      </c>
      <c r="H24" s="734">
        <v>0</v>
      </c>
      <c r="I24" s="734">
        <v>0</v>
      </c>
      <c r="J24" s="75">
        <f t="shared" si="1"/>
        <v>0</v>
      </c>
      <c r="K24" s="75">
        <f t="shared" si="2"/>
        <v>0</v>
      </c>
      <c r="L24" s="734"/>
      <c r="M24" s="736"/>
    </row>
    <row r="25" spans="1:13" ht="13.5" x14ac:dyDescent="0.25">
      <c r="A25" s="749">
        <f>'Org structure'!E20</f>
        <v>0</v>
      </c>
      <c r="B25" s="904"/>
      <c r="C25" s="735"/>
      <c r="D25" s="734">
        <v>0</v>
      </c>
      <c r="E25" s="734">
        <v>0</v>
      </c>
      <c r="F25" s="734">
        <v>0</v>
      </c>
      <c r="G25" s="734">
        <v>0</v>
      </c>
      <c r="H25" s="734">
        <v>0</v>
      </c>
      <c r="I25" s="734">
        <v>0</v>
      </c>
      <c r="J25" s="75">
        <f t="shared" si="1"/>
        <v>0</v>
      </c>
      <c r="K25" s="75">
        <f t="shared" si="2"/>
        <v>0</v>
      </c>
      <c r="L25" s="734"/>
      <c r="M25" s="736"/>
    </row>
    <row r="26" spans="1:13" ht="13.5" x14ac:dyDescent="0.25">
      <c r="A26" s="749">
        <f>'Org structure'!E21</f>
        <v>0</v>
      </c>
      <c r="B26" s="904"/>
      <c r="C26" s="735"/>
      <c r="D26" s="734">
        <v>0</v>
      </c>
      <c r="E26" s="734">
        <v>0</v>
      </c>
      <c r="F26" s="734">
        <v>0</v>
      </c>
      <c r="G26" s="734">
        <v>0</v>
      </c>
      <c r="H26" s="734">
        <v>0</v>
      </c>
      <c r="I26" s="734">
        <v>0</v>
      </c>
      <c r="J26" s="75">
        <f t="shared" si="1"/>
        <v>0</v>
      </c>
      <c r="K26" s="75">
        <f t="shared" si="2"/>
        <v>0</v>
      </c>
      <c r="L26" s="734"/>
      <c r="M26" s="736"/>
    </row>
    <row r="27" spans="1:13" ht="13.5" x14ac:dyDescent="0.25">
      <c r="A27" s="749">
        <f>'Org structure'!E22</f>
        <v>0</v>
      </c>
      <c r="B27" s="904"/>
      <c r="C27" s="735"/>
      <c r="D27" s="734">
        <v>0</v>
      </c>
      <c r="E27" s="734">
        <v>0</v>
      </c>
      <c r="F27" s="734">
        <v>0</v>
      </c>
      <c r="G27" s="734">
        <v>0</v>
      </c>
      <c r="H27" s="734">
        <v>0</v>
      </c>
      <c r="I27" s="734">
        <v>0</v>
      </c>
      <c r="J27" s="75">
        <f t="shared" si="1"/>
        <v>0</v>
      </c>
      <c r="K27" s="75">
        <f t="shared" si="2"/>
        <v>0</v>
      </c>
      <c r="L27" s="734"/>
      <c r="M27" s="736"/>
    </row>
    <row r="28" spans="1:13" ht="13.5" x14ac:dyDescent="0.25">
      <c r="A28" s="749">
        <f>'Org structure'!E23</f>
        <v>0</v>
      </c>
      <c r="B28" s="904"/>
      <c r="C28" s="735"/>
      <c r="D28" s="734">
        <v>0</v>
      </c>
      <c r="E28" s="734">
        <v>0</v>
      </c>
      <c r="F28" s="734">
        <v>0</v>
      </c>
      <c r="G28" s="734">
        <v>0</v>
      </c>
      <c r="H28" s="734">
        <v>0</v>
      </c>
      <c r="I28" s="734">
        <v>0</v>
      </c>
      <c r="J28" s="75">
        <f t="shared" si="1"/>
        <v>0</v>
      </c>
      <c r="K28" s="75">
        <f t="shared" si="2"/>
        <v>0</v>
      </c>
      <c r="L28" s="734"/>
      <c r="M28" s="736"/>
    </row>
    <row r="29" spans="1:13" ht="13.5" x14ac:dyDescent="0.25">
      <c r="A29" s="746" t="str">
        <f>'Org structure'!A4</f>
        <v>Vote 3 - WATER AND SANITATION</v>
      </c>
      <c r="B29" s="903"/>
      <c r="C29" s="733">
        <f t="shared" ref="C29:I29" si="4">SUM(C30:C39)</f>
        <v>471441984</v>
      </c>
      <c r="D29" s="732">
        <f t="shared" si="4"/>
        <v>471441984</v>
      </c>
      <c r="E29" s="732">
        <f t="shared" si="4"/>
        <v>0</v>
      </c>
      <c r="F29" s="732">
        <f t="shared" si="4"/>
        <v>0</v>
      </c>
      <c r="G29" s="732">
        <f t="shared" si="4"/>
        <v>0</v>
      </c>
      <c r="H29" s="732">
        <f t="shared" si="4"/>
        <v>0</v>
      </c>
      <c r="I29" s="732">
        <f t="shared" si="4"/>
        <v>-90852506</v>
      </c>
      <c r="J29" s="75">
        <f t="shared" si="1"/>
        <v>-90852506</v>
      </c>
      <c r="K29" s="75">
        <f t="shared" si="2"/>
        <v>380589478</v>
      </c>
      <c r="L29" s="732">
        <f>SUM(L30:L39)</f>
        <v>499727988</v>
      </c>
      <c r="M29" s="760">
        <f>SUM(M30:M39)</f>
        <v>521319716.71800894</v>
      </c>
    </row>
    <row r="30" spans="1:13" ht="13.5" x14ac:dyDescent="0.25">
      <c r="A30" s="749" t="s">
        <v>1926</v>
      </c>
      <c r="B30" s="904"/>
      <c r="C30" s="735">
        <v>996</v>
      </c>
      <c r="D30" s="734">
        <v>996</v>
      </c>
      <c r="E30" s="734">
        <v>0</v>
      </c>
      <c r="F30" s="734">
        <v>0</v>
      </c>
      <c r="G30" s="734">
        <v>0</v>
      </c>
      <c r="H30" s="734">
        <v>0</v>
      </c>
      <c r="I30" s="734">
        <v>0</v>
      </c>
      <c r="J30" s="75">
        <f t="shared" si="1"/>
        <v>0</v>
      </c>
      <c r="K30" s="75">
        <f t="shared" si="2"/>
        <v>996</v>
      </c>
      <c r="L30" s="734">
        <v>996</v>
      </c>
      <c r="M30" s="736">
        <v>1039.0341352086464</v>
      </c>
    </row>
    <row r="31" spans="1:13" ht="13.5" x14ac:dyDescent="0.25">
      <c r="A31" s="749" t="s">
        <v>1927</v>
      </c>
      <c r="B31" s="904"/>
      <c r="C31" s="735">
        <v>329637996</v>
      </c>
      <c r="D31" s="734">
        <v>329637996</v>
      </c>
      <c r="E31" s="734">
        <v>0</v>
      </c>
      <c r="F31" s="734">
        <v>0</v>
      </c>
      <c r="G31" s="734">
        <v>0</v>
      </c>
      <c r="H31" s="734">
        <v>0</v>
      </c>
      <c r="I31" s="734">
        <v>-90852506</v>
      </c>
      <c r="J31" s="75">
        <f t="shared" si="1"/>
        <v>-90852506</v>
      </c>
      <c r="K31" s="75">
        <f t="shared" si="2"/>
        <v>238785490</v>
      </c>
      <c r="L31" s="734">
        <v>349414992</v>
      </c>
      <c r="M31" s="736">
        <v>364512152.65226519</v>
      </c>
    </row>
    <row r="32" spans="1:13" ht="13.5" x14ac:dyDescent="0.25">
      <c r="A32" s="749" t="s">
        <v>1928</v>
      </c>
      <c r="B32" s="904"/>
      <c r="C32" s="735">
        <v>141801000</v>
      </c>
      <c r="D32" s="734">
        <v>141801000</v>
      </c>
      <c r="E32" s="734">
        <v>0</v>
      </c>
      <c r="F32" s="734">
        <v>0</v>
      </c>
      <c r="G32" s="734">
        <v>0</v>
      </c>
      <c r="H32" s="734">
        <v>0</v>
      </c>
      <c r="I32" s="734">
        <v>0</v>
      </c>
      <c r="J32" s="75">
        <f t="shared" si="1"/>
        <v>0</v>
      </c>
      <c r="K32" s="75">
        <f t="shared" si="2"/>
        <v>141801000</v>
      </c>
      <c r="L32" s="734">
        <v>150310008</v>
      </c>
      <c r="M32" s="736">
        <v>156804446.96333808</v>
      </c>
    </row>
    <row r="33" spans="1:13" ht="13.5" x14ac:dyDescent="0.25">
      <c r="A33" s="749" t="s">
        <v>1929</v>
      </c>
      <c r="B33" s="904"/>
      <c r="C33" s="735">
        <v>996</v>
      </c>
      <c r="D33" s="734">
        <v>996</v>
      </c>
      <c r="E33" s="734">
        <v>0</v>
      </c>
      <c r="F33" s="734">
        <v>0</v>
      </c>
      <c r="G33" s="734">
        <v>0</v>
      </c>
      <c r="H33" s="734">
        <v>0</v>
      </c>
      <c r="I33" s="734">
        <v>0</v>
      </c>
      <c r="J33" s="75">
        <f t="shared" si="1"/>
        <v>0</v>
      </c>
      <c r="K33" s="75">
        <f t="shared" si="2"/>
        <v>996</v>
      </c>
      <c r="L33" s="734">
        <v>996</v>
      </c>
      <c r="M33" s="736">
        <v>1039.0341352086464</v>
      </c>
    </row>
    <row r="34" spans="1:13" ht="13.5" x14ac:dyDescent="0.25">
      <c r="A34" s="749" t="s">
        <v>1930</v>
      </c>
      <c r="B34" s="904"/>
      <c r="C34" s="735">
        <v>996</v>
      </c>
      <c r="D34" s="734">
        <v>996</v>
      </c>
      <c r="E34" s="734">
        <v>0</v>
      </c>
      <c r="F34" s="734">
        <v>0</v>
      </c>
      <c r="G34" s="734">
        <v>0</v>
      </c>
      <c r="H34" s="734">
        <v>0</v>
      </c>
      <c r="I34" s="734">
        <v>0</v>
      </c>
      <c r="J34" s="75">
        <f t="shared" si="1"/>
        <v>0</v>
      </c>
      <c r="K34" s="75">
        <f t="shared" si="2"/>
        <v>996</v>
      </c>
      <c r="L34" s="734">
        <v>996</v>
      </c>
      <c r="M34" s="736">
        <v>1039.0341352086464</v>
      </c>
    </row>
    <row r="35" spans="1:13" ht="13.5" x14ac:dyDescent="0.25">
      <c r="A35" s="749" t="s">
        <v>1931</v>
      </c>
      <c r="B35" s="904"/>
      <c r="C35" s="735"/>
      <c r="D35" s="734">
        <v>0</v>
      </c>
      <c r="E35" s="734">
        <v>0</v>
      </c>
      <c r="F35" s="734">
        <v>0</v>
      </c>
      <c r="G35" s="734">
        <v>0</v>
      </c>
      <c r="H35" s="734">
        <v>0</v>
      </c>
      <c r="I35" s="734">
        <v>0</v>
      </c>
      <c r="J35" s="75">
        <f t="shared" si="1"/>
        <v>0</v>
      </c>
      <c r="K35" s="75">
        <f t="shared" si="2"/>
        <v>0</v>
      </c>
      <c r="L35" s="734"/>
      <c r="M35" s="736"/>
    </row>
    <row r="36" spans="1:13" ht="13.5" x14ac:dyDescent="0.25">
      <c r="A36" s="749" t="s">
        <v>1932</v>
      </c>
      <c r="B36" s="904"/>
      <c r="C36" s="735"/>
      <c r="D36" s="734">
        <v>0</v>
      </c>
      <c r="E36" s="734">
        <v>0</v>
      </c>
      <c r="F36" s="734">
        <v>0</v>
      </c>
      <c r="G36" s="734">
        <v>0</v>
      </c>
      <c r="H36" s="734">
        <v>0</v>
      </c>
      <c r="I36" s="734">
        <v>0</v>
      </c>
      <c r="J36" s="75">
        <f t="shared" si="1"/>
        <v>0</v>
      </c>
      <c r="K36" s="75">
        <f t="shared" si="2"/>
        <v>0</v>
      </c>
      <c r="L36" s="734"/>
      <c r="M36" s="736"/>
    </row>
    <row r="37" spans="1:13" ht="13.5" x14ac:dyDescent="0.25">
      <c r="A37" s="749">
        <f>'Org structure'!E32</f>
        <v>0</v>
      </c>
      <c r="B37" s="904"/>
      <c r="C37" s="735"/>
      <c r="D37" s="734">
        <v>0</v>
      </c>
      <c r="E37" s="734">
        <v>0</v>
      </c>
      <c r="F37" s="734">
        <v>0</v>
      </c>
      <c r="G37" s="734">
        <v>0</v>
      </c>
      <c r="H37" s="734">
        <v>0</v>
      </c>
      <c r="I37" s="734">
        <v>0</v>
      </c>
      <c r="J37" s="75">
        <f t="shared" si="1"/>
        <v>0</v>
      </c>
      <c r="K37" s="75">
        <f t="shared" si="2"/>
        <v>0</v>
      </c>
      <c r="L37" s="734"/>
      <c r="M37" s="736"/>
    </row>
    <row r="38" spans="1:13" ht="13.5" x14ac:dyDescent="0.25">
      <c r="A38" s="749">
        <f>'Org structure'!E33</f>
        <v>0</v>
      </c>
      <c r="B38" s="904"/>
      <c r="C38" s="735"/>
      <c r="D38" s="734">
        <v>0</v>
      </c>
      <c r="E38" s="734">
        <v>0</v>
      </c>
      <c r="F38" s="734">
        <v>0</v>
      </c>
      <c r="G38" s="734">
        <v>0</v>
      </c>
      <c r="H38" s="734">
        <v>0</v>
      </c>
      <c r="I38" s="734">
        <v>0</v>
      </c>
      <c r="J38" s="75">
        <f t="shared" si="1"/>
        <v>0</v>
      </c>
      <c r="K38" s="75">
        <f t="shared" si="2"/>
        <v>0</v>
      </c>
      <c r="L38" s="734"/>
      <c r="M38" s="736"/>
    </row>
    <row r="39" spans="1:13" ht="13.5" x14ac:dyDescent="0.25">
      <c r="A39" s="749">
        <f>'Org structure'!E34</f>
        <v>0</v>
      </c>
      <c r="B39" s="904"/>
      <c r="C39" s="735"/>
      <c r="D39" s="734">
        <v>0</v>
      </c>
      <c r="E39" s="734">
        <v>0</v>
      </c>
      <c r="F39" s="734">
        <v>0</v>
      </c>
      <c r="G39" s="734">
        <v>0</v>
      </c>
      <c r="H39" s="734">
        <v>0</v>
      </c>
      <c r="I39" s="734">
        <v>0</v>
      </c>
      <c r="J39" s="75">
        <f t="shared" si="1"/>
        <v>0</v>
      </c>
      <c r="K39" s="75">
        <f t="shared" si="2"/>
        <v>0</v>
      </c>
      <c r="L39" s="734"/>
      <c r="M39" s="736"/>
    </row>
    <row r="40" spans="1:13" ht="13.5" x14ac:dyDescent="0.25">
      <c r="A40" s="746" t="str">
        <f>'Org structure'!A5</f>
        <v>Vote 4 - ENERGY</v>
      </c>
      <c r="B40" s="903"/>
      <c r="C40" s="733">
        <f t="shared" ref="C40:I40" si="5">SUM(C41:C50)</f>
        <v>1355755992</v>
      </c>
      <c r="D40" s="732">
        <f t="shared" si="5"/>
        <v>1355755992</v>
      </c>
      <c r="E40" s="732">
        <f t="shared" si="5"/>
        <v>0</v>
      </c>
      <c r="F40" s="732">
        <f t="shared" si="5"/>
        <v>0</v>
      </c>
      <c r="G40" s="732">
        <f t="shared" si="5"/>
        <v>0</v>
      </c>
      <c r="H40" s="732">
        <f t="shared" si="5"/>
        <v>0</v>
      </c>
      <c r="I40" s="732">
        <f t="shared" si="5"/>
        <v>-121162219</v>
      </c>
      <c r="J40" s="75">
        <f t="shared" si="1"/>
        <v>-121162219</v>
      </c>
      <c r="K40" s="75">
        <f t="shared" si="2"/>
        <v>1234593773</v>
      </c>
      <c r="L40" s="732">
        <f>SUM(L41:L50)</f>
        <v>1492885968</v>
      </c>
      <c r="M40" s="760">
        <f>SUM(M41:M50)</f>
        <v>1557389036.8734965</v>
      </c>
    </row>
    <row r="41" spans="1:13" ht="13.5" x14ac:dyDescent="0.25">
      <c r="A41" s="749" t="s">
        <v>1933</v>
      </c>
      <c r="B41" s="904"/>
      <c r="C41" s="735">
        <v>996</v>
      </c>
      <c r="D41" s="734">
        <v>996</v>
      </c>
      <c r="E41" s="734">
        <v>0</v>
      </c>
      <c r="F41" s="734">
        <v>0</v>
      </c>
      <c r="G41" s="734">
        <v>0</v>
      </c>
      <c r="H41" s="734">
        <v>0</v>
      </c>
      <c r="I41" s="734">
        <v>0</v>
      </c>
      <c r="J41" s="75">
        <f t="shared" si="1"/>
        <v>0</v>
      </c>
      <c r="K41" s="75">
        <f t="shared" si="2"/>
        <v>996</v>
      </c>
      <c r="L41" s="734">
        <v>996</v>
      </c>
      <c r="M41" s="736">
        <v>1039.0341352086464</v>
      </c>
    </row>
    <row r="42" spans="1:13" ht="13.5" x14ac:dyDescent="0.25">
      <c r="A42" s="749" t="s">
        <v>1934</v>
      </c>
      <c r="B42" s="904"/>
      <c r="C42" s="735">
        <v>1355752008</v>
      </c>
      <c r="D42" s="734">
        <v>1355752008</v>
      </c>
      <c r="E42" s="734">
        <v>0</v>
      </c>
      <c r="F42" s="734">
        <v>0</v>
      </c>
      <c r="G42" s="734">
        <v>0</v>
      </c>
      <c r="H42" s="734">
        <v>0</v>
      </c>
      <c r="I42" s="734">
        <v>-121162219</v>
      </c>
      <c r="J42" s="75">
        <f t="shared" si="1"/>
        <v>-121162219</v>
      </c>
      <c r="K42" s="75">
        <f t="shared" si="2"/>
        <v>1234589789</v>
      </c>
      <c r="L42" s="734">
        <v>1492881984</v>
      </c>
      <c r="M42" s="736">
        <v>1557384880.7369561</v>
      </c>
    </row>
    <row r="43" spans="1:13" ht="13.5" x14ac:dyDescent="0.25">
      <c r="A43" s="749" t="s">
        <v>1935</v>
      </c>
      <c r="B43" s="904"/>
      <c r="C43" s="735">
        <v>996</v>
      </c>
      <c r="D43" s="734">
        <v>996</v>
      </c>
      <c r="E43" s="734">
        <v>0</v>
      </c>
      <c r="F43" s="734">
        <v>0</v>
      </c>
      <c r="G43" s="734">
        <v>0</v>
      </c>
      <c r="H43" s="734">
        <v>0</v>
      </c>
      <c r="I43" s="734">
        <v>0</v>
      </c>
      <c r="J43" s="75">
        <f t="shared" si="1"/>
        <v>0</v>
      </c>
      <c r="K43" s="75">
        <f t="shared" si="2"/>
        <v>996</v>
      </c>
      <c r="L43" s="734">
        <v>996</v>
      </c>
      <c r="M43" s="736">
        <v>1039.0341352086464</v>
      </c>
    </row>
    <row r="44" spans="1:13" ht="13.5" x14ac:dyDescent="0.25">
      <c r="A44" s="749" t="s">
        <v>1936</v>
      </c>
      <c r="B44" s="904"/>
      <c r="C44" s="735">
        <v>996</v>
      </c>
      <c r="D44" s="734">
        <v>996</v>
      </c>
      <c r="E44" s="734">
        <v>0</v>
      </c>
      <c r="F44" s="734">
        <v>0</v>
      </c>
      <c r="G44" s="734">
        <v>0</v>
      </c>
      <c r="H44" s="734">
        <v>0</v>
      </c>
      <c r="I44" s="734">
        <v>0</v>
      </c>
      <c r="J44" s="75">
        <f t="shared" si="1"/>
        <v>0</v>
      </c>
      <c r="K44" s="75">
        <f t="shared" si="2"/>
        <v>996</v>
      </c>
      <c r="L44" s="734">
        <v>996</v>
      </c>
      <c r="M44" s="736">
        <v>1039.0341352086464</v>
      </c>
    </row>
    <row r="45" spans="1:13" ht="13.5" x14ac:dyDescent="0.25">
      <c r="A45" s="749" t="s">
        <v>1937</v>
      </c>
      <c r="B45" s="904"/>
      <c r="C45" s="735">
        <v>996</v>
      </c>
      <c r="D45" s="734">
        <v>996</v>
      </c>
      <c r="E45" s="734">
        <v>0</v>
      </c>
      <c r="F45" s="734">
        <v>0</v>
      </c>
      <c r="G45" s="734">
        <v>0</v>
      </c>
      <c r="H45" s="734">
        <v>0</v>
      </c>
      <c r="I45" s="734">
        <v>0</v>
      </c>
      <c r="J45" s="75">
        <f t="shared" si="1"/>
        <v>0</v>
      </c>
      <c r="K45" s="75">
        <f t="shared" si="2"/>
        <v>996</v>
      </c>
      <c r="L45" s="734">
        <v>996</v>
      </c>
      <c r="M45" s="736">
        <v>1039.0341352086464</v>
      </c>
    </row>
    <row r="46" spans="1:13" ht="13.5" x14ac:dyDescent="0.25">
      <c r="A46" s="749">
        <f>'Org structure'!E41</f>
        <v>0</v>
      </c>
      <c r="B46" s="904"/>
      <c r="C46" s="735"/>
      <c r="D46" s="734">
        <v>0</v>
      </c>
      <c r="E46" s="734">
        <v>0</v>
      </c>
      <c r="F46" s="734">
        <v>0</v>
      </c>
      <c r="G46" s="734">
        <v>0</v>
      </c>
      <c r="H46" s="734">
        <v>0</v>
      </c>
      <c r="I46" s="734">
        <v>0</v>
      </c>
      <c r="J46" s="75">
        <f t="shared" si="1"/>
        <v>0</v>
      </c>
      <c r="K46" s="75">
        <f t="shared" si="2"/>
        <v>0</v>
      </c>
      <c r="L46" s="734"/>
      <c r="M46" s="736"/>
    </row>
    <row r="47" spans="1:13" ht="13.5" x14ac:dyDescent="0.25">
      <c r="A47" s="749">
        <f>'Org structure'!E42</f>
        <v>0</v>
      </c>
      <c r="B47" s="904"/>
      <c r="C47" s="735"/>
      <c r="D47" s="734">
        <v>0</v>
      </c>
      <c r="E47" s="734">
        <v>0</v>
      </c>
      <c r="F47" s="734">
        <v>0</v>
      </c>
      <c r="G47" s="734">
        <v>0</v>
      </c>
      <c r="H47" s="734">
        <v>0</v>
      </c>
      <c r="I47" s="734">
        <v>0</v>
      </c>
      <c r="J47" s="75">
        <f t="shared" si="1"/>
        <v>0</v>
      </c>
      <c r="K47" s="75">
        <f t="shared" si="2"/>
        <v>0</v>
      </c>
      <c r="L47" s="734"/>
      <c r="M47" s="736"/>
    </row>
    <row r="48" spans="1:13" ht="13.5" x14ac:dyDescent="0.25">
      <c r="A48" s="749">
        <f>'Org structure'!E43</f>
        <v>0</v>
      </c>
      <c r="B48" s="904"/>
      <c r="C48" s="735"/>
      <c r="D48" s="734">
        <v>0</v>
      </c>
      <c r="E48" s="734">
        <v>0</v>
      </c>
      <c r="F48" s="734">
        <v>0</v>
      </c>
      <c r="G48" s="734">
        <v>0</v>
      </c>
      <c r="H48" s="734">
        <v>0</v>
      </c>
      <c r="I48" s="734">
        <v>0</v>
      </c>
      <c r="J48" s="75">
        <f t="shared" si="1"/>
        <v>0</v>
      </c>
      <c r="K48" s="75">
        <f t="shared" si="2"/>
        <v>0</v>
      </c>
      <c r="L48" s="734"/>
      <c r="M48" s="736"/>
    </row>
    <row r="49" spans="1:13" ht="13.5" x14ac:dyDescent="0.25">
      <c r="A49" s="749">
        <f>'Org structure'!E44</f>
        <v>0</v>
      </c>
      <c r="B49" s="904"/>
      <c r="C49" s="735"/>
      <c r="D49" s="734">
        <v>0</v>
      </c>
      <c r="E49" s="734">
        <v>0</v>
      </c>
      <c r="F49" s="734">
        <v>0</v>
      </c>
      <c r="G49" s="734">
        <v>0</v>
      </c>
      <c r="H49" s="734">
        <v>0</v>
      </c>
      <c r="I49" s="734">
        <v>0</v>
      </c>
      <c r="J49" s="75">
        <f t="shared" si="1"/>
        <v>0</v>
      </c>
      <c r="K49" s="75">
        <f t="shared" si="2"/>
        <v>0</v>
      </c>
      <c r="L49" s="734"/>
      <c r="M49" s="736"/>
    </row>
    <row r="50" spans="1:13" ht="13.5" x14ac:dyDescent="0.25">
      <c r="A50" s="749">
        <f>'Org structure'!E45</f>
        <v>0</v>
      </c>
      <c r="B50" s="904"/>
      <c r="C50" s="735"/>
      <c r="D50" s="734">
        <v>0</v>
      </c>
      <c r="E50" s="734">
        <v>0</v>
      </c>
      <c r="F50" s="734">
        <v>0</v>
      </c>
      <c r="G50" s="734">
        <v>0</v>
      </c>
      <c r="H50" s="734">
        <v>0</v>
      </c>
      <c r="I50" s="734">
        <v>0</v>
      </c>
      <c r="J50" s="75">
        <f t="shared" si="1"/>
        <v>0</v>
      </c>
      <c r="K50" s="75">
        <f t="shared" si="2"/>
        <v>0</v>
      </c>
      <c r="L50" s="734"/>
      <c r="M50" s="736"/>
    </row>
    <row r="51" spans="1:13" ht="13.5" x14ac:dyDescent="0.25">
      <c r="A51" s="746" t="s">
        <v>1938</v>
      </c>
      <c r="B51" s="903"/>
      <c r="C51" s="733">
        <f>SUM(C52:C61)</f>
        <v>151340964</v>
      </c>
      <c r="D51" s="732">
        <f t="shared" ref="D51:I51" si="6">SUM(D52:D61)</f>
        <v>151340964</v>
      </c>
      <c r="E51" s="732">
        <f t="shared" si="6"/>
        <v>0</v>
      </c>
      <c r="F51" s="732">
        <f t="shared" si="6"/>
        <v>0</v>
      </c>
      <c r="G51" s="732">
        <f t="shared" si="6"/>
        <v>0</v>
      </c>
      <c r="H51" s="732">
        <f t="shared" si="6"/>
        <v>0</v>
      </c>
      <c r="I51" s="732">
        <f t="shared" si="6"/>
        <v>-15494246</v>
      </c>
      <c r="J51" s="75">
        <f t="shared" si="1"/>
        <v>-15494246</v>
      </c>
      <c r="K51" s="75">
        <f t="shared" si="2"/>
        <v>135846718</v>
      </c>
      <c r="L51" s="732">
        <f>SUM(L52:L61)</f>
        <v>163533948</v>
      </c>
      <c r="M51" s="760">
        <f>SUM(M52:M61)</f>
        <v>170599753.25043753</v>
      </c>
    </row>
    <row r="52" spans="1:13" ht="13.5" x14ac:dyDescent="0.25">
      <c r="A52" s="749" t="s">
        <v>1939</v>
      </c>
      <c r="B52" s="904"/>
      <c r="C52" s="735">
        <v>0</v>
      </c>
      <c r="D52" s="734">
        <v>0</v>
      </c>
      <c r="E52" s="734">
        <v>0</v>
      </c>
      <c r="F52" s="734">
        <v>0</v>
      </c>
      <c r="G52" s="734">
        <v>0</v>
      </c>
      <c r="H52" s="734">
        <v>0</v>
      </c>
      <c r="I52" s="734">
        <v>0</v>
      </c>
      <c r="J52" s="75">
        <f t="shared" si="1"/>
        <v>0</v>
      </c>
      <c r="K52" s="75">
        <f t="shared" si="2"/>
        <v>0</v>
      </c>
      <c r="L52" s="734">
        <v>0</v>
      </c>
      <c r="M52" s="736">
        <v>0</v>
      </c>
    </row>
    <row r="53" spans="1:13" ht="13.5" x14ac:dyDescent="0.25">
      <c r="A53" s="749" t="s">
        <v>1940</v>
      </c>
      <c r="B53" s="904"/>
      <c r="C53" s="735">
        <v>8757984</v>
      </c>
      <c r="D53" s="734">
        <v>8757984</v>
      </c>
      <c r="E53" s="734">
        <v>0</v>
      </c>
      <c r="F53" s="734">
        <v>0</v>
      </c>
      <c r="G53" s="734">
        <v>0</v>
      </c>
      <c r="H53" s="734">
        <v>0</v>
      </c>
      <c r="I53" s="734">
        <v>0</v>
      </c>
      <c r="J53" s="75">
        <f t="shared" si="1"/>
        <v>0</v>
      </c>
      <c r="K53" s="75">
        <f t="shared" si="2"/>
        <v>8757984</v>
      </c>
      <c r="L53" s="734">
        <v>12461976</v>
      </c>
      <c r="M53" s="736">
        <v>13000420.136697698</v>
      </c>
    </row>
    <row r="54" spans="1:13" ht="13.5" x14ac:dyDescent="0.25">
      <c r="A54" s="749" t="s">
        <v>1941</v>
      </c>
      <c r="B54" s="904"/>
      <c r="C54" s="735">
        <v>1992</v>
      </c>
      <c r="D54" s="734">
        <v>1992</v>
      </c>
      <c r="E54" s="734">
        <v>0</v>
      </c>
      <c r="F54" s="734">
        <v>0</v>
      </c>
      <c r="G54" s="734">
        <v>0</v>
      </c>
      <c r="H54" s="734">
        <v>0</v>
      </c>
      <c r="I54" s="734">
        <v>0</v>
      </c>
      <c r="J54" s="75">
        <f t="shared" si="1"/>
        <v>0</v>
      </c>
      <c r="K54" s="75">
        <f t="shared" si="2"/>
        <v>1992</v>
      </c>
      <c r="L54" s="734">
        <v>1992</v>
      </c>
      <c r="M54" s="736">
        <v>2078.0682704172928</v>
      </c>
    </row>
    <row r="55" spans="1:13" ht="13.5" x14ac:dyDescent="0.25">
      <c r="A55" s="749" t="s">
        <v>1942</v>
      </c>
      <c r="B55" s="904"/>
      <c r="C55" s="735">
        <v>606996</v>
      </c>
      <c r="D55" s="734">
        <v>606996</v>
      </c>
      <c r="E55" s="734">
        <v>0</v>
      </c>
      <c r="F55" s="734">
        <v>0</v>
      </c>
      <c r="G55" s="734">
        <v>0</v>
      </c>
      <c r="H55" s="734">
        <v>0</v>
      </c>
      <c r="I55" s="734">
        <v>0</v>
      </c>
      <c r="J55" s="75">
        <f t="shared" si="1"/>
        <v>0</v>
      </c>
      <c r="K55" s="75">
        <f t="shared" si="2"/>
        <v>606996</v>
      </c>
      <c r="L55" s="734">
        <v>642996</v>
      </c>
      <c r="M55" s="736">
        <v>670777.90442030004</v>
      </c>
    </row>
    <row r="56" spans="1:13" ht="13.5" x14ac:dyDescent="0.25">
      <c r="A56" s="749" t="s">
        <v>1943</v>
      </c>
      <c r="B56" s="905"/>
      <c r="C56" s="735">
        <v>222996</v>
      </c>
      <c r="D56" s="734">
        <v>222996</v>
      </c>
      <c r="E56" s="734">
        <v>0</v>
      </c>
      <c r="F56" s="734">
        <v>0</v>
      </c>
      <c r="G56" s="734">
        <v>0</v>
      </c>
      <c r="H56" s="734">
        <v>0</v>
      </c>
      <c r="I56" s="734">
        <v>0</v>
      </c>
      <c r="J56" s="75">
        <f t="shared" si="1"/>
        <v>0</v>
      </c>
      <c r="K56" s="75">
        <f t="shared" si="2"/>
        <v>222996</v>
      </c>
      <c r="L56" s="734">
        <v>236004</v>
      </c>
      <c r="M56" s="736">
        <v>246201.01611022229</v>
      </c>
    </row>
    <row r="57" spans="1:13" ht="13.5" x14ac:dyDescent="0.25">
      <c r="A57" s="749" t="s">
        <v>1944</v>
      </c>
      <c r="B57" s="904"/>
      <c r="C57" s="735">
        <v>382008</v>
      </c>
      <c r="D57" s="734">
        <v>382008</v>
      </c>
      <c r="E57" s="734">
        <v>0</v>
      </c>
      <c r="F57" s="734">
        <v>0</v>
      </c>
      <c r="G57" s="734">
        <v>0</v>
      </c>
      <c r="H57" s="734">
        <v>0</v>
      </c>
      <c r="I57" s="734">
        <v>0</v>
      </c>
      <c r="J57" s="75">
        <f t="shared" si="1"/>
        <v>0</v>
      </c>
      <c r="K57" s="75">
        <f t="shared" si="2"/>
        <v>382008</v>
      </c>
      <c r="L57" s="734">
        <v>403992</v>
      </c>
      <c r="M57" s="736">
        <v>421447.26742089505</v>
      </c>
    </row>
    <row r="58" spans="1:13" ht="13.5" x14ac:dyDescent="0.25">
      <c r="A58" s="749" t="s">
        <v>1945</v>
      </c>
      <c r="B58" s="904"/>
      <c r="C58" s="735">
        <v>1992</v>
      </c>
      <c r="D58" s="734">
        <v>1992</v>
      </c>
      <c r="E58" s="734">
        <v>0</v>
      </c>
      <c r="F58" s="734">
        <v>0</v>
      </c>
      <c r="G58" s="734">
        <v>0</v>
      </c>
      <c r="H58" s="734">
        <v>0</v>
      </c>
      <c r="I58" s="734">
        <v>0</v>
      </c>
      <c r="J58" s="75">
        <f t="shared" si="1"/>
        <v>0</v>
      </c>
      <c r="K58" s="75">
        <f t="shared" si="2"/>
        <v>1992</v>
      </c>
      <c r="L58" s="734">
        <v>1992</v>
      </c>
      <c r="M58" s="736">
        <v>2078.0682704172928</v>
      </c>
    </row>
    <row r="59" spans="1:13" ht="13.5" x14ac:dyDescent="0.25">
      <c r="A59" s="749" t="s">
        <v>1946</v>
      </c>
      <c r="B59" s="904"/>
      <c r="C59" s="735">
        <v>1194000</v>
      </c>
      <c r="D59" s="734">
        <v>1194000</v>
      </c>
      <c r="E59" s="734">
        <v>0</v>
      </c>
      <c r="F59" s="734">
        <v>0</v>
      </c>
      <c r="G59" s="734">
        <v>0</v>
      </c>
      <c r="H59" s="734">
        <v>0</v>
      </c>
      <c r="I59" s="734">
        <v>0</v>
      </c>
      <c r="J59" s="75">
        <f t="shared" si="1"/>
        <v>0</v>
      </c>
      <c r="K59" s="75">
        <f t="shared" si="2"/>
        <v>1194000</v>
      </c>
      <c r="L59" s="734">
        <v>1264992</v>
      </c>
      <c r="M59" s="736">
        <v>1319648.4626163214</v>
      </c>
    </row>
    <row r="60" spans="1:13" ht="13.5" x14ac:dyDescent="0.25">
      <c r="A60" s="749" t="s">
        <v>1947</v>
      </c>
      <c r="B60" s="904"/>
      <c r="C60" s="735">
        <v>136318008</v>
      </c>
      <c r="D60" s="734">
        <v>136318008</v>
      </c>
      <c r="E60" s="734">
        <v>0</v>
      </c>
      <c r="F60" s="734">
        <v>0</v>
      </c>
      <c r="G60" s="734">
        <v>0</v>
      </c>
      <c r="H60" s="734">
        <v>0</v>
      </c>
      <c r="I60" s="734">
        <v>-15494246</v>
      </c>
      <c r="J60" s="75">
        <f t="shared" si="1"/>
        <v>-15494246</v>
      </c>
      <c r="K60" s="75">
        <f t="shared" si="2"/>
        <v>120823762</v>
      </c>
      <c r="L60" s="734">
        <v>144468000</v>
      </c>
      <c r="M60" s="736">
        <v>150710023.53948066</v>
      </c>
    </row>
    <row r="61" spans="1:13" ht="13.5" x14ac:dyDescent="0.25">
      <c r="A61" s="749" t="s">
        <v>1948</v>
      </c>
      <c r="B61" s="904"/>
      <c r="C61" s="735">
        <v>3854988</v>
      </c>
      <c r="D61" s="734">
        <v>3854988</v>
      </c>
      <c r="E61" s="734">
        <v>0</v>
      </c>
      <c r="F61" s="734">
        <v>0</v>
      </c>
      <c r="G61" s="734">
        <v>0</v>
      </c>
      <c r="H61" s="734">
        <v>0</v>
      </c>
      <c r="I61" s="734">
        <v>0</v>
      </c>
      <c r="J61" s="75">
        <f t="shared" si="1"/>
        <v>0</v>
      </c>
      <c r="K61" s="75">
        <f t="shared" si="2"/>
        <v>3854988</v>
      </c>
      <c r="L61" s="734">
        <v>4052004</v>
      </c>
      <c r="M61" s="736">
        <v>4227078.7871505786</v>
      </c>
    </row>
    <row r="62" spans="1:13" ht="13.5" x14ac:dyDescent="0.25">
      <c r="A62" s="746" t="s">
        <v>1949</v>
      </c>
      <c r="B62" s="903"/>
      <c r="C62" s="733">
        <f>SUM(C63:C72)</f>
        <v>70244940</v>
      </c>
      <c r="D62" s="732">
        <f t="shared" ref="D62:I62" si="7">SUM(D63:D72)</f>
        <v>70244940</v>
      </c>
      <c r="E62" s="732">
        <f t="shared" si="7"/>
        <v>0</v>
      </c>
      <c r="F62" s="732">
        <f t="shared" si="7"/>
        <v>0</v>
      </c>
      <c r="G62" s="732">
        <f t="shared" si="7"/>
        <v>0</v>
      </c>
      <c r="H62" s="732">
        <f t="shared" si="7"/>
        <v>0</v>
      </c>
      <c r="I62" s="732">
        <f t="shared" si="7"/>
        <v>-17116799</v>
      </c>
      <c r="J62" s="75">
        <f t="shared" si="1"/>
        <v>-17116799</v>
      </c>
      <c r="K62" s="75">
        <f t="shared" si="2"/>
        <v>53128141</v>
      </c>
      <c r="L62" s="732">
        <f>SUM(L63:L72)</f>
        <v>74458956</v>
      </c>
      <c r="M62" s="760">
        <f>SUM(M63:M72)</f>
        <v>77676101.361444429</v>
      </c>
    </row>
    <row r="63" spans="1:13" ht="13.5" x14ac:dyDescent="0.25">
      <c r="A63" s="749" t="s">
        <v>1950</v>
      </c>
      <c r="B63" s="904"/>
      <c r="C63" s="735">
        <v>14988</v>
      </c>
      <c r="D63" s="734">
        <v>14988</v>
      </c>
      <c r="E63" s="734">
        <v>0</v>
      </c>
      <c r="F63" s="734">
        <v>0</v>
      </c>
      <c r="G63" s="734">
        <v>0</v>
      </c>
      <c r="H63" s="734">
        <v>0</v>
      </c>
      <c r="I63" s="734">
        <v>0</v>
      </c>
      <c r="J63" s="75">
        <f t="shared" si="1"/>
        <v>0</v>
      </c>
      <c r="K63" s="75">
        <f t="shared" si="2"/>
        <v>14988</v>
      </c>
      <c r="L63" s="734">
        <v>15996</v>
      </c>
      <c r="M63" s="736">
        <v>16687.138581121995</v>
      </c>
    </row>
    <row r="64" spans="1:13" ht="13.5" x14ac:dyDescent="0.25">
      <c r="A64" s="749" t="s">
        <v>1951</v>
      </c>
      <c r="B64" s="904"/>
      <c r="C64" s="735">
        <v>0</v>
      </c>
      <c r="D64" s="734">
        <v>0</v>
      </c>
      <c r="E64" s="734">
        <v>0</v>
      </c>
      <c r="F64" s="734">
        <v>0</v>
      </c>
      <c r="G64" s="734">
        <v>0</v>
      </c>
      <c r="H64" s="734">
        <v>0</v>
      </c>
      <c r="I64" s="734">
        <v>0</v>
      </c>
      <c r="J64" s="75">
        <f t="shared" si="1"/>
        <v>0</v>
      </c>
      <c r="K64" s="75">
        <f t="shared" si="2"/>
        <v>0</v>
      </c>
      <c r="L64" s="734">
        <v>0</v>
      </c>
      <c r="M64" s="736">
        <v>0</v>
      </c>
    </row>
    <row r="65" spans="1:13" ht="13.5" x14ac:dyDescent="0.25">
      <c r="A65" s="749" t="s">
        <v>1952</v>
      </c>
      <c r="B65" s="904"/>
      <c r="C65" s="735">
        <v>996</v>
      </c>
      <c r="D65" s="734">
        <v>996</v>
      </c>
      <c r="E65" s="734">
        <v>0</v>
      </c>
      <c r="F65" s="734">
        <v>0</v>
      </c>
      <c r="G65" s="734">
        <v>0</v>
      </c>
      <c r="H65" s="734">
        <v>0</v>
      </c>
      <c r="I65" s="734">
        <v>0</v>
      </c>
      <c r="J65" s="75">
        <f t="shared" si="1"/>
        <v>0</v>
      </c>
      <c r="K65" s="75">
        <f t="shared" si="2"/>
        <v>996</v>
      </c>
      <c r="L65" s="734">
        <v>996</v>
      </c>
      <c r="M65" s="736">
        <v>1039.0341352086464</v>
      </c>
    </row>
    <row r="66" spans="1:13" ht="13.5" x14ac:dyDescent="0.25">
      <c r="A66" s="749" t="s">
        <v>1953</v>
      </c>
      <c r="B66" s="904"/>
      <c r="C66" s="735">
        <v>28124988</v>
      </c>
      <c r="D66" s="734">
        <v>28124988</v>
      </c>
      <c r="E66" s="734">
        <v>0</v>
      </c>
      <c r="F66" s="734">
        <v>0</v>
      </c>
      <c r="G66" s="734">
        <v>0</v>
      </c>
      <c r="H66" s="734">
        <v>0</v>
      </c>
      <c r="I66" s="734">
        <v>0</v>
      </c>
      <c r="J66" s="75">
        <f t="shared" si="1"/>
        <v>0</v>
      </c>
      <c r="K66" s="75">
        <f t="shared" si="2"/>
        <v>28124988</v>
      </c>
      <c r="L66" s="734">
        <v>29812008</v>
      </c>
      <c r="M66" s="736">
        <v>31100094.328426957</v>
      </c>
    </row>
    <row r="67" spans="1:13" ht="13.5" x14ac:dyDescent="0.25">
      <c r="A67" s="749" t="s">
        <v>1954</v>
      </c>
      <c r="B67" s="904"/>
      <c r="C67" s="735">
        <v>15237000</v>
      </c>
      <c r="D67" s="734">
        <v>15237000</v>
      </c>
      <c r="E67" s="734">
        <v>0</v>
      </c>
      <c r="F67" s="734">
        <v>0</v>
      </c>
      <c r="G67" s="734">
        <v>0</v>
      </c>
      <c r="H67" s="734">
        <v>0</v>
      </c>
      <c r="I67" s="734">
        <v>0</v>
      </c>
      <c r="J67" s="75">
        <f t="shared" si="1"/>
        <v>0</v>
      </c>
      <c r="K67" s="75">
        <f t="shared" si="2"/>
        <v>15237000</v>
      </c>
      <c r="L67" s="734">
        <v>16149000</v>
      </c>
      <c r="M67" s="736">
        <v>16846749.246470314</v>
      </c>
    </row>
    <row r="68" spans="1:13" ht="13.5" x14ac:dyDescent="0.25">
      <c r="A68" s="749" t="s">
        <v>1955</v>
      </c>
      <c r="B68" s="904"/>
      <c r="C68" s="735">
        <v>26481996</v>
      </c>
      <c r="D68" s="734">
        <v>26481996</v>
      </c>
      <c r="E68" s="734">
        <v>0</v>
      </c>
      <c r="F68" s="734">
        <v>0</v>
      </c>
      <c r="G68" s="734">
        <v>0</v>
      </c>
      <c r="H68" s="734">
        <v>0</v>
      </c>
      <c r="I68" s="734">
        <v>-17116799</v>
      </c>
      <c r="J68" s="75">
        <f t="shared" si="1"/>
        <v>-17116799</v>
      </c>
      <c r="K68" s="75">
        <f t="shared" si="2"/>
        <v>9365197</v>
      </c>
      <c r="L68" s="734">
        <v>28068984</v>
      </c>
      <c r="M68" s="736">
        <v>29281759.554844711</v>
      </c>
    </row>
    <row r="69" spans="1:13" ht="13.5" x14ac:dyDescent="0.25">
      <c r="A69" s="749" t="s">
        <v>1956</v>
      </c>
      <c r="B69" s="904"/>
      <c r="C69" s="735">
        <v>996</v>
      </c>
      <c r="D69" s="734">
        <v>996</v>
      </c>
      <c r="E69" s="734">
        <v>0</v>
      </c>
      <c r="F69" s="734">
        <v>0</v>
      </c>
      <c r="G69" s="734">
        <v>0</v>
      </c>
      <c r="H69" s="734">
        <v>0</v>
      </c>
      <c r="I69" s="734">
        <v>0</v>
      </c>
      <c r="J69" s="75">
        <f t="shared" si="1"/>
        <v>0</v>
      </c>
      <c r="K69" s="75">
        <f t="shared" si="2"/>
        <v>996</v>
      </c>
      <c r="L69" s="734">
        <v>996</v>
      </c>
      <c r="M69" s="736">
        <v>1039.0341352086464</v>
      </c>
    </row>
    <row r="70" spans="1:13" ht="13.5" x14ac:dyDescent="0.25">
      <c r="A70" s="749" t="s">
        <v>1957</v>
      </c>
      <c r="B70" s="904"/>
      <c r="C70" s="735">
        <v>380988</v>
      </c>
      <c r="D70" s="734">
        <v>380988</v>
      </c>
      <c r="E70" s="734">
        <v>0</v>
      </c>
      <c r="F70" s="734">
        <v>0</v>
      </c>
      <c r="G70" s="734">
        <v>0</v>
      </c>
      <c r="H70" s="734">
        <v>0</v>
      </c>
      <c r="I70" s="734">
        <v>0</v>
      </c>
      <c r="J70" s="75">
        <f t="shared" si="1"/>
        <v>0</v>
      </c>
      <c r="K70" s="75">
        <f t="shared" si="2"/>
        <v>380988</v>
      </c>
      <c r="L70" s="734">
        <v>407988</v>
      </c>
      <c r="M70" s="736">
        <v>425615.92244528641</v>
      </c>
    </row>
    <row r="71" spans="1:13" ht="13.5" x14ac:dyDescent="0.25">
      <c r="A71" s="749" t="s">
        <v>1958</v>
      </c>
      <c r="B71" s="904"/>
      <c r="C71" s="735">
        <v>2988</v>
      </c>
      <c r="D71" s="734">
        <v>2988</v>
      </c>
      <c r="E71" s="734">
        <v>0</v>
      </c>
      <c r="F71" s="734">
        <v>0</v>
      </c>
      <c r="G71" s="734">
        <v>0</v>
      </c>
      <c r="H71" s="734">
        <v>0</v>
      </c>
      <c r="I71" s="734">
        <v>0</v>
      </c>
      <c r="J71" s="75">
        <f t="shared" si="1"/>
        <v>0</v>
      </c>
      <c r="K71" s="75">
        <f t="shared" si="2"/>
        <v>2988</v>
      </c>
      <c r="L71" s="734">
        <v>2988</v>
      </c>
      <c r="M71" s="736">
        <v>3117.1024056259394</v>
      </c>
    </row>
    <row r="72" spans="1:13" ht="13.5" x14ac:dyDescent="0.25">
      <c r="A72" s="749" t="s">
        <v>1959</v>
      </c>
      <c r="B72" s="904"/>
      <c r="C72" s="735">
        <v>0</v>
      </c>
      <c r="D72" s="734">
        <v>0</v>
      </c>
      <c r="E72" s="734">
        <v>0</v>
      </c>
      <c r="F72" s="734">
        <v>0</v>
      </c>
      <c r="G72" s="734">
        <v>0</v>
      </c>
      <c r="H72" s="734">
        <v>0</v>
      </c>
      <c r="I72" s="734">
        <v>0</v>
      </c>
      <c r="J72" s="75">
        <f t="shared" ref="J72:J135" si="8">SUM(E72:I72)</f>
        <v>0</v>
      </c>
      <c r="K72" s="75">
        <f t="shared" ref="K72:K135" si="9">IF(D72=0,C72+J72,D72+J72)</f>
        <v>0</v>
      </c>
      <c r="L72" s="734">
        <v>0</v>
      </c>
      <c r="M72" s="736">
        <v>0</v>
      </c>
    </row>
    <row r="73" spans="1:13" ht="13.5" x14ac:dyDescent="0.25">
      <c r="A73" s="746" t="s">
        <v>1960</v>
      </c>
      <c r="B73" s="903"/>
      <c r="C73" s="733">
        <f t="shared" ref="C73:I73" si="10">SUM(C74:C83)</f>
        <v>6007956</v>
      </c>
      <c r="D73" s="732">
        <f t="shared" si="10"/>
        <v>6007956</v>
      </c>
      <c r="E73" s="732">
        <f t="shared" si="10"/>
        <v>0</v>
      </c>
      <c r="F73" s="732">
        <f t="shared" si="10"/>
        <v>0</v>
      </c>
      <c r="G73" s="732">
        <f t="shared" si="10"/>
        <v>0</v>
      </c>
      <c r="H73" s="732">
        <f t="shared" si="10"/>
        <v>0</v>
      </c>
      <c r="I73" s="732">
        <f t="shared" si="10"/>
        <v>-1879591</v>
      </c>
      <c r="J73" s="75">
        <f t="shared" si="8"/>
        <v>-1879591</v>
      </c>
      <c r="K73" s="75">
        <f t="shared" si="9"/>
        <v>4128365</v>
      </c>
      <c r="L73" s="732">
        <f>SUM(L74:L83)</f>
        <v>6366948</v>
      </c>
      <c r="M73" s="760">
        <f>SUM(M74:M83)</f>
        <v>6642044.4870466078</v>
      </c>
    </row>
    <row r="74" spans="1:13" ht="13.5" x14ac:dyDescent="0.25">
      <c r="A74" s="749" t="s">
        <v>1961</v>
      </c>
      <c r="B74" s="904"/>
      <c r="C74" s="735">
        <v>996</v>
      </c>
      <c r="D74" s="734">
        <v>996</v>
      </c>
      <c r="E74" s="734">
        <v>0</v>
      </c>
      <c r="F74" s="734">
        <v>0</v>
      </c>
      <c r="G74" s="734">
        <v>0</v>
      </c>
      <c r="H74" s="734">
        <v>0</v>
      </c>
      <c r="I74" s="734">
        <v>0</v>
      </c>
      <c r="J74" s="75">
        <f t="shared" si="8"/>
        <v>0</v>
      </c>
      <c r="K74" s="75">
        <f t="shared" si="9"/>
        <v>996</v>
      </c>
      <c r="L74" s="734">
        <v>996</v>
      </c>
      <c r="M74" s="736">
        <v>1039.0341352086464</v>
      </c>
    </row>
    <row r="75" spans="1:13" ht="13.5" x14ac:dyDescent="0.25">
      <c r="A75" s="749" t="s">
        <v>1962</v>
      </c>
      <c r="B75" s="904"/>
      <c r="C75" s="735">
        <v>3000</v>
      </c>
      <c r="D75" s="734">
        <v>3000</v>
      </c>
      <c r="E75" s="734">
        <v>0</v>
      </c>
      <c r="F75" s="734">
        <v>0</v>
      </c>
      <c r="G75" s="734">
        <v>0</v>
      </c>
      <c r="H75" s="734">
        <v>0</v>
      </c>
      <c r="I75" s="734">
        <v>0</v>
      </c>
      <c r="J75" s="75">
        <f t="shared" si="8"/>
        <v>0</v>
      </c>
      <c r="K75" s="75">
        <f t="shared" si="9"/>
        <v>3000</v>
      </c>
      <c r="L75" s="734">
        <v>3000</v>
      </c>
      <c r="M75" s="736">
        <v>3129.62088918267</v>
      </c>
    </row>
    <row r="76" spans="1:13" ht="13.5" x14ac:dyDescent="0.25">
      <c r="A76" s="749" t="s">
        <v>1963</v>
      </c>
      <c r="B76" s="904"/>
      <c r="C76" s="735">
        <v>18000</v>
      </c>
      <c r="D76" s="734">
        <v>18000</v>
      </c>
      <c r="E76" s="734">
        <v>0</v>
      </c>
      <c r="F76" s="734">
        <v>0</v>
      </c>
      <c r="G76" s="734">
        <v>0</v>
      </c>
      <c r="H76" s="734">
        <v>0</v>
      </c>
      <c r="I76" s="734">
        <v>0</v>
      </c>
      <c r="J76" s="75">
        <f t="shared" si="8"/>
        <v>0</v>
      </c>
      <c r="K76" s="75">
        <f t="shared" si="9"/>
        <v>18000</v>
      </c>
      <c r="L76" s="734">
        <v>18996</v>
      </c>
      <c r="M76" s="736">
        <v>19816.759470304667</v>
      </c>
    </row>
    <row r="77" spans="1:13" ht="13.5" x14ac:dyDescent="0.25">
      <c r="A77" s="749" t="s">
        <v>1964</v>
      </c>
      <c r="B77" s="904"/>
      <c r="C77" s="735">
        <v>1992</v>
      </c>
      <c r="D77" s="734">
        <v>1992</v>
      </c>
      <c r="E77" s="734">
        <v>0</v>
      </c>
      <c r="F77" s="734">
        <v>0</v>
      </c>
      <c r="G77" s="734">
        <v>0</v>
      </c>
      <c r="H77" s="734">
        <v>0</v>
      </c>
      <c r="I77" s="734">
        <v>0</v>
      </c>
      <c r="J77" s="75">
        <f t="shared" si="8"/>
        <v>0</v>
      </c>
      <c r="K77" s="75">
        <f t="shared" si="9"/>
        <v>1992</v>
      </c>
      <c r="L77" s="734">
        <v>1992</v>
      </c>
      <c r="M77" s="736">
        <v>2078.0682704172928</v>
      </c>
    </row>
    <row r="78" spans="1:13" ht="13.5" x14ac:dyDescent="0.25">
      <c r="A78" s="749" t="s">
        <v>1965</v>
      </c>
      <c r="B78" s="904"/>
      <c r="C78" s="735">
        <v>1992</v>
      </c>
      <c r="D78" s="734">
        <v>1992</v>
      </c>
      <c r="E78" s="734">
        <v>0</v>
      </c>
      <c r="F78" s="734">
        <v>0</v>
      </c>
      <c r="G78" s="734">
        <v>0</v>
      </c>
      <c r="H78" s="734">
        <v>0</v>
      </c>
      <c r="I78" s="734">
        <v>0</v>
      </c>
      <c r="J78" s="75">
        <f t="shared" si="8"/>
        <v>0</v>
      </c>
      <c r="K78" s="75">
        <f t="shared" si="9"/>
        <v>1992</v>
      </c>
      <c r="L78" s="734">
        <v>1992</v>
      </c>
      <c r="M78" s="736">
        <v>2078.0682704172928</v>
      </c>
    </row>
    <row r="79" spans="1:13" ht="13.5" x14ac:dyDescent="0.25">
      <c r="A79" s="749" t="s">
        <v>1966</v>
      </c>
      <c r="B79" s="904"/>
      <c r="C79" s="735">
        <v>1992</v>
      </c>
      <c r="D79" s="734">
        <v>1992</v>
      </c>
      <c r="E79" s="734">
        <v>0</v>
      </c>
      <c r="F79" s="734">
        <v>0</v>
      </c>
      <c r="G79" s="734">
        <v>0</v>
      </c>
      <c r="H79" s="734">
        <v>0</v>
      </c>
      <c r="I79" s="734">
        <v>0</v>
      </c>
      <c r="J79" s="75">
        <f t="shared" si="8"/>
        <v>0</v>
      </c>
      <c r="K79" s="75">
        <f t="shared" si="9"/>
        <v>1992</v>
      </c>
      <c r="L79" s="734">
        <v>1992</v>
      </c>
      <c r="M79" s="736">
        <v>2078.0682704172928</v>
      </c>
    </row>
    <row r="80" spans="1:13" ht="13.5" x14ac:dyDescent="0.25">
      <c r="A80" s="749" t="s">
        <v>1967</v>
      </c>
      <c r="B80" s="904"/>
      <c r="C80" s="735">
        <v>5979984</v>
      </c>
      <c r="D80" s="734">
        <v>5979984</v>
      </c>
      <c r="E80" s="734">
        <v>0</v>
      </c>
      <c r="F80" s="734">
        <v>0</v>
      </c>
      <c r="G80" s="734">
        <v>0</v>
      </c>
      <c r="H80" s="734">
        <v>0</v>
      </c>
      <c r="I80" s="734">
        <v>-1879591</v>
      </c>
      <c r="J80" s="75">
        <f t="shared" si="8"/>
        <v>-1879591</v>
      </c>
      <c r="K80" s="75">
        <f t="shared" si="9"/>
        <v>4100393</v>
      </c>
      <c r="L80" s="734">
        <v>6337980</v>
      </c>
      <c r="M80" s="736">
        <v>6611824.86774066</v>
      </c>
    </row>
    <row r="81" spans="1:13" ht="13.5" x14ac:dyDescent="0.25">
      <c r="A81" s="749" t="s">
        <v>1968</v>
      </c>
      <c r="B81" s="904"/>
      <c r="C81" s="735">
        <v>0</v>
      </c>
      <c r="D81" s="734">
        <v>0</v>
      </c>
      <c r="E81" s="734">
        <v>0</v>
      </c>
      <c r="F81" s="734">
        <v>0</v>
      </c>
      <c r="G81" s="734">
        <v>0</v>
      </c>
      <c r="H81" s="734">
        <v>0</v>
      </c>
      <c r="I81" s="734">
        <v>0</v>
      </c>
      <c r="J81" s="75">
        <f t="shared" si="8"/>
        <v>0</v>
      </c>
      <c r="K81" s="75">
        <f t="shared" si="9"/>
        <v>0</v>
      </c>
      <c r="L81" s="734">
        <v>0</v>
      </c>
      <c r="M81" s="736">
        <v>0</v>
      </c>
    </row>
    <row r="82" spans="1:13" ht="13.5" x14ac:dyDescent="0.25">
      <c r="A82" s="749" t="s">
        <v>1969</v>
      </c>
      <c r="B82" s="904"/>
      <c r="C82" s="735">
        <v>0</v>
      </c>
      <c r="D82" s="734">
        <v>0</v>
      </c>
      <c r="E82" s="734">
        <v>0</v>
      </c>
      <c r="F82" s="734">
        <v>0</v>
      </c>
      <c r="G82" s="734">
        <v>0</v>
      </c>
      <c r="H82" s="734">
        <v>0</v>
      </c>
      <c r="I82" s="734">
        <v>0</v>
      </c>
      <c r="J82" s="75">
        <f t="shared" si="8"/>
        <v>0</v>
      </c>
      <c r="K82" s="75">
        <f t="shared" si="9"/>
        <v>0</v>
      </c>
      <c r="L82" s="734">
        <v>0</v>
      </c>
      <c r="M82" s="736">
        <v>0</v>
      </c>
    </row>
    <row r="83" spans="1:13" ht="13.5" x14ac:dyDescent="0.25">
      <c r="A83" s="749" t="s">
        <v>1970</v>
      </c>
      <c r="B83" s="904"/>
      <c r="C83" s="735">
        <v>0</v>
      </c>
      <c r="D83" s="734">
        <v>0</v>
      </c>
      <c r="E83" s="734">
        <v>0</v>
      </c>
      <c r="F83" s="734">
        <v>0</v>
      </c>
      <c r="G83" s="734">
        <v>0</v>
      </c>
      <c r="H83" s="734">
        <v>0</v>
      </c>
      <c r="I83" s="734">
        <v>0</v>
      </c>
      <c r="J83" s="75">
        <f t="shared" si="8"/>
        <v>0</v>
      </c>
      <c r="K83" s="75">
        <f t="shared" si="9"/>
        <v>0</v>
      </c>
      <c r="L83" s="734">
        <v>0</v>
      </c>
      <c r="M83" s="736">
        <v>0</v>
      </c>
    </row>
    <row r="84" spans="1:13" ht="13.5" x14ac:dyDescent="0.25">
      <c r="A84" s="746" t="s">
        <v>1971</v>
      </c>
      <c r="B84" s="904"/>
      <c r="C84" s="733">
        <f>SUM(C85:C94)</f>
        <v>55686956</v>
      </c>
      <c r="D84" s="732">
        <f t="shared" ref="D84:I84" si="11">SUM(D85:D94)</f>
        <v>55686956</v>
      </c>
      <c r="E84" s="732">
        <f t="shared" si="11"/>
        <v>0</v>
      </c>
      <c r="F84" s="732">
        <f t="shared" si="11"/>
        <v>0</v>
      </c>
      <c r="G84" s="732">
        <f t="shared" si="11"/>
        <v>0</v>
      </c>
      <c r="H84" s="732">
        <f t="shared" si="11"/>
        <v>0</v>
      </c>
      <c r="I84" s="732">
        <f t="shared" si="11"/>
        <v>-5283640</v>
      </c>
      <c r="J84" s="75">
        <f t="shared" si="8"/>
        <v>-5283640</v>
      </c>
      <c r="K84" s="75">
        <f t="shared" si="9"/>
        <v>50403316</v>
      </c>
      <c r="L84" s="732">
        <f>SUM(L85:L94)</f>
        <v>60086940</v>
      </c>
      <c r="M84" s="760">
        <f>SUM(M85:M94)</f>
        <v>62683114.197021909</v>
      </c>
    </row>
    <row r="85" spans="1:13" ht="13.5" x14ac:dyDescent="0.25">
      <c r="A85" s="749" t="s">
        <v>1972</v>
      </c>
      <c r="B85" s="904"/>
      <c r="C85" s="735">
        <v>996</v>
      </c>
      <c r="D85" s="734">
        <v>996</v>
      </c>
      <c r="E85" s="734">
        <v>0</v>
      </c>
      <c r="F85" s="734">
        <v>0</v>
      </c>
      <c r="G85" s="734">
        <v>0</v>
      </c>
      <c r="H85" s="734">
        <v>0</v>
      </c>
      <c r="I85" s="734">
        <v>0</v>
      </c>
      <c r="J85" s="75">
        <f t="shared" si="8"/>
        <v>0</v>
      </c>
      <c r="K85" s="75">
        <f t="shared" si="9"/>
        <v>996</v>
      </c>
      <c r="L85" s="734">
        <v>996</v>
      </c>
      <c r="M85" s="736">
        <v>1039.0341352086464</v>
      </c>
    </row>
    <row r="86" spans="1:13" ht="13.5" x14ac:dyDescent="0.25">
      <c r="A86" s="749" t="s">
        <v>1973</v>
      </c>
      <c r="B86" s="904"/>
      <c r="C86" s="735">
        <v>2988</v>
      </c>
      <c r="D86" s="734">
        <v>2988</v>
      </c>
      <c r="E86" s="734">
        <v>0</v>
      </c>
      <c r="F86" s="734">
        <v>0</v>
      </c>
      <c r="G86" s="734">
        <v>0</v>
      </c>
      <c r="H86" s="734">
        <v>0</v>
      </c>
      <c r="I86" s="734">
        <v>0</v>
      </c>
      <c r="J86" s="75">
        <f t="shared" si="8"/>
        <v>0</v>
      </c>
      <c r="K86" s="75">
        <f t="shared" si="9"/>
        <v>2988</v>
      </c>
      <c r="L86" s="734">
        <v>2988</v>
      </c>
      <c r="M86" s="736">
        <v>3117.1024056259394</v>
      </c>
    </row>
    <row r="87" spans="1:13" ht="13.5" x14ac:dyDescent="0.25">
      <c r="A87" s="749" t="s">
        <v>1974</v>
      </c>
      <c r="B87" s="904"/>
      <c r="C87" s="735">
        <v>55640000</v>
      </c>
      <c r="D87" s="734">
        <v>55640000</v>
      </c>
      <c r="E87" s="734">
        <v>0</v>
      </c>
      <c r="F87" s="734">
        <v>0</v>
      </c>
      <c r="G87" s="734">
        <v>0</v>
      </c>
      <c r="H87" s="734">
        <v>0</v>
      </c>
      <c r="I87" s="734">
        <v>-5283640</v>
      </c>
      <c r="J87" s="75">
        <f t="shared" si="8"/>
        <v>-5283640</v>
      </c>
      <c r="K87" s="75">
        <f t="shared" si="9"/>
        <v>50356360</v>
      </c>
      <c r="L87" s="734">
        <v>60036984</v>
      </c>
      <c r="M87" s="736">
        <v>62630999.749975242</v>
      </c>
    </row>
    <row r="88" spans="1:13" ht="13.5" x14ac:dyDescent="0.25">
      <c r="A88" s="749" t="s">
        <v>1975</v>
      </c>
      <c r="B88" s="904"/>
      <c r="C88" s="735">
        <v>996</v>
      </c>
      <c r="D88" s="734">
        <v>996</v>
      </c>
      <c r="E88" s="734">
        <v>0</v>
      </c>
      <c r="F88" s="734">
        <v>0</v>
      </c>
      <c r="G88" s="734">
        <v>0</v>
      </c>
      <c r="H88" s="734">
        <v>0</v>
      </c>
      <c r="I88" s="734">
        <v>0</v>
      </c>
      <c r="J88" s="75">
        <f t="shared" si="8"/>
        <v>0</v>
      </c>
      <c r="K88" s="75">
        <f t="shared" si="9"/>
        <v>996</v>
      </c>
      <c r="L88" s="734">
        <v>996</v>
      </c>
      <c r="M88" s="736">
        <v>1039.0341352086464</v>
      </c>
    </row>
    <row r="89" spans="1:13" ht="13.5" x14ac:dyDescent="0.25">
      <c r="A89" s="749" t="s">
        <v>1976</v>
      </c>
      <c r="B89" s="904"/>
      <c r="C89" s="735">
        <v>996</v>
      </c>
      <c r="D89" s="734">
        <v>996</v>
      </c>
      <c r="E89" s="734">
        <v>0</v>
      </c>
      <c r="F89" s="734">
        <v>0</v>
      </c>
      <c r="G89" s="734">
        <v>0</v>
      </c>
      <c r="H89" s="734">
        <v>0</v>
      </c>
      <c r="I89" s="734">
        <v>0</v>
      </c>
      <c r="J89" s="75">
        <f t="shared" si="8"/>
        <v>0</v>
      </c>
      <c r="K89" s="75">
        <f t="shared" si="9"/>
        <v>996</v>
      </c>
      <c r="L89" s="734">
        <v>996</v>
      </c>
      <c r="M89" s="736">
        <v>1039.0341352086464</v>
      </c>
    </row>
    <row r="90" spans="1:13" ht="13.5" x14ac:dyDescent="0.25">
      <c r="A90" s="749" t="s">
        <v>1977</v>
      </c>
      <c r="B90" s="904"/>
      <c r="C90" s="735">
        <v>996</v>
      </c>
      <c r="D90" s="734">
        <v>996</v>
      </c>
      <c r="E90" s="734">
        <v>0</v>
      </c>
      <c r="F90" s="734">
        <v>0</v>
      </c>
      <c r="G90" s="734">
        <v>0</v>
      </c>
      <c r="H90" s="734">
        <v>0</v>
      </c>
      <c r="I90" s="734">
        <v>0</v>
      </c>
      <c r="J90" s="75">
        <f t="shared" si="8"/>
        <v>0</v>
      </c>
      <c r="K90" s="75">
        <f t="shared" si="9"/>
        <v>996</v>
      </c>
      <c r="L90" s="734">
        <v>996</v>
      </c>
      <c r="M90" s="736">
        <v>1039.0341352086464</v>
      </c>
    </row>
    <row r="91" spans="1:13" ht="13.5" x14ac:dyDescent="0.25">
      <c r="A91" s="749" t="s">
        <v>1978</v>
      </c>
      <c r="B91" s="904"/>
      <c r="C91" s="735">
        <v>37992</v>
      </c>
      <c r="D91" s="734">
        <v>37992</v>
      </c>
      <c r="E91" s="734">
        <v>0</v>
      </c>
      <c r="F91" s="734">
        <v>0</v>
      </c>
      <c r="G91" s="734">
        <v>0</v>
      </c>
      <c r="H91" s="734">
        <v>0</v>
      </c>
      <c r="I91" s="734">
        <v>0</v>
      </c>
      <c r="J91" s="75">
        <f t="shared" si="8"/>
        <v>0</v>
      </c>
      <c r="K91" s="75">
        <f t="shared" si="9"/>
        <v>37992</v>
      </c>
      <c r="L91" s="734">
        <v>40992</v>
      </c>
      <c r="M91" s="736">
        <v>42763.139829792002</v>
      </c>
    </row>
    <row r="92" spans="1:13" ht="13.5" x14ac:dyDescent="0.25">
      <c r="A92" s="749" t="s">
        <v>1979</v>
      </c>
      <c r="B92" s="904"/>
      <c r="C92" s="735">
        <v>996</v>
      </c>
      <c r="D92" s="734">
        <v>996</v>
      </c>
      <c r="E92" s="734">
        <v>0</v>
      </c>
      <c r="F92" s="734">
        <v>0</v>
      </c>
      <c r="G92" s="734">
        <v>0</v>
      </c>
      <c r="H92" s="734">
        <v>0</v>
      </c>
      <c r="I92" s="734">
        <v>0</v>
      </c>
      <c r="J92" s="75">
        <f t="shared" si="8"/>
        <v>0</v>
      </c>
      <c r="K92" s="75">
        <f t="shared" si="9"/>
        <v>996</v>
      </c>
      <c r="L92" s="734">
        <v>996</v>
      </c>
      <c r="M92" s="736">
        <v>1039.0341352086464</v>
      </c>
    </row>
    <row r="93" spans="1:13" ht="13.5" x14ac:dyDescent="0.25">
      <c r="A93" s="749" t="s">
        <v>1980</v>
      </c>
      <c r="B93" s="904"/>
      <c r="C93" s="735">
        <v>996</v>
      </c>
      <c r="D93" s="734">
        <v>996</v>
      </c>
      <c r="E93" s="734">
        <v>0</v>
      </c>
      <c r="F93" s="734">
        <v>0</v>
      </c>
      <c r="G93" s="734">
        <v>0</v>
      </c>
      <c r="H93" s="734">
        <v>0</v>
      </c>
      <c r="I93" s="734">
        <v>0</v>
      </c>
      <c r="J93" s="75">
        <f t="shared" si="8"/>
        <v>0</v>
      </c>
      <c r="K93" s="75">
        <f t="shared" si="9"/>
        <v>996</v>
      </c>
      <c r="L93" s="734">
        <v>996</v>
      </c>
      <c r="M93" s="736">
        <v>1039.0341352086464</v>
      </c>
    </row>
    <row r="94" spans="1:13" ht="13.5" x14ac:dyDescent="0.25">
      <c r="A94" s="749" t="s">
        <v>1981</v>
      </c>
      <c r="B94" s="904"/>
      <c r="C94" s="735">
        <v>0</v>
      </c>
      <c r="D94" s="734">
        <v>0</v>
      </c>
      <c r="E94" s="734">
        <v>0</v>
      </c>
      <c r="F94" s="734">
        <v>0</v>
      </c>
      <c r="G94" s="734">
        <v>0</v>
      </c>
      <c r="H94" s="734">
        <v>0</v>
      </c>
      <c r="I94" s="734">
        <v>0</v>
      </c>
      <c r="J94" s="75">
        <f t="shared" si="8"/>
        <v>0</v>
      </c>
      <c r="K94" s="75">
        <f t="shared" si="9"/>
        <v>0</v>
      </c>
      <c r="L94" s="734">
        <v>0</v>
      </c>
      <c r="M94" s="736">
        <v>0</v>
      </c>
    </row>
    <row r="95" spans="1:13" ht="13.5" x14ac:dyDescent="0.25">
      <c r="A95" s="746" t="s">
        <v>1982</v>
      </c>
      <c r="B95" s="904"/>
      <c r="C95" s="733">
        <f>SUM(C96:C105)</f>
        <v>2560404219.0144</v>
      </c>
      <c r="D95" s="732">
        <f t="shared" ref="D95:I95" si="12">SUM(D96:D105)</f>
        <v>2614547219.0144</v>
      </c>
      <c r="E95" s="732">
        <f t="shared" si="12"/>
        <v>0</v>
      </c>
      <c r="F95" s="732">
        <f t="shared" si="12"/>
        <v>0</v>
      </c>
      <c r="G95" s="732">
        <f t="shared" si="12"/>
        <v>0</v>
      </c>
      <c r="H95" s="732">
        <f t="shared" si="12"/>
        <v>100212533</v>
      </c>
      <c r="I95" s="732">
        <f t="shared" si="12"/>
        <v>176577465.98559999</v>
      </c>
      <c r="J95" s="75">
        <f t="shared" si="8"/>
        <v>276789998.98559999</v>
      </c>
      <c r="K95" s="75">
        <f t="shared" si="9"/>
        <v>2891337218</v>
      </c>
      <c r="L95" s="732">
        <f>SUM(L96:L105)</f>
        <v>2430417107.0251498</v>
      </c>
      <c r="M95" s="760">
        <f>SUM(M96:M105)</f>
        <v>2565222816.2534213</v>
      </c>
    </row>
    <row r="96" spans="1:13" ht="13.5" x14ac:dyDescent="0.25">
      <c r="A96" s="749" t="s">
        <v>1983</v>
      </c>
      <c r="B96" s="904"/>
      <c r="C96" s="735">
        <v>284988</v>
      </c>
      <c r="D96" s="734">
        <v>284988</v>
      </c>
      <c r="E96" s="734">
        <v>0</v>
      </c>
      <c r="F96" s="734">
        <v>0</v>
      </c>
      <c r="G96" s="734">
        <v>0</v>
      </c>
      <c r="H96" s="734">
        <v>0</v>
      </c>
      <c r="I96" s="734">
        <v>0</v>
      </c>
      <c r="J96" s="75">
        <f t="shared" si="8"/>
        <v>0</v>
      </c>
      <c r="K96" s="75">
        <f t="shared" si="9"/>
        <v>284988</v>
      </c>
      <c r="L96" s="734">
        <v>302988</v>
      </c>
      <c r="M96" s="736">
        <v>316079.19132389291</v>
      </c>
    </row>
    <row r="97" spans="1:13" ht="13.5" x14ac:dyDescent="0.25">
      <c r="A97" s="749" t="s">
        <v>1984</v>
      </c>
      <c r="B97" s="904"/>
      <c r="C97" s="735">
        <v>1992</v>
      </c>
      <c r="D97" s="734">
        <v>1992</v>
      </c>
      <c r="E97" s="734">
        <v>0</v>
      </c>
      <c r="F97" s="734">
        <v>0</v>
      </c>
      <c r="G97" s="734">
        <v>0</v>
      </c>
      <c r="H97" s="734">
        <v>0</v>
      </c>
      <c r="I97" s="734">
        <v>0</v>
      </c>
      <c r="J97" s="75">
        <f t="shared" si="8"/>
        <v>0</v>
      </c>
      <c r="K97" s="75">
        <f t="shared" si="9"/>
        <v>1992</v>
      </c>
      <c r="L97" s="734">
        <v>1992</v>
      </c>
      <c r="M97" s="736">
        <v>2078.0682704172928</v>
      </c>
    </row>
    <row r="98" spans="1:13" ht="13.5" x14ac:dyDescent="0.25">
      <c r="A98" s="749" t="s">
        <v>1985</v>
      </c>
      <c r="B98" s="904"/>
      <c r="C98" s="735">
        <v>2560112259.0144</v>
      </c>
      <c r="D98" s="734">
        <v>2614255259.0144</v>
      </c>
      <c r="E98" s="734">
        <v>0</v>
      </c>
      <c r="F98" s="734">
        <v>0</v>
      </c>
      <c r="G98" s="734">
        <v>0</v>
      </c>
      <c r="H98" s="734">
        <f>'B2-FinPerf SC'!H9</f>
        <v>100212533</v>
      </c>
      <c r="I98" s="734">
        <v>176577465.98559999</v>
      </c>
      <c r="J98" s="75">
        <f t="shared" si="8"/>
        <v>276789998.98559999</v>
      </c>
      <c r="K98" s="75">
        <f t="shared" si="9"/>
        <v>2891045258</v>
      </c>
      <c r="L98" s="734">
        <v>2430107147.0251498</v>
      </c>
      <c r="M98" s="736">
        <v>2564899463.8231502</v>
      </c>
    </row>
    <row r="99" spans="1:13" ht="13.5" x14ac:dyDescent="0.25">
      <c r="A99" s="749" t="s">
        <v>1986</v>
      </c>
      <c r="B99" s="904"/>
      <c r="C99" s="735">
        <v>996</v>
      </c>
      <c r="D99" s="734">
        <v>996</v>
      </c>
      <c r="E99" s="734">
        <v>0</v>
      </c>
      <c r="F99" s="734">
        <v>0</v>
      </c>
      <c r="G99" s="734">
        <v>0</v>
      </c>
      <c r="H99" s="734">
        <v>0</v>
      </c>
      <c r="I99" s="734">
        <v>0</v>
      </c>
      <c r="J99" s="75">
        <f t="shared" si="8"/>
        <v>0</v>
      </c>
      <c r="K99" s="75">
        <f t="shared" si="9"/>
        <v>996</v>
      </c>
      <c r="L99" s="734">
        <v>996</v>
      </c>
      <c r="M99" s="736">
        <v>1039.0341352086464</v>
      </c>
    </row>
    <row r="100" spans="1:13" ht="13.5" x14ac:dyDescent="0.25">
      <c r="A100" s="749" t="s">
        <v>1987</v>
      </c>
      <c r="B100" s="904"/>
      <c r="C100" s="735">
        <v>996</v>
      </c>
      <c r="D100" s="734">
        <v>996</v>
      </c>
      <c r="E100" s="734">
        <v>0</v>
      </c>
      <c r="F100" s="734">
        <v>0</v>
      </c>
      <c r="G100" s="734">
        <v>0</v>
      </c>
      <c r="H100" s="734">
        <v>0</v>
      </c>
      <c r="I100" s="734">
        <v>0</v>
      </c>
      <c r="J100" s="75">
        <f t="shared" si="8"/>
        <v>0</v>
      </c>
      <c r="K100" s="75">
        <f t="shared" si="9"/>
        <v>996</v>
      </c>
      <c r="L100" s="734">
        <v>996</v>
      </c>
      <c r="M100" s="736">
        <v>1039.0341352086464</v>
      </c>
    </row>
    <row r="101" spans="1:13" ht="13.5" x14ac:dyDescent="0.25">
      <c r="A101" s="749" t="s">
        <v>1988</v>
      </c>
      <c r="B101" s="904"/>
      <c r="C101" s="735">
        <v>996</v>
      </c>
      <c r="D101" s="734">
        <v>996</v>
      </c>
      <c r="E101" s="734">
        <v>0</v>
      </c>
      <c r="F101" s="734">
        <v>0</v>
      </c>
      <c r="G101" s="734">
        <v>0</v>
      </c>
      <c r="H101" s="734">
        <v>0</v>
      </c>
      <c r="I101" s="734">
        <v>0</v>
      </c>
      <c r="J101" s="75">
        <f t="shared" si="8"/>
        <v>0</v>
      </c>
      <c r="K101" s="75">
        <f t="shared" si="9"/>
        <v>996</v>
      </c>
      <c r="L101" s="734">
        <v>996</v>
      </c>
      <c r="M101" s="736">
        <v>1039.0341352086464</v>
      </c>
    </row>
    <row r="102" spans="1:13" ht="13.5" x14ac:dyDescent="0.25">
      <c r="A102" s="749" t="s">
        <v>1989</v>
      </c>
      <c r="B102" s="904"/>
      <c r="C102" s="735">
        <v>996</v>
      </c>
      <c r="D102" s="734">
        <v>996</v>
      </c>
      <c r="E102" s="734">
        <v>0</v>
      </c>
      <c r="F102" s="734">
        <v>0</v>
      </c>
      <c r="G102" s="734">
        <v>0</v>
      </c>
      <c r="H102" s="734">
        <v>0</v>
      </c>
      <c r="I102" s="734">
        <v>0</v>
      </c>
      <c r="J102" s="75">
        <f t="shared" si="8"/>
        <v>0</v>
      </c>
      <c r="K102" s="75">
        <f t="shared" si="9"/>
        <v>996</v>
      </c>
      <c r="L102" s="734">
        <v>996</v>
      </c>
      <c r="M102" s="736">
        <v>1039.0341352086464</v>
      </c>
    </row>
    <row r="103" spans="1:13" ht="13.5" x14ac:dyDescent="0.25">
      <c r="A103" s="749">
        <f>'Org structure'!E116</f>
        <v>0</v>
      </c>
      <c r="B103" s="904"/>
      <c r="C103" s="735">
        <v>0</v>
      </c>
      <c r="D103" s="734">
        <v>0</v>
      </c>
      <c r="E103" s="734">
        <v>0</v>
      </c>
      <c r="F103" s="734">
        <v>0</v>
      </c>
      <c r="G103" s="734">
        <v>0</v>
      </c>
      <c r="H103" s="734">
        <v>0</v>
      </c>
      <c r="I103" s="734">
        <v>0</v>
      </c>
      <c r="J103" s="75">
        <f t="shared" si="8"/>
        <v>0</v>
      </c>
      <c r="K103" s="75">
        <f t="shared" si="9"/>
        <v>0</v>
      </c>
      <c r="L103" s="734">
        <v>0</v>
      </c>
      <c r="M103" s="736">
        <v>0</v>
      </c>
    </row>
    <row r="104" spans="1:13" ht="13.5" x14ac:dyDescent="0.25">
      <c r="A104" s="749">
        <f>'Org structure'!E117</f>
        <v>0</v>
      </c>
      <c r="B104" s="904"/>
      <c r="C104" s="735">
        <v>996</v>
      </c>
      <c r="D104" s="734">
        <v>996</v>
      </c>
      <c r="E104" s="734">
        <v>0</v>
      </c>
      <c r="F104" s="734">
        <v>0</v>
      </c>
      <c r="G104" s="734">
        <v>0</v>
      </c>
      <c r="H104" s="734">
        <v>0</v>
      </c>
      <c r="I104" s="734">
        <v>0</v>
      </c>
      <c r="J104" s="75">
        <f t="shared" si="8"/>
        <v>0</v>
      </c>
      <c r="K104" s="75">
        <f t="shared" si="9"/>
        <v>996</v>
      </c>
      <c r="L104" s="734">
        <v>996</v>
      </c>
      <c r="M104" s="736">
        <v>1039.0341352086464</v>
      </c>
    </row>
    <row r="105" spans="1:13" ht="13.5" x14ac:dyDescent="0.25">
      <c r="A105" s="749">
        <f>'Org structure'!E118</f>
        <v>0</v>
      </c>
      <c r="B105" s="904"/>
      <c r="C105" s="735">
        <v>0</v>
      </c>
      <c r="D105" s="734">
        <v>0</v>
      </c>
      <c r="E105" s="734">
        <v>0</v>
      </c>
      <c r="F105" s="734">
        <v>0</v>
      </c>
      <c r="G105" s="734">
        <v>0</v>
      </c>
      <c r="H105" s="734">
        <v>0</v>
      </c>
      <c r="I105" s="734">
        <v>0</v>
      </c>
      <c r="J105" s="75">
        <f t="shared" si="8"/>
        <v>0</v>
      </c>
      <c r="K105" s="75">
        <f t="shared" si="9"/>
        <v>0</v>
      </c>
      <c r="L105" s="734">
        <v>0</v>
      </c>
      <c r="M105" s="736">
        <v>0</v>
      </c>
    </row>
    <row r="106" spans="1:13" ht="13.5" x14ac:dyDescent="0.25">
      <c r="A106" s="746" t="s">
        <v>1990</v>
      </c>
      <c r="B106" s="904"/>
      <c r="C106" s="733">
        <f>SUM(C107:C116)</f>
        <v>292956</v>
      </c>
      <c r="D106" s="732">
        <f t="shared" ref="D106:I106" si="13">SUM(D107:D116)</f>
        <v>292956</v>
      </c>
      <c r="E106" s="732">
        <f t="shared" si="13"/>
        <v>0</v>
      </c>
      <c r="F106" s="732">
        <f t="shared" si="13"/>
        <v>0</v>
      </c>
      <c r="G106" s="732">
        <f t="shared" si="13"/>
        <v>0</v>
      </c>
      <c r="H106" s="732">
        <f t="shared" si="13"/>
        <v>0</v>
      </c>
      <c r="I106" s="732">
        <f t="shared" si="13"/>
        <v>30795040</v>
      </c>
      <c r="J106" s="75">
        <f t="shared" si="8"/>
        <v>30795040</v>
      </c>
      <c r="K106" s="75">
        <f t="shared" si="9"/>
        <v>31087996</v>
      </c>
      <c r="L106" s="732">
        <f>SUM(L107:L116)</f>
        <v>310956</v>
      </c>
      <c r="M106" s="760">
        <f>SUM(M107:M116)</f>
        <v>324391.46440556203</v>
      </c>
    </row>
    <row r="107" spans="1:13" ht="13.5" x14ac:dyDescent="0.25">
      <c r="A107" s="749" t="s">
        <v>1991</v>
      </c>
      <c r="B107" s="904"/>
      <c r="C107" s="735">
        <v>284988</v>
      </c>
      <c r="D107" s="734">
        <v>284988</v>
      </c>
      <c r="E107" s="734"/>
      <c r="F107" s="734"/>
      <c r="G107" s="734"/>
      <c r="H107" s="734"/>
      <c r="I107" s="734">
        <v>30795040</v>
      </c>
      <c r="J107" s="75">
        <f t="shared" si="8"/>
        <v>30795040</v>
      </c>
      <c r="K107" s="75">
        <f t="shared" si="9"/>
        <v>31080028</v>
      </c>
      <c r="L107" s="734">
        <v>302988</v>
      </c>
      <c r="M107" s="736">
        <v>316079.19132389291</v>
      </c>
    </row>
    <row r="108" spans="1:13" ht="13.5" x14ac:dyDescent="0.25">
      <c r="A108" s="749" t="s">
        <v>1992</v>
      </c>
      <c r="B108" s="904"/>
      <c r="C108" s="735">
        <v>1992</v>
      </c>
      <c r="D108" s="734">
        <v>1992</v>
      </c>
      <c r="E108" s="734"/>
      <c r="F108" s="734"/>
      <c r="G108" s="734"/>
      <c r="H108" s="734"/>
      <c r="I108" s="734"/>
      <c r="J108" s="75">
        <f t="shared" si="8"/>
        <v>0</v>
      </c>
      <c r="K108" s="75">
        <f t="shared" si="9"/>
        <v>1992</v>
      </c>
      <c r="L108" s="734">
        <v>1992</v>
      </c>
      <c r="M108" s="736">
        <v>2078.0682704172928</v>
      </c>
    </row>
    <row r="109" spans="1:13" ht="13.5" x14ac:dyDescent="0.25">
      <c r="A109" s="749" t="s">
        <v>1993</v>
      </c>
      <c r="B109" s="904"/>
      <c r="C109" s="735">
        <v>996</v>
      </c>
      <c r="D109" s="734">
        <v>996</v>
      </c>
      <c r="E109" s="734"/>
      <c r="F109" s="734"/>
      <c r="G109" s="734"/>
      <c r="H109" s="734"/>
      <c r="I109" s="734"/>
      <c r="J109" s="75">
        <f t="shared" si="8"/>
        <v>0</v>
      </c>
      <c r="K109" s="75">
        <f t="shared" si="9"/>
        <v>996</v>
      </c>
      <c r="L109" s="734">
        <v>996</v>
      </c>
      <c r="M109" s="736">
        <v>1039.0341352086464</v>
      </c>
    </row>
    <row r="110" spans="1:13" ht="13.5" x14ac:dyDescent="0.25">
      <c r="A110" s="749" t="s">
        <v>1994</v>
      </c>
      <c r="B110" s="904"/>
      <c r="C110" s="735">
        <v>996</v>
      </c>
      <c r="D110" s="734">
        <v>996</v>
      </c>
      <c r="E110" s="734"/>
      <c r="F110" s="734"/>
      <c r="G110" s="734"/>
      <c r="H110" s="734"/>
      <c r="I110" s="734"/>
      <c r="J110" s="75">
        <f t="shared" si="8"/>
        <v>0</v>
      </c>
      <c r="K110" s="75">
        <f t="shared" si="9"/>
        <v>996</v>
      </c>
      <c r="L110" s="734">
        <v>996</v>
      </c>
      <c r="M110" s="736">
        <v>1039.0341352086464</v>
      </c>
    </row>
    <row r="111" spans="1:13" ht="13.5" x14ac:dyDescent="0.25">
      <c r="A111" s="749" t="s">
        <v>1995</v>
      </c>
      <c r="B111" s="904"/>
      <c r="C111" s="735">
        <v>996</v>
      </c>
      <c r="D111" s="734">
        <v>996</v>
      </c>
      <c r="E111" s="734"/>
      <c r="F111" s="734"/>
      <c r="G111" s="734"/>
      <c r="H111" s="734"/>
      <c r="I111" s="734"/>
      <c r="J111" s="75">
        <f t="shared" si="8"/>
        <v>0</v>
      </c>
      <c r="K111" s="75">
        <f t="shared" si="9"/>
        <v>996</v>
      </c>
      <c r="L111" s="734">
        <v>996</v>
      </c>
      <c r="M111" s="736">
        <v>1039.0341352086464</v>
      </c>
    </row>
    <row r="112" spans="1:13" ht="13.5" x14ac:dyDescent="0.25">
      <c r="A112" s="749" t="s">
        <v>1996</v>
      </c>
      <c r="B112" s="904"/>
      <c r="C112" s="735">
        <v>996</v>
      </c>
      <c r="D112" s="734">
        <v>996</v>
      </c>
      <c r="E112" s="734"/>
      <c r="F112" s="734"/>
      <c r="G112" s="734"/>
      <c r="H112" s="734"/>
      <c r="I112" s="734"/>
      <c r="J112" s="75">
        <f t="shared" si="8"/>
        <v>0</v>
      </c>
      <c r="K112" s="75">
        <f t="shared" si="9"/>
        <v>996</v>
      </c>
      <c r="L112" s="734">
        <v>996</v>
      </c>
      <c r="M112" s="736">
        <v>1039.0341352086464</v>
      </c>
    </row>
    <row r="113" spans="1:13" ht="13.5" x14ac:dyDescent="0.25">
      <c r="A113" s="749" t="s">
        <v>1997</v>
      </c>
      <c r="B113" s="904"/>
      <c r="C113" s="735">
        <v>996</v>
      </c>
      <c r="D113" s="734">
        <v>996</v>
      </c>
      <c r="E113" s="734"/>
      <c r="F113" s="734"/>
      <c r="G113" s="734"/>
      <c r="H113" s="734"/>
      <c r="I113" s="734"/>
      <c r="J113" s="75">
        <f t="shared" si="8"/>
        <v>0</v>
      </c>
      <c r="K113" s="75">
        <f t="shared" si="9"/>
        <v>996</v>
      </c>
      <c r="L113" s="734">
        <v>996</v>
      </c>
      <c r="M113" s="736">
        <v>1039.0341352086464</v>
      </c>
    </row>
    <row r="114" spans="1:13" ht="13.5" x14ac:dyDescent="0.25">
      <c r="A114" s="749" t="s">
        <v>1998</v>
      </c>
      <c r="B114" s="904"/>
      <c r="C114" s="735">
        <v>0</v>
      </c>
      <c r="D114" s="734">
        <v>0</v>
      </c>
      <c r="E114" s="734"/>
      <c r="F114" s="734"/>
      <c r="G114" s="734"/>
      <c r="H114" s="734"/>
      <c r="I114" s="734"/>
      <c r="J114" s="75">
        <f t="shared" si="8"/>
        <v>0</v>
      </c>
      <c r="K114" s="75">
        <f t="shared" si="9"/>
        <v>0</v>
      </c>
      <c r="L114" s="734">
        <v>0</v>
      </c>
      <c r="M114" s="736">
        <v>0</v>
      </c>
    </row>
    <row r="115" spans="1:13" ht="13.5" x14ac:dyDescent="0.25">
      <c r="A115" s="749">
        <f>'Org structure'!E128</f>
        <v>0</v>
      </c>
      <c r="B115" s="904"/>
      <c r="C115" s="735">
        <v>996</v>
      </c>
      <c r="D115" s="734">
        <v>996</v>
      </c>
      <c r="E115" s="734"/>
      <c r="F115" s="734"/>
      <c r="G115" s="734"/>
      <c r="H115" s="734"/>
      <c r="I115" s="734"/>
      <c r="J115" s="75">
        <f t="shared" si="8"/>
        <v>0</v>
      </c>
      <c r="K115" s="75">
        <f t="shared" si="9"/>
        <v>996</v>
      </c>
      <c r="L115" s="734">
        <v>996</v>
      </c>
      <c r="M115" s="736">
        <v>1039.0341352086464</v>
      </c>
    </row>
    <row r="116" spans="1:13" ht="13.5" x14ac:dyDescent="0.25">
      <c r="A116" s="749">
        <f>'Org structure'!E129</f>
        <v>0</v>
      </c>
      <c r="B116" s="904"/>
      <c r="C116" s="735">
        <v>0</v>
      </c>
      <c r="D116" s="734">
        <v>0</v>
      </c>
      <c r="E116" s="734"/>
      <c r="F116" s="734"/>
      <c r="G116" s="734"/>
      <c r="H116" s="734"/>
      <c r="I116" s="734"/>
      <c r="J116" s="75">
        <f t="shared" si="8"/>
        <v>0</v>
      </c>
      <c r="K116" s="75">
        <f t="shared" si="9"/>
        <v>0</v>
      </c>
      <c r="L116" s="734">
        <v>0</v>
      </c>
      <c r="M116" s="736">
        <v>0</v>
      </c>
    </row>
    <row r="117" spans="1:13" ht="13.5" x14ac:dyDescent="0.25">
      <c r="A117" s="746" t="s">
        <v>1999</v>
      </c>
      <c r="B117" s="904"/>
      <c r="C117" s="733">
        <f>SUM(C118:C127)</f>
        <v>9388992</v>
      </c>
      <c r="D117" s="732">
        <f t="shared" ref="D117:I117" si="14">SUM(D118:D127)</f>
        <v>9388992</v>
      </c>
      <c r="E117" s="732">
        <f t="shared" si="14"/>
        <v>0</v>
      </c>
      <c r="F117" s="732">
        <f t="shared" si="14"/>
        <v>0</v>
      </c>
      <c r="G117" s="732">
        <f t="shared" si="14"/>
        <v>0</v>
      </c>
      <c r="H117" s="732">
        <f t="shared" si="14"/>
        <v>0</v>
      </c>
      <c r="I117" s="732">
        <f t="shared" si="14"/>
        <v>-8869077</v>
      </c>
      <c r="J117" s="75">
        <f t="shared" si="8"/>
        <v>-8869077</v>
      </c>
      <c r="K117" s="75">
        <f t="shared" si="9"/>
        <v>519915</v>
      </c>
      <c r="L117" s="732">
        <f>SUM(L118:L127)</f>
        <v>9952992</v>
      </c>
      <c r="M117" s="760">
        <f>SUM(M118:M127)</f>
        <v>10383030.557689333</v>
      </c>
    </row>
    <row r="118" spans="1:13" ht="13.5" x14ac:dyDescent="0.25">
      <c r="A118" s="749" t="s">
        <v>2000</v>
      </c>
      <c r="B118" s="904"/>
      <c r="C118" s="735">
        <v>996</v>
      </c>
      <c r="D118" s="734">
        <v>996</v>
      </c>
      <c r="E118" s="734"/>
      <c r="F118" s="734"/>
      <c r="G118" s="734"/>
      <c r="H118" s="734"/>
      <c r="I118" s="734"/>
      <c r="J118" s="75">
        <f t="shared" si="8"/>
        <v>0</v>
      </c>
      <c r="K118" s="75">
        <f t="shared" si="9"/>
        <v>996</v>
      </c>
      <c r="L118" s="734">
        <v>996</v>
      </c>
      <c r="M118" s="736">
        <v>1039.0341352086464</v>
      </c>
    </row>
    <row r="119" spans="1:13" ht="13.5" x14ac:dyDescent="0.25">
      <c r="A119" s="749" t="s">
        <v>2001</v>
      </c>
      <c r="B119" s="904"/>
      <c r="C119" s="735">
        <v>996</v>
      </c>
      <c r="D119" s="734">
        <v>996</v>
      </c>
      <c r="E119" s="734"/>
      <c r="F119" s="734"/>
      <c r="G119" s="734"/>
      <c r="H119" s="734"/>
      <c r="I119" s="734"/>
      <c r="J119" s="75">
        <f t="shared" si="8"/>
        <v>0</v>
      </c>
      <c r="K119" s="75">
        <f t="shared" si="9"/>
        <v>996</v>
      </c>
      <c r="L119" s="734">
        <v>996</v>
      </c>
      <c r="M119" s="736">
        <v>1039.0341352086464</v>
      </c>
    </row>
    <row r="120" spans="1:13" ht="13.5" x14ac:dyDescent="0.25">
      <c r="A120" s="749" t="s">
        <v>2002</v>
      </c>
      <c r="B120" s="904"/>
      <c r="C120" s="735">
        <v>9387000</v>
      </c>
      <c r="D120" s="734">
        <v>9387000</v>
      </c>
      <c r="E120" s="734"/>
      <c r="F120" s="734"/>
      <c r="G120" s="734"/>
      <c r="H120" s="734"/>
      <c r="I120" s="734">
        <v>-8869077</v>
      </c>
      <c r="J120" s="75">
        <f t="shared" si="8"/>
        <v>-8869077</v>
      </c>
      <c r="K120" s="75">
        <f t="shared" si="9"/>
        <v>517923</v>
      </c>
      <c r="L120" s="734">
        <v>9951000</v>
      </c>
      <c r="M120" s="736">
        <v>10380952.489418916</v>
      </c>
    </row>
    <row r="121" spans="1:13" ht="13.5" x14ac:dyDescent="0.25">
      <c r="A121" s="749">
        <f>'Org structure'!E134</f>
        <v>0</v>
      </c>
      <c r="B121" s="904"/>
      <c r="C121" s="735"/>
      <c r="D121" s="734">
        <v>0</v>
      </c>
      <c r="E121" s="734"/>
      <c r="F121" s="734"/>
      <c r="G121" s="734"/>
      <c r="H121" s="734"/>
      <c r="I121" s="734"/>
      <c r="J121" s="75">
        <f t="shared" si="8"/>
        <v>0</v>
      </c>
      <c r="K121" s="75">
        <f t="shared" si="9"/>
        <v>0</v>
      </c>
      <c r="L121" s="734">
        <v>0</v>
      </c>
      <c r="M121" s="736">
        <v>0</v>
      </c>
    </row>
    <row r="122" spans="1:13" ht="13.5" x14ac:dyDescent="0.25">
      <c r="A122" s="749">
        <f>'Org structure'!E135</f>
        <v>0</v>
      </c>
      <c r="B122" s="904"/>
      <c r="C122" s="735"/>
      <c r="D122" s="734">
        <v>0</v>
      </c>
      <c r="E122" s="734"/>
      <c r="F122" s="734"/>
      <c r="G122" s="734"/>
      <c r="H122" s="734"/>
      <c r="I122" s="734"/>
      <c r="J122" s="75">
        <f t="shared" si="8"/>
        <v>0</v>
      </c>
      <c r="K122" s="75">
        <f t="shared" si="9"/>
        <v>0</v>
      </c>
      <c r="L122" s="734">
        <v>0</v>
      </c>
      <c r="M122" s="736">
        <v>0</v>
      </c>
    </row>
    <row r="123" spans="1:13" ht="13.5" x14ac:dyDescent="0.25">
      <c r="A123" s="749">
        <f>'Org structure'!E136</f>
        <v>0</v>
      </c>
      <c r="B123" s="904"/>
      <c r="C123" s="735"/>
      <c r="D123" s="734">
        <v>0</v>
      </c>
      <c r="E123" s="734"/>
      <c r="F123" s="734"/>
      <c r="G123" s="734"/>
      <c r="H123" s="734"/>
      <c r="I123" s="734"/>
      <c r="J123" s="75">
        <f t="shared" si="8"/>
        <v>0</v>
      </c>
      <c r="K123" s="75">
        <f t="shared" si="9"/>
        <v>0</v>
      </c>
      <c r="L123" s="734">
        <v>0</v>
      </c>
      <c r="M123" s="736">
        <v>0</v>
      </c>
    </row>
    <row r="124" spans="1:13" ht="13.5" x14ac:dyDescent="0.25">
      <c r="A124" s="749">
        <f>'Org structure'!E137</f>
        <v>0</v>
      </c>
      <c r="B124" s="904"/>
      <c r="C124" s="735"/>
      <c r="D124" s="734">
        <v>0</v>
      </c>
      <c r="E124" s="734"/>
      <c r="F124" s="734"/>
      <c r="G124" s="734"/>
      <c r="H124" s="734"/>
      <c r="I124" s="734"/>
      <c r="J124" s="75">
        <f t="shared" si="8"/>
        <v>0</v>
      </c>
      <c r="K124" s="75">
        <f t="shared" si="9"/>
        <v>0</v>
      </c>
      <c r="L124" s="734"/>
      <c r="M124" s="736">
        <v>0</v>
      </c>
    </row>
    <row r="125" spans="1:13" ht="13.5" x14ac:dyDescent="0.25">
      <c r="A125" s="749">
        <f>'Org structure'!E138</f>
        <v>0</v>
      </c>
      <c r="B125" s="904"/>
      <c r="C125" s="735"/>
      <c r="D125" s="734">
        <v>0</v>
      </c>
      <c r="E125" s="734"/>
      <c r="F125" s="734"/>
      <c r="G125" s="734"/>
      <c r="H125" s="734"/>
      <c r="I125" s="734"/>
      <c r="J125" s="75">
        <f t="shared" si="8"/>
        <v>0</v>
      </c>
      <c r="K125" s="75">
        <f t="shared" si="9"/>
        <v>0</v>
      </c>
      <c r="L125" s="734"/>
      <c r="M125" s="736"/>
    </row>
    <row r="126" spans="1:13" ht="13.5" x14ac:dyDescent="0.25">
      <c r="A126" s="749">
        <f>'Org structure'!E139</f>
        <v>0</v>
      </c>
      <c r="B126" s="904"/>
      <c r="C126" s="735"/>
      <c r="D126" s="734">
        <v>0</v>
      </c>
      <c r="E126" s="734"/>
      <c r="F126" s="734"/>
      <c r="G126" s="734"/>
      <c r="H126" s="734"/>
      <c r="I126" s="734"/>
      <c r="J126" s="75">
        <f t="shared" si="8"/>
        <v>0</v>
      </c>
      <c r="K126" s="75">
        <f t="shared" si="9"/>
        <v>0</v>
      </c>
      <c r="L126" s="734"/>
      <c r="M126" s="736"/>
    </row>
    <row r="127" spans="1:13" ht="13.5" x14ac:dyDescent="0.25">
      <c r="A127" s="749">
        <f>'Org structure'!E140</f>
        <v>0</v>
      </c>
      <c r="B127" s="904"/>
      <c r="C127" s="735"/>
      <c r="D127" s="734">
        <v>0</v>
      </c>
      <c r="E127" s="734"/>
      <c r="F127" s="734"/>
      <c r="G127" s="734"/>
      <c r="H127" s="734"/>
      <c r="I127" s="734"/>
      <c r="J127" s="75">
        <f t="shared" si="8"/>
        <v>0</v>
      </c>
      <c r="K127" s="75">
        <f t="shared" si="9"/>
        <v>0</v>
      </c>
      <c r="L127" s="734"/>
      <c r="M127" s="736"/>
    </row>
    <row r="128" spans="1:13" ht="13.5" x14ac:dyDescent="0.25">
      <c r="A128" s="746" t="s">
        <v>2001</v>
      </c>
      <c r="B128" s="904"/>
      <c r="C128" s="733">
        <f>SUM(C129:C138)</f>
        <v>0</v>
      </c>
      <c r="D128" s="732">
        <f t="shared" ref="D128:I128" si="15">SUM(D129:D138)</f>
        <v>0</v>
      </c>
      <c r="E128" s="732">
        <f t="shared" si="15"/>
        <v>0</v>
      </c>
      <c r="F128" s="732">
        <f t="shared" si="15"/>
        <v>0</v>
      </c>
      <c r="G128" s="732">
        <f t="shared" si="15"/>
        <v>0</v>
      </c>
      <c r="H128" s="732">
        <f t="shared" si="15"/>
        <v>0</v>
      </c>
      <c r="I128" s="732">
        <f t="shared" si="15"/>
        <v>0</v>
      </c>
      <c r="J128" s="75">
        <f t="shared" si="8"/>
        <v>0</v>
      </c>
      <c r="K128" s="75">
        <f t="shared" si="9"/>
        <v>0</v>
      </c>
      <c r="L128" s="732">
        <f>SUM(L129:L138)</f>
        <v>0</v>
      </c>
      <c r="M128" s="760">
        <f>SUM(M129:M138)</f>
        <v>0</v>
      </c>
    </row>
    <row r="129" spans="1:13" ht="13.5" x14ac:dyDescent="0.25">
      <c r="A129" s="749" t="str">
        <f>'Org structure'!E142</f>
        <v>12.1 - [Name of sub-vote]</v>
      </c>
      <c r="B129" s="904"/>
      <c r="C129" s="735"/>
      <c r="D129" s="734"/>
      <c r="E129" s="734"/>
      <c r="F129" s="734"/>
      <c r="G129" s="734"/>
      <c r="H129" s="734"/>
      <c r="I129" s="734"/>
      <c r="J129" s="75">
        <f t="shared" si="8"/>
        <v>0</v>
      </c>
      <c r="K129" s="75">
        <f t="shared" si="9"/>
        <v>0</v>
      </c>
      <c r="L129" s="734"/>
      <c r="M129" s="736"/>
    </row>
    <row r="130" spans="1:13" ht="13.5" x14ac:dyDescent="0.25">
      <c r="A130" s="749">
        <f>'Org structure'!E143</f>
        <v>0</v>
      </c>
      <c r="B130" s="904"/>
      <c r="C130" s="735"/>
      <c r="D130" s="734"/>
      <c r="E130" s="734"/>
      <c r="F130" s="734"/>
      <c r="G130" s="734"/>
      <c r="H130" s="734"/>
      <c r="I130" s="734"/>
      <c r="J130" s="75">
        <f t="shared" si="8"/>
        <v>0</v>
      </c>
      <c r="K130" s="75">
        <f t="shared" si="9"/>
        <v>0</v>
      </c>
      <c r="L130" s="734"/>
      <c r="M130" s="736"/>
    </row>
    <row r="131" spans="1:13" ht="13.5" x14ac:dyDescent="0.25">
      <c r="A131" s="749">
        <f>'Org structure'!E144</f>
        <v>0</v>
      </c>
      <c r="B131" s="904"/>
      <c r="C131" s="735"/>
      <c r="D131" s="734"/>
      <c r="E131" s="734"/>
      <c r="F131" s="734"/>
      <c r="G131" s="734"/>
      <c r="H131" s="734"/>
      <c r="I131" s="734"/>
      <c r="J131" s="75">
        <f t="shared" si="8"/>
        <v>0</v>
      </c>
      <c r="K131" s="75">
        <f t="shared" si="9"/>
        <v>0</v>
      </c>
      <c r="L131" s="734"/>
      <c r="M131" s="736"/>
    </row>
    <row r="132" spans="1:13" ht="13.5" x14ac:dyDescent="0.25">
      <c r="A132" s="749">
        <f>'Org structure'!E145</f>
        <v>0</v>
      </c>
      <c r="B132" s="904"/>
      <c r="C132" s="735"/>
      <c r="D132" s="734"/>
      <c r="E132" s="734"/>
      <c r="F132" s="734"/>
      <c r="G132" s="734"/>
      <c r="H132" s="734"/>
      <c r="I132" s="734"/>
      <c r="J132" s="75">
        <f t="shared" si="8"/>
        <v>0</v>
      </c>
      <c r="K132" s="75">
        <f t="shared" si="9"/>
        <v>0</v>
      </c>
      <c r="L132" s="734"/>
      <c r="M132" s="736"/>
    </row>
    <row r="133" spans="1:13" ht="13.5" x14ac:dyDescent="0.25">
      <c r="A133" s="749">
        <f>'Org structure'!E146</f>
        <v>0</v>
      </c>
      <c r="B133" s="904"/>
      <c r="C133" s="735"/>
      <c r="D133" s="734"/>
      <c r="E133" s="734"/>
      <c r="F133" s="734"/>
      <c r="G133" s="734"/>
      <c r="H133" s="734"/>
      <c r="I133" s="734"/>
      <c r="J133" s="75">
        <f t="shared" si="8"/>
        <v>0</v>
      </c>
      <c r="K133" s="75">
        <f t="shared" si="9"/>
        <v>0</v>
      </c>
      <c r="L133" s="734"/>
      <c r="M133" s="736"/>
    </row>
    <row r="134" spans="1:13" ht="13.5" x14ac:dyDescent="0.25">
      <c r="A134" s="749">
        <f>'Org structure'!E147</f>
        <v>0</v>
      </c>
      <c r="B134" s="904"/>
      <c r="C134" s="735"/>
      <c r="D134" s="734"/>
      <c r="E134" s="734"/>
      <c r="F134" s="734"/>
      <c r="G134" s="734"/>
      <c r="H134" s="734"/>
      <c r="I134" s="734"/>
      <c r="J134" s="75">
        <f t="shared" si="8"/>
        <v>0</v>
      </c>
      <c r="K134" s="75">
        <f t="shared" si="9"/>
        <v>0</v>
      </c>
      <c r="L134" s="734"/>
      <c r="M134" s="736"/>
    </row>
    <row r="135" spans="1:13" ht="13.5" x14ac:dyDescent="0.25">
      <c r="A135" s="749">
        <f>'Org structure'!E148</f>
        <v>0</v>
      </c>
      <c r="B135" s="904"/>
      <c r="C135" s="735"/>
      <c r="D135" s="734"/>
      <c r="E135" s="734"/>
      <c r="F135" s="734"/>
      <c r="G135" s="734"/>
      <c r="H135" s="734"/>
      <c r="I135" s="734"/>
      <c r="J135" s="75">
        <f t="shared" si="8"/>
        <v>0</v>
      </c>
      <c r="K135" s="75">
        <f t="shared" si="9"/>
        <v>0</v>
      </c>
      <c r="L135" s="734"/>
      <c r="M135" s="736"/>
    </row>
    <row r="136" spans="1:13" ht="13.5" x14ac:dyDescent="0.25">
      <c r="A136" s="749">
        <f>'Org structure'!E149</f>
        <v>0</v>
      </c>
      <c r="B136" s="904"/>
      <c r="C136" s="735"/>
      <c r="D136" s="734"/>
      <c r="E136" s="734"/>
      <c r="F136" s="734"/>
      <c r="G136" s="734"/>
      <c r="H136" s="734"/>
      <c r="I136" s="734"/>
      <c r="J136" s="75">
        <f t="shared" ref="J136:J171" si="16">SUM(E136:I136)</f>
        <v>0</v>
      </c>
      <c r="K136" s="75">
        <f t="shared" ref="K136:K171" si="17">IF(D136=0,C136+J136,D136+J136)</f>
        <v>0</v>
      </c>
      <c r="L136" s="734"/>
      <c r="M136" s="736"/>
    </row>
    <row r="137" spans="1:13" ht="13.5" x14ac:dyDescent="0.25">
      <c r="A137" s="749">
        <f>'Org structure'!E150</f>
        <v>0</v>
      </c>
      <c r="B137" s="904"/>
      <c r="C137" s="735"/>
      <c r="D137" s="734"/>
      <c r="E137" s="734"/>
      <c r="F137" s="734"/>
      <c r="G137" s="734"/>
      <c r="H137" s="734"/>
      <c r="I137" s="734"/>
      <c r="J137" s="75">
        <f t="shared" si="16"/>
        <v>0</v>
      </c>
      <c r="K137" s="75">
        <f t="shared" si="17"/>
        <v>0</v>
      </c>
      <c r="L137" s="734"/>
      <c r="M137" s="736"/>
    </row>
    <row r="138" spans="1:13" ht="13.5" x14ac:dyDescent="0.25">
      <c r="A138" s="749">
        <f>'Org structure'!E151</f>
        <v>0</v>
      </c>
      <c r="B138" s="904"/>
      <c r="C138" s="735"/>
      <c r="D138" s="734"/>
      <c r="E138" s="734"/>
      <c r="F138" s="734"/>
      <c r="G138" s="734"/>
      <c r="H138" s="734"/>
      <c r="I138" s="734"/>
      <c r="J138" s="75">
        <f t="shared" si="16"/>
        <v>0</v>
      </c>
      <c r="K138" s="75">
        <f t="shared" si="17"/>
        <v>0</v>
      </c>
      <c r="L138" s="734"/>
      <c r="M138" s="736"/>
    </row>
    <row r="139" spans="1:13" ht="13.5" x14ac:dyDescent="0.25">
      <c r="A139" s="746" t="str">
        <f>'Org structure'!A14</f>
        <v>Vote 13 - [NAME OF VOTE 13]</v>
      </c>
      <c r="B139" s="904"/>
      <c r="C139" s="733">
        <f>SUM(C140:C149)</f>
        <v>0</v>
      </c>
      <c r="D139" s="732">
        <f t="shared" ref="D139:I139" si="18">SUM(D140:D149)</f>
        <v>0</v>
      </c>
      <c r="E139" s="732">
        <f t="shared" si="18"/>
        <v>0</v>
      </c>
      <c r="F139" s="732">
        <f t="shared" si="18"/>
        <v>0</v>
      </c>
      <c r="G139" s="732">
        <f t="shared" si="18"/>
        <v>0</v>
      </c>
      <c r="H139" s="732">
        <f t="shared" si="18"/>
        <v>0</v>
      </c>
      <c r="I139" s="732">
        <f t="shared" si="18"/>
        <v>0</v>
      </c>
      <c r="J139" s="75">
        <f t="shared" si="16"/>
        <v>0</v>
      </c>
      <c r="K139" s="75">
        <f t="shared" si="17"/>
        <v>0</v>
      </c>
      <c r="L139" s="732">
        <f>SUM(L140:L149)</f>
        <v>0</v>
      </c>
      <c r="M139" s="760">
        <f>SUM(M140:M149)</f>
        <v>0</v>
      </c>
    </row>
    <row r="140" spans="1:13" ht="13.5" x14ac:dyDescent="0.25">
      <c r="A140" s="749" t="str">
        <f>'Org structure'!E153</f>
        <v>13.1 - [Name of sub-vote]</v>
      </c>
      <c r="B140" s="904"/>
      <c r="C140" s="735"/>
      <c r="D140" s="734"/>
      <c r="E140" s="734"/>
      <c r="F140" s="734"/>
      <c r="G140" s="734"/>
      <c r="H140" s="734"/>
      <c r="I140" s="734"/>
      <c r="J140" s="75">
        <f t="shared" si="16"/>
        <v>0</v>
      </c>
      <c r="K140" s="75">
        <f t="shared" si="17"/>
        <v>0</v>
      </c>
      <c r="L140" s="734"/>
      <c r="M140" s="736"/>
    </row>
    <row r="141" spans="1:13" ht="13.5" x14ac:dyDescent="0.25">
      <c r="A141" s="749">
        <f>'Org structure'!E154</f>
        <v>0</v>
      </c>
      <c r="B141" s="904"/>
      <c r="C141" s="735"/>
      <c r="D141" s="734"/>
      <c r="E141" s="734"/>
      <c r="F141" s="734"/>
      <c r="G141" s="734"/>
      <c r="H141" s="734"/>
      <c r="I141" s="734"/>
      <c r="J141" s="75">
        <f t="shared" si="16"/>
        <v>0</v>
      </c>
      <c r="K141" s="75">
        <f t="shared" si="17"/>
        <v>0</v>
      </c>
      <c r="L141" s="734"/>
      <c r="M141" s="736"/>
    </row>
    <row r="142" spans="1:13" ht="13.5" x14ac:dyDescent="0.25">
      <c r="A142" s="749">
        <f>'Org structure'!E155</f>
        <v>0</v>
      </c>
      <c r="B142" s="904"/>
      <c r="C142" s="735"/>
      <c r="D142" s="734"/>
      <c r="E142" s="734"/>
      <c r="F142" s="734"/>
      <c r="G142" s="734"/>
      <c r="H142" s="734"/>
      <c r="I142" s="734"/>
      <c r="J142" s="75">
        <f t="shared" si="16"/>
        <v>0</v>
      </c>
      <c r="K142" s="75">
        <f t="shared" si="17"/>
        <v>0</v>
      </c>
      <c r="L142" s="734"/>
      <c r="M142" s="736"/>
    </row>
    <row r="143" spans="1:13" ht="13.5" x14ac:dyDescent="0.25">
      <c r="A143" s="749">
        <f>'Org structure'!E156</f>
        <v>0</v>
      </c>
      <c r="B143" s="904"/>
      <c r="C143" s="735"/>
      <c r="D143" s="734"/>
      <c r="E143" s="734"/>
      <c r="F143" s="734"/>
      <c r="G143" s="734"/>
      <c r="H143" s="734"/>
      <c r="I143" s="734"/>
      <c r="J143" s="75">
        <f t="shared" si="16"/>
        <v>0</v>
      </c>
      <c r="K143" s="75">
        <f t="shared" si="17"/>
        <v>0</v>
      </c>
      <c r="L143" s="734"/>
      <c r="M143" s="736"/>
    </row>
    <row r="144" spans="1:13" ht="13.5" x14ac:dyDescent="0.25">
      <c r="A144" s="749">
        <f>'Org structure'!E157</f>
        <v>0</v>
      </c>
      <c r="B144" s="904"/>
      <c r="C144" s="735"/>
      <c r="D144" s="734"/>
      <c r="E144" s="734"/>
      <c r="F144" s="734"/>
      <c r="G144" s="734"/>
      <c r="H144" s="734"/>
      <c r="I144" s="734"/>
      <c r="J144" s="75">
        <f t="shared" si="16"/>
        <v>0</v>
      </c>
      <c r="K144" s="75">
        <f t="shared" si="17"/>
        <v>0</v>
      </c>
      <c r="L144" s="734"/>
      <c r="M144" s="736"/>
    </row>
    <row r="145" spans="1:13" ht="13.5" x14ac:dyDescent="0.25">
      <c r="A145" s="749">
        <f>'Org structure'!E158</f>
        <v>0</v>
      </c>
      <c r="B145" s="904"/>
      <c r="C145" s="735"/>
      <c r="D145" s="734"/>
      <c r="E145" s="734"/>
      <c r="F145" s="734"/>
      <c r="G145" s="734"/>
      <c r="H145" s="734"/>
      <c r="I145" s="734"/>
      <c r="J145" s="75">
        <f t="shared" si="16"/>
        <v>0</v>
      </c>
      <c r="K145" s="75">
        <f t="shared" si="17"/>
        <v>0</v>
      </c>
      <c r="L145" s="734"/>
      <c r="M145" s="736"/>
    </row>
    <row r="146" spans="1:13" ht="13.5" x14ac:dyDescent="0.25">
      <c r="A146" s="749">
        <f>'Org structure'!E159</f>
        <v>0</v>
      </c>
      <c r="B146" s="904"/>
      <c r="C146" s="735"/>
      <c r="D146" s="734"/>
      <c r="E146" s="734"/>
      <c r="F146" s="734"/>
      <c r="G146" s="734"/>
      <c r="H146" s="734"/>
      <c r="I146" s="734"/>
      <c r="J146" s="75">
        <f t="shared" si="16"/>
        <v>0</v>
      </c>
      <c r="K146" s="75">
        <f t="shared" si="17"/>
        <v>0</v>
      </c>
      <c r="L146" s="734"/>
      <c r="M146" s="736"/>
    </row>
    <row r="147" spans="1:13" ht="13.5" x14ac:dyDescent="0.25">
      <c r="A147" s="749">
        <f>'Org structure'!E160</f>
        <v>0</v>
      </c>
      <c r="B147" s="904"/>
      <c r="C147" s="735"/>
      <c r="D147" s="734"/>
      <c r="E147" s="734"/>
      <c r="F147" s="734"/>
      <c r="G147" s="734"/>
      <c r="H147" s="734"/>
      <c r="I147" s="734"/>
      <c r="J147" s="75">
        <f t="shared" si="16"/>
        <v>0</v>
      </c>
      <c r="K147" s="75">
        <f t="shared" si="17"/>
        <v>0</v>
      </c>
      <c r="L147" s="734"/>
      <c r="M147" s="736"/>
    </row>
    <row r="148" spans="1:13" ht="13.5" x14ac:dyDescent="0.25">
      <c r="A148" s="749">
        <f>'Org structure'!E161</f>
        <v>0</v>
      </c>
      <c r="B148" s="904"/>
      <c r="C148" s="735"/>
      <c r="D148" s="734"/>
      <c r="E148" s="734"/>
      <c r="F148" s="734"/>
      <c r="G148" s="734"/>
      <c r="H148" s="734"/>
      <c r="I148" s="734"/>
      <c r="J148" s="75">
        <f t="shared" si="16"/>
        <v>0</v>
      </c>
      <c r="K148" s="75">
        <f t="shared" si="17"/>
        <v>0</v>
      </c>
      <c r="L148" s="734"/>
      <c r="M148" s="736"/>
    </row>
    <row r="149" spans="1:13" ht="13.5" x14ac:dyDescent="0.25">
      <c r="A149" s="749">
        <f>'Org structure'!E162</f>
        <v>0</v>
      </c>
      <c r="B149" s="904"/>
      <c r="C149" s="735"/>
      <c r="D149" s="734"/>
      <c r="E149" s="734"/>
      <c r="F149" s="734"/>
      <c r="G149" s="734"/>
      <c r="H149" s="734"/>
      <c r="I149" s="734"/>
      <c r="J149" s="75">
        <f t="shared" si="16"/>
        <v>0</v>
      </c>
      <c r="K149" s="75">
        <f t="shared" si="17"/>
        <v>0</v>
      </c>
      <c r="L149" s="734"/>
      <c r="M149" s="736"/>
    </row>
    <row r="150" spans="1:13" ht="13.5" x14ac:dyDescent="0.25">
      <c r="A150" s="746" t="str">
        <f>'Org structure'!A15</f>
        <v>Vote 14 - [NAME OF VOTE 14]</v>
      </c>
      <c r="B150" s="904"/>
      <c r="C150" s="733">
        <f>SUM(C151:C160)</f>
        <v>0</v>
      </c>
      <c r="D150" s="732">
        <f t="shared" ref="D150:I150" si="19">SUM(D151:D160)</f>
        <v>0</v>
      </c>
      <c r="E150" s="732">
        <f t="shared" si="19"/>
        <v>0</v>
      </c>
      <c r="F150" s="732">
        <f t="shared" si="19"/>
        <v>0</v>
      </c>
      <c r="G150" s="732">
        <f t="shared" si="19"/>
        <v>0</v>
      </c>
      <c r="H150" s="732">
        <f t="shared" si="19"/>
        <v>0</v>
      </c>
      <c r="I150" s="732">
        <f t="shared" si="19"/>
        <v>0</v>
      </c>
      <c r="J150" s="75">
        <f t="shared" si="16"/>
        <v>0</v>
      </c>
      <c r="K150" s="75">
        <f t="shared" si="17"/>
        <v>0</v>
      </c>
      <c r="L150" s="732">
        <f>SUM(L151:L160)</f>
        <v>0</v>
      </c>
      <c r="M150" s="760">
        <f>SUM(M151:M160)</f>
        <v>0</v>
      </c>
    </row>
    <row r="151" spans="1:13" ht="13.5" x14ac:dyDescent="0.25">
      <c r="A151" s="749" t="str">
        <f>'Org structure'!E164</f>
        <v>14.1 - [Name of sub-vote]</v>
      </c>
      <c r="B151" s="904"/>
      <c r="C151" s="735"/>
      <c r="D151" s="734"/>
      <c r="E151" s="734"/>
      <c r="F151" s="734"/>
      <c r="G151" s="734"/>
      <c r="H151" s="734"/>
      <c r="I151" s="734"/>
      <c r="J151" s="75">
        <f t="shared" si="16"/>
        <v>0</v>
      </c>
      <c r="K151" s="75">
        <f t="shared" si="17"/>
        <v>0</v>
      </c>
      <c r="L151" s="734"/>
      <c r="M151" s="736"/>
    </row>
    <row r="152" spans="1:13" ht="13.5" x14ac:dyDescent="0.25">
      <c r="A152" s="749">
        <f>'Org structure'!E165</f>
        <v>0</v>
      </c>
      <c r="B152" s="904"/>
      <c r="C152" s="735"/>
      <c r="D152" s="734"/>
      <c r="E152" s="734"/>
      <c r="F152" s="734"/>
      <c r="G152" s="734"/>
      <c r="H152" s="734"/>
      <c r="I152" s="734"/>
      <c r="J152" s="75">
        <f t="shared" si="16"/>
        <v>0</v>
      </c>
      <c r="K152" s="75">
        <f t="shared" si="17"/>
        <v>0</v>
      </c>
      <c r="L152" s="734"/>
      <c r="M152" s="736"/>
    </row>
    <row r="153" spans="1:13" ht="13.5" x14ac:dyDescent="0.25">
      <c r="A153" s="749">
        <f>'Org structure'!E166</f>
        <v>0</v>
      </c>
      <c r="B153" s="904"/>
      <c r="C153" s="735"/>
      <c r="D153" s="734"/>
      <c r="E153" s="734"/>
      <c r="F153" s="734"/>
      <c r="G153" s="734"/>
      <c r="H153" s="734"/>
      <c r="I153" s="734"/>
      <c r="J153" s="75">
        <f t="shared" si="16"/>
        <v>0</v>
      </c>
      <c r="K153" s="75">
        <f t="shared" si="17"/>
        <v>0</v>
      </c>
      <c r="L153" s="734"/>
      <c r="M153" s="736"/>
    </row>
    <row r="154" spans="1:13" ht="13.5" x14ac:dyDescent="0.25">
      <c r="A154" s="749">
        <f>'Org structure'!E167</f>
        <v>0</v>
      </c>
      <c r="B154" s="904"/>
      <c r="C154" s="735"/>
      <c r="D154" s="734"/>
      <c r="E154" s="734"/>
      <c r="F154" s="734"/>
      <c r="G154" s="734"/>
      <c r="H154" s="734"/>
      <c r="I154" s="734"/>
      <c r="J154" s="75">
        <f t="shared" si="16"/>
        <v>0</v>
      </c>
      <c r="K154" s="75">
        <f t="shared" si="17"/>
        <v>0</v>
      </c>
      <c r="L154" s="734"/>
      <c r="M154" s="736"/>
    </row>
    <row r="155" spans="1:13" ht="13.5" x14ac:dyDescent="0.25">
      <c r="A155" s="749">
        <f>'Org structure'!E168</f>
        <v>0</v>
      </c>
      <c r="B155" s="904"/>
      <c r="C155" s="735"/>
      <c r="D155" s="734"/>
      <c r="E155" s="734"/>
      <c r="F155" s="734"/>
      <c r="G155" s="734"/>
      <c r="H155" s="734"/>
      <c r="I155" s="734"/>
      <c r="J155" s="75">
        <f t="shared" si="16"/>
        <v>0</v>
      </c>
      <c r="K155" s="75">
        <f t="shared" si="17"/>
        <v>0</v>
      </c>
      <c r="L155" s="734"/>
      <c r="M155" s="736"/>
    </row>
    <row r="156" spans="1:13" ht="13.5" x14ac:dyDescent="0.25">
      <c r="A156" s="749">
        <f>'Org structure'!E169</f>
        <v>0</v>
      </c>
      <c r="B156" s="904"/>
      <c r="C156" s="735"/>
      <c r="D156" s="734"/>
      <c r="E156" s="734"/>
      <c r="F156" s="734"/>
      <c r="G156" s="734"/>
      <c r="H156" s="734"/>
      <c r="I156" s="734"/>
      <c r="J156" s="75">
        <f t="shared" si="16"/>
        <v>0</v>
      </c>
      <c r="K156" s="75">
        <f t="shared" si="17"/>
        <v>0</v>
      </c>
      <c r="L156" s="734"/>
      <c r="M156" s="736"/>
    </row>
    <row r="157" spans="1:13" ht="13.5" x14ac:dyDescent="0.25">
      <c r="A157" s="749">
        <f>'Org structure'!E170</f>
        <v>0</v>
      </c>
      <c r="B157" s="904"/>
      <c r="C157" s="735"/>
      <c r="D157" s="734"/>
      <c r="E157" s="734"/>
      <c r="F157" s="734"/>
      <c r="G157" s="734"/>
      <c r="H157" s="734"/>
      <c r="I157" s="734"/>
      <c r="J157" s="75">
        <f t="shared" si="16"/>
        <v>0</v>
      </c>
      <c r="K157" s="75">
        <f t="shared" si="17"/>
        <v>0</v>
      </c>
      <c r="L157" s="734"/>
      <c r="M157" s="736"/>
    </row>
    <row r="158" spans="1:13" ht="13.5" x14ac:dyDescent="0.25">
      <c r="A158" s="749">
        <f>'Org structure'!E171</f>
        <v>0</v>
      </c>
      <c r="B158" s="904"/>
      <c r="C158" s="735"/>
      <c r="D158" s="734"/>
      <c r="E158" s="734"/>
      <c r="F158" s="734"/>
      <c r="G158" s="734"/>
      <c r="H158" s="734"/>
      <c r="I158" s="734"/>
      <c r="J158" s="75">
        <f t="shared" si="16"/>
        <v>0</v>
      </c>
      <c r="K158" s="75">
        <f t="shared" si="17"/>
        <v>0</v>
      </c>
      <c r="L158" s="734"/>
      <c r="M158" s="736"/>
    </row>
    <row r="159" spans="1:13" ht="13.5" x14ac:dyDescent="0.25">
      <c r="A159" s="749">
        <f>'Org structure'!E172</f>
        <v>0</v>
      </c>
      <c r="B159" s="904"/>
      <c r="C159" s="735"/>
      <c r="D159" s="734"/>
      <c r="E159" s="734"/>
      <c r="F159" s="734"/>
      <c r="G159" s="734"/>
      <c r="H159" s="734"/>
      <c r="I159" s="734"/>
      <c r="J159" s="75">
        <f t="shared" si="16"/>
        <v>0</v>
      </c>
      <c r="K159" s="75">
        <f t="shared" si="17"/>
        <v>0</v>
      </c>
      <c r="L159" s="734"/>
      <c r="M159" s="736"/>
    </row>
    <row r="160" spans="1:13" ht="13.5" x14ac:dyDescent="0.25">
      <c r="A160" s="749">
        <f>'Org structure'!E173</f>
        <v>0</v>
      </c>
      <c r="B160" s="904"/>
      <c r="C160" s="735"/>
      <c r="D160" s="734"/>
      <c r="E160" s="734"/>
      <c r="F160" s="734"/>
      <c r="G160" s="734"/>
      <c r="H160" s="734"/>
      <c r="I160" s="734"/>
      <c r="J160" s="75">
        <f t="shared" si="16"/>
        <v>0</v>
      </c>
      <c r="K160" s="75">
        <f t="shared" si="17"/>
        <v>0</v>
      </c>
      <c r="L160" s="734"/>
      <c r="M160" s="736"/>
    </row>
    <row r="161" spans="1:13" ht="13.5" x14ac:dyDescent="0.25">
      <c r="A161" s="746" t="str">
        <f>'Org structure'!A16</f>
        <v>Vote 15 - [NAME OF VOTE 15]</v>
      </c>
      <c r="B161" s="904"/>
      <c r="C161" s="733">
        <f>SUM(C162:C171)</f>
        <v>0</v>
      </c>
      <c r="D161" s="732">
        <f t="shared" ref="D161:I161" si="20">SUM(D162:D171)</f>
        <v>0</v>
      </c>
      <c r="E161" s="732">
        <f t="shared" si="20"/>
        <v>0</v>
      </c>
      <c r="F161" s="732">
        <f t="shared" si="20"/>
        <v>0</v>
      </c>
      <c r="G161" s="732">
        <f t="shared" si="20"/>
        <v>0</v>
      </c>
      <c r="H161" s="732">
        <f t="shared" si="20"/>
        <v>0</v>
      </c>
      <c r="I161" s="732">
        <f t="shared" si="20"/>
        <v>0</v>
      </c>
      <c r="J161" s="75">
        <f t="shared" si="16"/>
        <v>0</v>
      </c>
      <c r="K161" s="75">
        <f t="shared" si="17"/>
        <v>0</v>
      </c>
      <c r="L161" s="732">
        <f>SUM(L162:L171)</f>
        <v>0</v>
      </c>
      <c r="M161" s="760">
        <f>SUM(M162:M171)</f>
        <v>0</v>
      </c>
    </row>
    <row r="162" spans="1:13" ht="13.5" x14ac:dyDescent="0.25">
      <c r="A162" s="749" t="str">
        <f>'Org structure'!E175</f>
        <v>15.1 - [Name of sub-vote]</v>
      </c>
      <c r="B162" s="904"/>
      <c r="C162" s="735"/>
      <c r="D162" s="734"/>
      <c r="E162" s="734"/>
      <c r="F162" s="734"/>
      <c r="G162" s="734"/>
      <c r="H162" s="734"/>
      <c r="I162" s="734"/>
      <c r="J162" s="75">
        <f t="shared" si="16"/>
        <v>0</v>
      </c>
      <c r="K162" s="75">
        <f t="shared" si="17"/>
        <v>0</v>
      </c>
      <c r="L162" s="734"/>
      <c r="M162" s="736"/>
    </row>
    <row r="163" spans="1:13" ht="13.5" x14ac:dyDescent="0.25">
      <c r="A163" s="749">
        <f>'Org structure'!E176</f>
        <v>0</v>
      </c>
      <c r="B163" s="904"/>
      <c r="C163" s="735"/>
      <c r="D163" s="734"/>
      <c r="E163" s="734"/>
      <c r="F163" s="734"/>
      <c r="G163" s="734"/>
      <c r="H163" s="734"/>
      <c r="I163" s="734"/>
      <c r="J163" s="75">
        <f t="shared" si="16"/>
        <v>0</v>
      </c>
      <c r="K163" s="75">
        <f t="shared" si="17"/>
        <v>0</v>
      </c>
      <c r="L163" s="734"/>
      <c r="M163" s="736"/>
    </row>
    <row r="164" spans="1:13" ht="13.5" x14ac:dyDescent="0.25">
      <c r="A164" s="749">
        <f>'Org structure'!E177</f>
        <v>0</v>
      </c>
      <c r="B164" s="904"/>
      <c r="C164" s="735"/>
      <c r="D164" s="734"/>
      <c r="E164" s="734"/>
      <c r="F164" s="734"/>
      <c r="G164" s="734"/>
      <c r="H164" s="734"/>
      <c r="I164" s="734"/>
      <c r="J164" s="75">
        <f t="shared" si="16"/>
        <v>0</v>
      </c>
      <c r="K164" s="75">
        <f t="shared" si="17"/>
        <v>0</v>
      </c>
      <c r="L164" s="734"/>
      <c r="M164" s="736"/>
    </row>
    <row r="165" spans="1:13" ht="13.5" x14ac:dyDescent="0.25">
      <c r="A165" s="749">
        <f>'Org structure'!E178</f>
        <v>0</v>
      </c>
      <c r="B165" s="904"/>
      <c r="C165" s="735"/>
      <c r="D165" s="734"/>
      <c r="E165" s="734"/>
      <c r="F165" s="734"/>
      <c r="G165" s="734"/>
      <c r="H165" s="734"/>
      <c r="I165" s="734"/>
      <c r="J165" s="75">
        <f t="shared" si="16"/>
        <v>0</v>
      </c>
      <c r="K165" s="75">
        <f t="shared" si="17"/>
        <v>0</v>
      </c>
      <c r="L165" s="734"/>
      <c r="M165" s="736"/>
    </row>
    <row r="166" spans="1:13" ht="13.5" x14ac:dyDescent="0.25">
      <c r="A166" s="749">
        <f>'Org structure'!E179</f>
        <v>0</v>
      </c>
      <c r="B166" s="904"/>
      <c r="C166" s="735"/>
      <c r="D166" s="734"/>
      <c r="E166" s="734"/>
      <c r="F166" s="734"/>
      <c r="G166" s="734"/>
      <c r="H166" s="734"/>
      <c r="I166" s="734"/>
      <c r="J166" s="75">
        <f t="shared" si="16"/>
        <v>0</v>
      </c>
      <c r="K166" s="75">
        <f t="shared" si="17"/>
        <v>0</v>
      </c>
      <c r="L166" s="734"/>
      <c r="M166" s="736"/>
    </row>
    <row r="167" spans="1:13" ht="13.5" x14ac:dyDescent="0.25">
      <c r="A167" s="749">
        <f>'Org structure'!E180</f>
        <v>0</v>
      </c>
      <c r="B167" s="904"/>
      <c r="C167" s="735"/>
      <c r="D167" s="734"/>
      <c r="E167" s="734"/>
      <c r="F167" s="734"/>
      <c r="G167" s="734"/>
      <c r="H167" s="734"/>
      <c r="I167" s="734"/>
      <c r="J167" s="75">
        <f t="shared" si="16"/>
        <v>0</v>
      </c>
      <c r="K167" s="75">
        <f t="shared" si="17"/>
        <v>0</v>
      </c>
      <c r="L167" s="734"/>
      <c r="M167" s="736"/>
    </row>
    <row r="168" spans="1:13" ht="13.5" x14ac:dyDescent="0.25">
      <c r="A168" s="749">
        <f>'Org structure'!E181</f>
        <v>0</v>
      </c>
      <c r="B168" s="904"/>
      <c r="C168" s="735"/>
      <c r="D168" s="734"/>
      <c r="E168" s="734"/>
      <c r="F168" s="734"/>
      <c r="G168" s="734"/>
      <c r="H168" s="734"/>
      <c r="I168" s="734"/>
      <c r="J168" s="75">
        <f t="shared" si="16"/>
        <v>0</v>
      </c>
      <c r="K168" s="75">
        <f t="shared" si="17"/>
        <v>0</v>
      </c>
      <c r="L168" s="734"/>
      <c r="M168" s="736"/>
    </row>
    <row r="169" spans="1:13" ht="13.5" x14ac:dyDescent="0.25">
      <c r="A169" s="749">
        <f>'Org structure'!E182</f>
        <v>0</v>
      </c>
      <c r="B169" s="904"/>
      <c r="C169" s="735"/>
      <c r="D169" s="734"/>
      <c r="E169" s="734"/>
      <c r="F169" s="734"/>
      <c r="G169" s="734"/>
      <c r="H169" s="734"/>
      <c r="I169" s="734"/>
      <c r="J169" s="75">
        <f t="shared" si="16"/>
        <v>0</v>
      </c>
      <c r="K169" s="75">
        <f t="shared" si="17"/>
        <v>0</v>
      </c>
      <c r="L169" s="734"/>
      <c r="M169" s="736"/>
    </row>
    <row r="170" spans="1:13" ht="13.5" x14ac:dyDescent="0.25">
      <c r="A170" s="749">
        <f>'Org structure'!E183</f>
        <v>0</v>
      </c>
      <c r="B170" s="904"/>
      <c r="C170" s="735"/>
      <c r="D170" s="734"/>
      <c r="E170" s="734"/>
      <c r="F170" s="734"/>
      <c r="G170" s="734"/>
      <c r="H170" s="734"/>
      <c r="I170" s="734"/>
      <c r="J170" s="75">
        <f t="shared" si="16"/>
        <v>0</v>
      </c>
      <c r="K170" s="75">
        <f t="shared" si="17"/>
        <v>0</v>
      </c>
      <c r="L170" s="734"/>
      <c r="M170" s="736"/>
    </row>
    <row r="171" spans="1:13" ht="13.5" x14ac:dyDescent="0.25">
      <c r="A171" s="749">
        <f>'Org structure'!E184</f>
        <v>0</v>
      </c>
      <c r="B171" s="904"/>
      <c r="C171" s="735"/>
      <c r="D171" s="734"/>
      <c r="E171" s="734"/>
      <c r="F171" s="734"/>
      <c r="G171" s="734"/>
      <c r="H171" s="734"/>
      <c r="I171" s="734"/>
      <c r="J171" s="75">
        <f t="shared" si="16"/>
        <v>0</v>
      </c>
      <c r="K171" s="75">
        <f t="shared" si="17"/>
        <v>0</v>
      </c>
      <c r="L171" s="734"/>
      <c r="M171" s="736"/>
    </row>
    <row r="172" spans="1:13" ht="13.5" x14ac:dyDescent="0.25">
      <c r="A172" s="737" t="s">
        <v>605</v>
      </c>
      <c r="B172" s="902">
        <v>2</v>
      </c>
      <c r="C172" s="739">
        <f>C7+C18+C29+C40+C51+C62+C73+C84+C95+C106+C117+C128+C139+C150+C161</f>
        <v>4682577911.0144005</v>
      </c>
      <c r="D172" s="738">
        <f t="shared" ref="D172:I172" si="21">D7+D18+D29+D40+D51+D62+D73+D84+D95+D106+D117+D128+D139+D150+D161</f>
        <v>4736720911.0144005</v>
      </c>
      <c r="E172" s="738">
        <f t="shared" si="21"/>
        <v>0</v>
      </c>
      <c r="F172" s="738">
        <f t="shared" si="21"/>
        <v>0</v>
      </c>
      <c r="G172" s="738">
        <f t="shared" si="21"/>
        <v>0</v>
      </c>
      <c r="H172" s="738">
        <f t="shared" si="21"/>
        <v>100212533</v>
      </c>
      <c r="I172" s="738">
        <f t="shared" si="21"/>
        <v>-53785984.014400005</v>
      </c>
      <c r="J172" s="75">
        <f>SUM(E172:I172)</f>
        <v>46426548.985599995</v>
      </c>
      <c r="K172" s="75">
        <f>IF(D172=0,C172+J172,D172+J172)</f>
        <v>4783147460</v>
      </c>
      <c r="L172" s="738">
        <f>L7+L18+L29+L40+L51+L62+L73+L84+L95+L106+L117+L128+L139+L150+L161</f>
        <v>4739754755.0251503</v>
      </c>
      <c r="M172" s="761">
        <f>M7+M18+M29+M40+M51+M62+M73+M84+M95+M106+M117+M128+M139+M150+M161</f>
        <v>4974339930.7056799</v>
      </c>
    </row>
    <row r="173" spans="1:13" ht="5.25" customHeight="1" x14ac:dyDescent="0.25">
      <c r="A173" s="740"/>
      <c r="B173" s="906"/>
      <c r="C173" s="742"/>
      <c r="D173" s="741"/>
      <c r="E173" s="741"/>
      <c r="F173" s="741"/>
      <c r="G173" s="741"/>
      <c r="H173" s="741"/>
      <c r="I173" s="741"/>
      <c r="J173" s="741"/>
      <c r="K173" s="741"/>
      <c r="L173" s="741"/>
      <c r="M173" s="762"/>
    </row>
    <row r="174" spans="1:13" ht="13.5" x14ac:dyDescent="0.25">
      <c r="A174" s="743" t="s">
        <v>606</v>
      </c>
      <c r="B174" s="907">
        <v>1</v>
      </c>
      <c r="C174" s="745"/>
      <c r="D174" s="744"/>
      <c r="E174" s="744"/>
      <c r="F174" s="744"/>
      <c r="G174" s="744"/>
      <c r="H174" s="744"/>
      <c r="I174" s="744"/>
      <c r="J174" s="744"/>
      <c r="K174" s="744"/>
      <c r="L174" s="744"/>
      <c r="M174" s="763"/>
    </row>
    <row r="175" spans="1:13" ht="13.5" x14ac:dyDescent="0.25">
      <c r="A175" s="746" t="str">
        <f>A7</f>
        <v>Vote 1 - CHIEF OPERATION OFFICE</v>
      </c>
      <c r="B175" s="908"/>
      <c r="C175" s="748">
        <f t="shared" ref="C175:I175" si="22">SUM(C176:C185)</f>
        <v>165657857</v>
      </c>
      <c r="D175" s="747">
        <f t="shared" si="22"/>
        <v>165657857</v>
      </c>
      <c r="E175" s="747">
        <f t="shared" si="22"/>
        <v>0</v>
      </c>
      <c r="F175" s="747">
        <f t="shared" si="22"/>
        <v>0</v>
      </c>
      <c r="G175" s="747">
        <f t="shared" si="22"/>
        <v>0</v>
      </c>
      <c r="H175" s="747">
        <f t="shared" si="22"/>
        <v>0</v>
      </c>
      <c r="I175" s="747">
        <f t="shared" si="22"/>
        <v>-19369354</v>
      </c>
      <c r="J175" s="75">
        <f>SUM(E175:I175)</f>
        <v>-19369354</v>
      </c>
      <c r="K175" s="75">
        <f>IF(D175=0,C175+J175,D175+J175)</f>
        <v>146288503</v>
      </c>
      <c r="L175" s="747">
        <f>SUM(L176:L185)</f>
        <v>179074891.17568341</v>
      </c>
      <c r="M175" s="764">
        <f>SUM(M176:M185)</f>
        <v>191863992.45468855</v>
      </c>
    </row>
    <row r="176" spans="1:13" ht="13.5" x14ac:dyDescent="0.25">
      <c r="A176" s="749" t="str">
        <f t="shared" ref="A176:A185" si="23">A8</f>
        <v>1.1 - CHIEF OPERATIONS OFFICE(ADMINISTRATION)</v>
      </c>
      <c r="B176" s="904"/>
      <c r="C176" s="382">
        <v>6360900</v>
      </c>
      <c r="D176" s="109">
        <v>6360900</v>
      </c>
      <c r="E176" s="109"/>
      <c r="F176" s="109"/>
      <c r="G176" s="109"/>
      <c r="H176" s="109"/>
      <c r="I176" s="109">
        <v>-278211</v>
      </c>
      <c r="J176" s="75">
        <f t="shared" ref="J176:J239" si="24">SUM(E176:I176)</f>
        <v>-278211</v>
      </c>
      <c r="K176" s="75">
        <f t="shared" ref="K176:K239" si="25">IF(D176=0,C176+J176,D176+J176)</f>
        <v>6082689</v>
      </c>
      <c r="L176" s="109">
        <v>6876084.8166676722</v>
      </c>
      <c r="M176" s="110">
        <v>7367158.3811749322</v>
      </c>
    </row>
    <row r="177" spans="1:13" ht="13.5" x14ac:dyDescent="0.25">
      <c r="A177" s="749" t="str">
        <f t="shared" si="23"/>
        <v>1.2 - LEGISLATIVE SUPPORT</v>
      </c>
      <c r="B177" s="904"/>
      <c r="C177" s="382">
        <v>21163872</v>
      </c>
      <c r="D177" s="109">
        <v>21163872</v>
      </c>
      <c r="E177" s="109"/>
      <c r="F177" s="109"/>
      <c r="G177" s="109"/>
      <c r="H177" s="109"/>
      <c r="I177" s="109">
        <v>3654653</v>
      </c>
      <c r="J177" s="75">
        <f t="shared" si="24"/>
        <v>3654653</v>
      </c>
      <c r="K177" s="75">
        <f t="shared" si="25"/>
        <v>24818525</v>
      </c>
      <c r="L177" s="109">
        <v>22877985.650002059</v>
      </c>
      <c r="M177" s="110">
        <v>24511876.775757123</v>
      </c>
    </row>
    <row r="178" spans="1:13" ht="13.5" x14ac:dyDescent="0.25">
      <c r="A178" s="749" t="str">
        <f t="shared" si="23"/>
        <v>1.3 - LEGAL SERVICES</v>
      </c>
      <c r="B178" s="904"/>
      <c r="C178" s="382">
        <v>32893968</v>
      </c>
      <c r="D178" s="109">
        <v>32893968</v>
      </c>
      <c r="E178" s="109"/>
      <c r="F178" s="109"/>
      <c r="G178" s="109"/>
      <c r="H178" s="109"/>
      <c r="I178" s="109">
        <v>-377033</v>
      </c>
      <c r="J178" s="75">
        <f t="shared" si="24"/>
        <v>-377033</v>
      </c>
      <c r="K178" s="75">
        <f t="shared" si="25"/>
        <v>32516935</v>
      </c>
      <c r="L178" s="109">
        <v>35558130.755828939</v>
      </c>
      <c r="M178" s="110">
        <v>38097607.57774844</v>
      </c>
    </row>
    <row r="179" spans="1:13" ht="13.5" x14ac:dyDescent="0.25">
      <c r="A179" s="749" t="str">
        <f t="shared" si="23"/>
        <v xml:space="preserve">1.4 - INTERGRATED DEVELOPMENT PLAN </v>
      </c>
      <c r="B179" s="904"/>
      <c r="C179" s="382">
        <v>19047180</v>
      </c>
      <c r="D179" s="109">
        <v>19047180</v>
      </c>
      <c r="E179" s="109"/>
      <c r="F179" s="109"/>
      <c r="G179" s="109"/>
      <c r="H179" s="109"/>
      <c r="I179" s="109">
        <v>-19047180</v>
      </c>
      <c r="J179" s="75">
        <f t="shared" si="24"/>
        <v>-19047180</v>
      </c>
      <c r="K179" s="75">
        <f t="shared" si="25"/>
        <v>0</v>
      </c>
      <c r="L179" s="109">
        <v>20589857.598505896</v>
      </c>
      <c r="M179" s="110">
        <v>22060336.080546394</v>
      </c>
    </row>
    <row r="180" spans="1:13" ht="13.5" x14ac:dyDescent="0.25">
      <c r="A180" s="749" t="str">
        <f t="shared" si="23"/>
        <v>1.5 - COMMUNICATIONS AND MARKETING</v>
      </c>
      <c r="B180" s="904"/>
      <c r="C180" s="382">
        <v>17043588</v>
      </c>
      <c r="D180" s="109">
        <v>17043588</v>
      </c>
      <c r="E180" s="109"/>
      <c r="F180" s="109"/>
      <c r="G180" s="109"/>
      <c r="H180" s="109"/>
      <c r="I180" s="109">
        <v>-4465835</v>
      </c>
      <c r="J180" s="75">
        <f t="shared" si="24"/>
        <v>-4465835</v>
      </c>
      <c r="K180" s="75">
        <f t="shared" si="25"/>
        <v>12577753</v>
      </c>
      <c r="L180" s="109">
        <v>18423989.792063914</v>
      </c>
      <c r="M180" s="110">
        <v>19739787.165258456</v>
      </c>
    </row>
    <row r="181" spans="1:13" ht="13.5" x14ac:dyDescent="0.25">
      <c r="A181" s="749" t="str">
        <f t="shared" si="23"/>
        <v>1.6 - PROJECT MANAGEMENT UNIT</v>
      </c>
      <c r="B181" s="904"/>
      <c r="C181" s="382">
        <v>31805380</v>
      </c>
      <c r="D181" s="109">
        <v>31805380</v>
      </c>
      <c r="E181" s="109"/>
      <c r="F181" s="109"/>
      <c r="G181" s="109"/>
      <c r="H181" s="109"/>
      <c r="I181" s="109">
        <v>1194426</v>
      </c>
      <c r="J181" s="75">
        <f t="shared" si="24"/>
        <v>1194426</v>
      </c>
      <c r="K181" s="75">
        <f t="shared" si="25"/>
        <v>32999806</v>
      </c>
      <c r="L181" s="109">
        <v>34381375.356686264</v>
      </c>
      <c r="M181" s="110">
        <v>36836811.116894402</v>
      </c>
    </row>
    <row r="182" spans="1:13" ht="13.5" x14ac:dyDescent="0.25">
      <c r="A182" s="749" t="str">
        <f t="shared" si="23"/>
        <v>1.7 - PERFORMANCE MANAGEMENT</v>
      </c>
      <c r="B182" s="904"/>
      <c r="C182" s="382">
        <v>4044780</v>
      </c>
      <c r="D182" s="109">
        <v>4044780</v>
      </c>
      <c r="E182" s="109"/>
      <c r="F182" s="109"/>
      <c r="G182" s="109"/>
      <c r="H182" s="109"/>
      <c r="I182" s="109">
        <v>-524549</v>
      </c>
      <c r="J182" s="75">
        <f t="shared" si="24"/>
        <v>-524549</v>
      </c>
      <c r="K182" s="75">
        <f t="shared" si="25"/>
        <v>3520231</v>
      </c>
      <c r="L182" s="109">
        <v>4372376.6046881834</v>
      </c>
      <c r="M182" s="110">
        <v>4684641.3050053827</v>
      </c>
    </row>
    <row r="183" spans="1:13" ht="13.5" x14ac:dyDescent="0.25">
      <c r="A183" s="749" t="str">
        <f t="shared" si="23"/>
        <v>1.8 - CLUSTER</v>
      </c>
      <c r="B183" s="904"/>
      <c r="C183" s="382">
        <v>13164480</v>
      </c>
      <c r="D183" s="109">
        <v>13164480</v>
      </c>
      <c r="E183" s="109"/>
      <c r="F183" s="109"/>
      <c r="G183" s="109"/>
      <c r="H183" s="109"/>
      <c r="I183" s="109">
        <v>137375</v>
      </c>
      <c r="J183" s="75">
        <f t="shared" si="24"/>
        <v>137375</v>
      </c>
      <c r="K183" s="75">
        <f t="shared" si="25"/>
        <v>13301855</v>
      </c>
      <c r="L183" s="109">
        <v>14230703.367027503</v>
      </c>
      <c r="M183" s="110">
        <v>15247026.23305032</v>
      </c>
    </row>
    <row r="184" spans="1:13" ht="13.5" x14ac:dyDescent="0.25">
      <c r="A184" s="749" t="str">
        <f t="shared" si="23"/>
        <v>1.9 - EXECUTIVE SUPPORT</v>
      </c>
      <c r="B184" s="904"/>
      <c r="C184" s="382">
        <v>20538396</v>
      </c>
      <c r="D184" s="109">
        <v>20538396</v>
      </c>
      <c r="E184" s="109"/>
      <c r="F184" s="109"/>
      <c r="G184" s="109"/>
      <c r="H184" s="109"/>
      <c r="I184" s="109">
        <v>-67687</v>
      </c>
      <c r="J184" s="75">
        <f t="shared" si="24"/>
        <v>-67687</v>
      </c>
      <c r="K184" s="75">
        <f t="shared" si="25"/>
        <v>20470709</v>
      </c>
      <c r="L184" s="109">
        <v>22201850.822101913</v>
      </c>
      <c r="M184" s="110">
        <v>23787454.012370847</v>
      </c>
    </row>
    <row r="185" spans="1:13" ht="13.5" x14ac:dyDescent="0.25">
      <c r="A185" s="749">
        <f t="shared" si="23"/>
        <v>0</v>
      </c>
      <c r="B185" s="904"/>
      <c r="C185" s="382">
        <v>-404687</v>
      </c>
      <c r="D185" s="109">
        <v>-404687</v>
      </c>
      <c r="E185" s="109"/>
      <c r="F185" s="109"/>
      <c r="G185" s="109"/>
      <c r="H185" s="109"/>
      <c r="I185" s="109">
        <v>404687</v>
      </c>
      <c r="J185" s="75">
        <f t="shared" si="24"/>
        <v>404687</v>
      </c>
      <c r="K185" s="75">
        <f t="shared" si="25"/>
        <v>0</v>
      </c>
      <c r="L185" s="109">
        <v>-437463.58788894501</v>
      </c>
      <c r="M185" s="110">
        <v>-468706.19311772549</v>
      </c>
    </row>
    <row r="186" spans="1:13" ht="13.5" x14ac:dyDescent="0.25">
      <c r="A186" s="746" t="str">
        <f>A18</f>
        <v>Vote 2 - MUNICIPAL MANAGER'S OFFICE</v>
      </c>
      <c r="B186" s="903"/>
      <c r="C186" s="733">
        <f t="shared" ref="C186:I186" si="26">SUM(C187:C196)</f>
        <v>357910903</v>
      </c>
      <c r="D186" s="732">
        <f t="shared" si="26"/>
        <v>357910903</v>
      </c>
      <c r="E186" s="732">
        <f t="shared" si="26"/>
        <v>0</v>
      </c>
      <c r="F186" s="732">
        <f t="shared" si="26"/>
        <v>0</v>
      </c>
      <c r="G186" s="732">
        <f t="shared" si="26"/>
        <v>0</v>
      </c>
      <c r="H186" s="732">
        <f t="shared" si="26"/>
        <v>0</v>
      </c>
      <c r="I186" s="732">
        <f t="shared" si="26"/>
        <v>20626976</v>
      </c>
      <c r="J186" s="75">
        <f t="shared" si="24"/>
        <v>20626976</v>
      </c>
      <c r="K186" s="75">
        <f t="shared" si="25"/>
        <v>378537879</v>
      </c>
      <c r="L186" s="732">
        <f>SUM(L187:L196)</f>
        <v>386898980.62194282</v>
      </c>
      <c r="M186" s="760">
        <f>SUM(M187:M196)</f>
        <v>414530382.29658359</v>
      </c>
    </row>
    <row r="187" spans="1:13" ht="13.5" x14ac:dyDescent="0.25">
      <c r="A187" s="749" t="str">
        <f t="shared" ref="A187:A218" si="27">A19</f>
        <v>2.1 - COUNCILLORS</v>
      </c>
      <c r="B187" s="904"/>
      <c r="C187" s="382">
        <v>318391368</v>
      </c>
      <c r="D187" s="109">
        <v>318391368</v>
      </c>
      <c r="E187" s="109"/>
      <c r="F187" s="109"/>
      <c r="G187" s="109"/>
      <c r="H187" s="109"/>
      <c r="I187" s="109">
        <v>26307735</v>
      </c>
      <c r="J187" s="75">
        <f t="shared" si="24"/>
        <v>26307735</v>
      </c>
      <c r="K187" s="75">
        <f t="shared" si="25"/>
        <v>344699103</v>
      </c>
      <c r="L187" s="109">
        <v>344178662.02311772</v>
      </c>
      <c r="M187" s="110">
        <v>368759080.51611441</v>
      </c>
    </row>
    <row r="188" spans="1:13" ht="13.5" x14ac:dyDescent="0.25">
      <c r="A188" s="749" t="str">
        <f t="shared" si="27"/>
        <v>2.2 - MUNICIPAL MANAGER</v>
      </c>
      <c r="B188" s="904"/>
      <c r="C188" s="382">
        <v>28173876</v>
      </c>
      <c r="D188" s="109">
        <v>28173876</v>
      </c>
      <c r="E188" s="109"/>
      <c r="F188" s="109"/>
      <c r="G188" s="109"/>
      <c r="H188" s="109"/>
      <c r="I188" s="109">
        <v>-11051102</v>
      </c>
      <c r="J188" s="75">
        <f t="shared" si="24"/>
        <v>-11051102</v>
      </c>
      <c r="K188" s="75">
        <f t="shared" si="25"/>
        <v>17122774</v>
      </c>
      <c r="L188" s="109">
        <v>30455746.983961035</v>
      </c>
      <c r="M188" s="110">
        <v>32630823.736198228</v>
      </c>
    </row>
    <row r="189" spans="1:13" ht="13.5" x14ac:dyDescent="0.25">
      <c r="A189" s="749" t="str">
        <f t="shared" si="27"/>
        <v>2.3 - RISK MANAGEMENT</v>
      </c>
      <c r="B189" s="904"/>
      <c r="C189" s="382">
        <v>3415176</v>
      </c>
      <c r="D189" s="109">
        <v>3415176</v>
      </c>
      <c r="E189" s="109"/>
      <c r="F189" s="109"/>
      <c r="G189" s="109"/>
      <c r="H189" s="109"/>
      <c r="I189" s="109">
        <v>1552963</v>
      </c>
      <c r="J189" s="75">
        <f t="shared" si="24"/>
        <v>1552963</v>
      </c>
      <c r="K189" s="75">
        <f t="shared" si="25"/>
        <v>4968139</v>
      </c>
      <c r="L189" s="109">
        <v>3691779.4399924278</v>
      </c>
      <c r="M189" s="110">
        <v>3955437.515381075</v>
      </c>
    </row>
    <row r="190" spans="1:13" ht="13.5" x14ac:dyDescent="0.25">
      <c r="A190" s="749" t="str">
        <f t="shared" si="27"/>
        <v xml:space="preserve">2.4 - INTERNAL AUDIT </v>
      </c>
      <c r="B190" s="904"/>
      <c r="C190" s="382">
        <v>11812584</v>
      </c>
      <c r="D190" s="109">
        <v>11812584</v>
      </c>
      <c r="E190" s="109"/>
      <c r="F190" s="109"/>
      <c r="G190" s="109"/>
      <c r="H190" s="109"/>
      <c r="I190" s="109">
        <v>-64721</v>
      </c>
      <c r="J190" s="75">
        <f t="shared" si="24"/>
        <v>-64721</v>
      </c>
      <c r="K190" s="75">
        <f t="shared" si="25"/>
        <v>11747863</v>
      </c>
      <c r="L190" s="109">
        <v>12769314.01028337</v>
      </c>
      <c r="M190" s="110">
        <v>13681267.936759409</v>
      </c>
    </row>
    <row r="191" spans="1:13" ht="13.5" x14ac:dyDescent="0.25">
      <c r="A191" s="749">
        <f t="shared" si="27"/>
        <v>0</v>
      </c>
      <c r="B191" s="904"/>
      <c r="C191" s="382">
        <v>-3882101</v>
      </c>
      <c r="D191" s="109">
        <v>-3882101</v>
      </c>
      <c r="E191" s="109"/>
      <c r="F191" s="109"/>
      <c r="G191" s="109"/>
      <c r="H191" s="109"/>
      <c r="I191" s="109">
        <v>3882101</v>
      </c>
      <c r="J191" s="75">
        <f t="shared" si="24"/>
        <v>3882101</v>
      </c>
      <c r="K191" s="75">
        <f t="shared" si="25"/>
        <v>0</v>
      </c>
      <c r="L191" s="109">
        <v>-4196521.8354117163</v>
      </c>
      <c r="M191" s="110">
        <v>-4496227.4078695755</v>
      </c>
    </row>
    <row r="192" spans="1:13" ht="13.5" x14ac:dyDescent="0.25">
      <c r="A192" s="749">
        <f t="shared" si="27"/>
        <v>0</v>
      </c>
      <c r="B192" s="904"/>
      <c r="C192" s="382"/>
      <c r="D192" s="109">
        <v>0</v>
      </c>
      <c r="E192" s="109"/>
      <c r="F192" s="109"/>
      <c r="G192" s="109"/>
      <c r="H192" s="109"/>
      <c r="I192" s="109">
        <v>0</v>
      </c>
      <c r="J192" s="75">
        <f t="shared" si="24"/>
        <v>0</v>
      </c>
      <c r="K192" s="75">
        <f t="shared" si="25"/>
        <v>0</v>
      </c>
      <c r="L192" s="109"/>
      <c r="M192" s="110"/>
    </row>
    <row r="193" spans="1:13" ht="13.5" x14ac:dyDescent="0.25">
      <c r="A193" s="749">
        <f t="shared" si="27"/>
        <v>0</v>
      </c>
      <c r="B193" s="904"/>
      <c r="C193" s="382"/>
      <c r="D193" s="109">
        <v>0</v>
      </c>
      <c r="E193" s="109"/>
      <c r="F193" s="109"/>
      <c r="G193" s="109"/>
      <c r="H193" s="109"/>
      <c r="I193" s="109">
        <v>0</v>
      </c>
      <c r="J193" s="75">
        <f t="shared" si="24"/>
        <v>0</v>
      </c>
      <c r="K193" s="75">
        <f t="shared" si="25"/>
        <v>0</v>
      </c>
      <c r="L193" s="109"/>
      <c r="M193" s="110"/>
    </row>
    <row r="194" spans="1:13" ht="13.5" x14ac:dyDescent="0.25">
      <c r="A194" s="749">
        <f t="shared" si="27"/>
        <v>0</v>
      </c>
      <c r="B194" s="904"/>
      <c r="C194" s="382"/>
      <c r="D194" s="109">
        <v>0</v>
      </c>
      <c r="E194" s="109"/>
      <c r="F194" s="109"/>
      <c r="G194" s="109"/>
      <c r="H194" s="109"/>
      <c r="I194" s="109">
        <v>0</v>
      </c>
      <c r="J194" s="75">
        <f t="shared" si="24"/>
        <v>0</v>
      </c>
      <c r="K194" s="75">
        <f t="shared" si="25"/>
        <v>0</v>
      </c>
      <c r="L194" s="109"/>
      <c r="M194" s="110"/>
    </row>
    <row r="195" spans="1:13" ht="13.5" x14ac:dyDescent="0.25">
      <c r="A195" s="749">
        <f t="shared" si="27"/>
        <v>0</v>
      </c>
      <c r="B195" s="904"/>
      <c r="C195" s="382"/>
      <c r="D195" s="109">
        <v>0</v>
      </c>
      <c r="E195" s="109"/>
      <c r="F195" s="109"/>
      <c r="G195" s="109"/>
      <c r="H195" s="109"/>
      <c r="I195" s="109">
        <v>0</v>
      </c>
      <c r="J195" s="75">
        <f t="shared" si="24"/>
        <v>0</v>
      </c>
      <c r="K195" s="75">
        <f t="shared" si="25"/>
        <v>0</v>
      </c>
      <c r="L195" s="109"/>
      <c r="M195" s="110"/>
    </row>
    <row r="196" spans="1:13" ht="13.5" x14ac:dyDescent="0.25">
      <c r="A196" s="749">
        <f t="shared" si="27"/>
        <v>0</v>
      </c>
      <c r="B196" s="904"/>
      <c r="C196" s="382"/>
      <c r="D196" s="109">
        <v>0</v>
      </c>
      <c r="E196" s="109"/>
      <c r="F196" s="109"/>
      <c r="G196" s="109"/>
      <c r="H196" s="109"/>
      <c r="I196" s="109">
        <v>0</v>
      </c>
      <c r="J196" s="75">
        <f t="shared" si="24"/>
        <v>0</v>
      </c>
      <c r="K196" s="75">
        <f t="shared" si="25"/>
        <v>0</v>
      </c>
      <c r="L196" s="109"/>
      <c r="M196" s="110"/>
    </row>
    <row r="197" spans="1:13" ht="13.5" x14ac:dyDescent="0.25">
      <c r="A197" s="746" t="str">
        <f t="shared" si="27"/>
        <v>Vote 3 - WATER AND SANITATION</v>
      </c>
      <c r="B197" s="903"/>
      <c r="C197" s="733">
        <f t="shared" ref="C197:I197" si="28">SUM(C198:C207)</f>
        <v>446538856</v>
      </c>
      <c r="D197" s="732">
        <f t="shared" si="28"/>
        <v>476538856</v>
      </c>
      <c r="E197" s="732">
        <f t="shared" si="28"/>
        <v>0</v>
      </c>
      <c r="F197" s="732">
        <f t="shared" si="28"/>
        <v>0</v>
      </c>
      <c r="G197" s="732">
        <f t="shared" si="28"/>
        <v>0</v>
      </c>
      <c r="H197" s="732">
        <f t="shared" si="28"/>
        <v>12619994</v>
      </c>
      <c r="I197" s="732">
        <f t="shared" si="28"/>
        <v>131813869</v>
      </c>
      <c r="J197" s="75">
        <f t="shared" si="24"/>
        <v>144433863</v>
      </c>
      <c r="K197" s="75">
        <f t="shared" si="25"/>
        <v>620972719</v>
      </c>
      <c r="L197" s="732">
        <f>SUM(L198:L207)</f>
        <v>482705127.85828298</v>
      </c>
      <c r="M197" s="760">
        <f>SUM(M198:M207)</f>
        <v>517178775.88087636</v>
      </c>
    </row>
    <row r="198" spans="1:13" ht="13.5" x14ac:dyDescent="0.25">
      <c r="A198" s="749" t="str">
        <f t="shared" si="27"/>
        <v>3.1 - WATER AND SANITATION ADMIN</v>
      </c>
      <c r="B198" s="904"/>
      <c r="C198" s="382">
        <v>30327996</v>
      </c>
      <c r="D198" s="109">
        <v>60327996</v>
      </c>
      <c r="E198" s="109"/>
      <c r="F198" s="109"/>
      <c r="G198" s="109"/>
      <c r="H198" s="109"/>
      <c r="I198" s="109">
        <v>118521163</v>
      </c>
      <c r="J198" s="75">
        <f t="shared" si="24"/>
        <v>118521163</v>
      </c>
      <c r="K198" s="75">
        <f t="shared" si="25"/>
        <v>178849159</v>
      </c>
      <c r="L198" s="109">
        <v>32784334.420531355</v>
      </c>
      <c r="M198" s="110">
        <v>35125713.329189241</v>
      </c>
    </row>
    <row r="199" spans="1:13" ht="13.5" x14ac:dyDescent="0.25">
      <c r="A199" s="749" t="str">
        <f t="shared" si="27"/>
        <v>3.2 - RETICULATION, DISTRIBUTIION AND MAITENANCE, WATER DEMAND AND COSERVATION</v>
      </c>
      <c r="B199" s="904"/>
      <c r="C199" s="382">
        <v>300939216</v>
      </c>
      <c r="D199" s="109">
        <v>300939216</v>
      </c>
      <c r="E199" s="109"/>
      <c r="F199" s="109"/>
      <c r="G199" s="109"/>
      <c r="H199" s="109">
        <v>12619994</v>
      </c>
      <c r="I199" s="109">
        <v>39580017</v>
      </c>
      <c r="J199" s="75">
        <f t="shared" si="24"/>
        <v>52200011</v>
      </c>
      <c r="K199" s="75">
        <f t="shared" si="25"/>
        <v>353139227</v>
      </c>
      <c r="L199" s="109">
        <v>325313017.63547188</v>
      </c>
      <c r="M199" s="110">
        <v>348546096.83827972</v>
      </c>
    </row>
    <row r="200" spans="1:13" ht="13.5" x14ac:dyDescent="0.25">
      <c r="A200" s="749" t="str">
        <f t="shared" si="27"/>
        <v>3.3 - OPERATIONS, WATER AND WASTE WATER, QUALITY MANAGEMENT AND LABORATORY SERVICES</v>
      </c>
      <c r="B200" s="904"/>
      <c r="C200" s="382">
        <v>82121292</v>
      </c>
      <c r="D200" s="109">
        <v>82121292</v>
      </c>
      <c r="E200" s="109"/>
      <c r="F200" s="109"/>
      <c r="G200" s="109"/>
      <c r="H200" s="109"/>
      <c r="I200" s="109">
        <v>-26080025</v>
      </c>
      <c r="J200" s="75">
        <f t="shared" si="24"/>
        <v>-26080025</v>
      </c>
      <c r="K200" s="75">
        <f t="shared" si="25"/>
        <v>56041267</v>
      </c>
      <c r="L200" s="109">
        <v>88772495.880509421</v>
      </c>
      <c r="M200" s="110">
        <v>95112415.637836456</v>
      </c>
    </row>
    <row r="201" spans="1:13" ht="13.5" x14ac:dyDescent="0.25">
      <c r="A201" s="749" t="str">
        <f t="shared" si="27"/>
        <v>3.4 - QUALITY MONITORING SERVICES</v>
      </c>
      <c r="B201" s="904"/>
      <c r="C201" s="382">
        <v>14509692</v>
      </c>
      <c r="D201" s="109">
        <v>14509692</v>
      </c>
      <c r="E201" s="109"/>
      <c r="F201" s="109"/>
      <c r="G201" s="109"/>
      <c r="H201" s="109"/>
      <c r="I201" s="109">
        <v>9492549</v>
      </c>
      <c r="J201" s="75">
        <f t="shared" si="24"/>
        <v>9492549</v>
      </c>
      <c r="K201" s="75">
        <f t="shared" si="25"/>
        <v>24002241</v>
      </c>
      <c r="L201" s="109">
        <v>15684867.370297346</v>
      </c>
      <c r="M201" s="110">
        <v>16805043.158368606</v>
      </c>
    </row>
    <row r="202" spans="1:13" ht="13.5" x14ac:dyDescent="0.25">
      <c r="A202" s="749" t="str">
        <f t="shared" si="27"/>
        <v>3.5 - RETICULATION, DISTRIBUTIION AND MAITENANCE, WATER DEMAND AND COSERVATION</v>
      </c>
      <c r="B202" s="904"/>
      <c r="C202" s="382">
        <v>8859084</v>
      </c>
      <c r="D202" s="109">
        <v>8859084</v>
      </c>
      <c r="E202" s="109"/>
      <c r="F202" s="109"/>
      <c r="G202" s="109"/>
      <c r="H202" s="109"/>
      <c r="I202" s="109">
        <v>-8859084</v>
      </c>
      <c r="J202" s="75">
        <f t="shared" si="24"/>
        <v>-8859084</v>
      </c>
      <c r="K202" s="75">
        <f t="shared" si="25"/>
        <v>0</v>
      </c>
      <c r="L202" s="109">
        <v>9576602.8363884836</v>
      </c>
      <c r="M202" s="110">
        <v>10260540.951772979</v>
      </c>
    </row>
    <row r="203" spans="1:13" ht="13.5" x14ac:dyDescent="0.25">
      <c r="A203" s="749" t="str">
        <f t="shared" si="27"/>
        <v>3.6 - RETICULATION, DISTRIBUTIION AND MAITENANCE, WATER DEMAND AND COSERVATION</v>
      </c>
      <c r="B203" s="904"/>
      <c r="C203" s="382">
        <v>9781576</v>
      </c>
      <c r="D203" s="109">
        <v>9781576</v>
      </c>
      <c r="E203" s="109"/>
      <c r="F203" s="109"/>
      <c r="G203" s="109"/>
      <c r="H203" s="109"/>
      <c r="I203" s="109">
        <v>-9781576</v>
      </c>
      <c r="J203" s="75">
        <f t="shared" si="24"/>
        <v>-9781576</v>
      </c>
      <c r="K203" s="75">
        <f t="shared" si="25"/>
        <v>0</v>
      </c>
      <c r="L203" s="109">
        <v>10573809.715084486</v>
      </c>
      <c r="M203" s="110">
        <v>11328965.965429353</v>
      </c>
    </row>
    <row r="204" spans="1:13" ht="13.5" x14ac:dyDescent="0.25">
      <c r="A204" s="749" t="str">
        <f t="shared" si="27"/>
        <v>3.7 - INFRASTRUCTURE DEVELOPMENT, PLANNING AND RETICULATION DESIGN</v>
      </c>
      <c r="B204" s="904"/>
      <c r="C204" s="382"/>
      <c r="D204" s="109">
        <v>0</v>
      </c>
      <c r="E204" s="109"/>
      <c r="F204" s="109"/>
      <c r="G204" s="109"/>
      <c r="H204" s="109"/>
      <c r="I204" s="109">
        <v>8940825</v>
      </c>
      <c r="J204" s="75">
        <f t="shared" si="24"/>
        <v>8940825</v>
      </c>
      <c r="K204" s="75">
        <f t="shared" si="25"/>
        <v>8940825</v>
      </c>
      <c r="L204" s="109"/>
      <c r="M204" s="110"/>
    </row>
    <row r="205" spans="1:13" ht="13.5" x14ac:dyDescent="0.25">
      <c r="A205" s="749">
        <f t="shared" si="27"/>
        <v>0</v>
      </c>
      <c r="B205" s="904"/>
      <c r="C205" s="382"/>
      <c r="D205" s="109">
        <v>0</v>
      </c>
      <c r="E205" s="109"/>
      <c r="F205" s="109"/>
      <c r="G205" s="109"/>
      <c r="H205" s="109"/>
      <c r="I205" s="109">
        <v>0</v>
      </c>
      <c r="J205" s="75">
        <f t="shared" si="24"/>
        <v>0</v>
      </c>
      <c r="K205" s="75">
        <f t="shared" si="25"/>
        <v>0</v>
      </c>
      <c r="L205" s="109"/>
      <c r="M205" s="110"/>
    </row>
    <row r="206" spans="1:13" ht="13.5" x14ac:dyDescent="0.25">
      <c r="A206" s="749">
        <f t="shared" si="27"/>
        <v>0</v>
      </c>
      <c r="B206" s="904"/>
      <c r="C206" s="382"/>
      <c r="D206" s="109">
        <v>0</v>
      </c>
      <c r="E206" s="109"/>
      <c r="F206" s="109"/>
      <c r="G206" s="109"/>
      <c r="H206" s="109"/>
      <c r="I206" s="109">
        <v>0</v>
      </c>
      <c r="J206" s="75">
        <f t="shared" si="24"/>
        <v>0</v>
      </c>
      <c r="K206" s="75">
        <f t="shared" si="25"/>
        <v>0</v>
      </c>
      <c r="L206" s="109"/>
      <c r="M206" s="110"/>
    </row>
    <row r="207" spans="1:13" ht="13.5" x14ac:dyDescent="0.25">
      <c r="A207" s="749">
        <f t="shared" si="27"/>
        <v>0</v>
      </c>
      <c r="B207" s="904"/>
      <c r="C207" s="382"/>
      <c r="D207" s="109">
        <v>0</v>
      </c>
      <c r="E207" s="109"/>
      <c r="F207" s="109"/>
      <c r="G207" s="109"/>
      <c r="H207" s="109"/>
      <c r="I207" s="109">
        <v>0</v>
      </c>
      <c r="J207" s="75">
        <f t="shared" si="24"/>
        <v>0</v>
      </c>
      <c r="K207" s="75">
        <f t="shared" si="25"/>
        <v>0</v>
      </c>
      <c r="L207" s="109"/>
      <c r="M207" s="110"/>
    </row>
    <row r="208" spans="1:13" ht="13.5" x14ac:dyDescent="0.25">
      <c r="A208" s="746" t="str">
        <f t="shared" si="27"/>
        <v>Vote 4 - ENERGY</v>
      </c>
      <c r="B208" s="903"/>
      <c r="C208" s="733">
        <f t="shared" ref="C208:I208" si="29">SUM(C209:C218)</f>
        <v>924808134.39999998</v>
      </c>
      <c r="D208" s="732">
        <f t="shared" si="29"/>
        <v>904808134.39999998</v>
      </c>
      <c r="E208" s="732">
        <f t="shared" si="29"/>
        <v>0</v>
      </c>
      <c r="F208" s="732">
        <f t="shared" si="29"/>
        <v>0</v>
      </c>
      <c r="G208" s="732">
        <f t="shared" si="29"/>
        <v>0</v>
      </c>
      <c r="H208" s="732">
        <f t="shared" si="29"/>
        <v>0</v>
      </c>
      <c r="I208" s="732">
        <f t="shared" si="29"/>
        <v>60633979.600000024</v>
      </c>
      <c r="J208" s="75">
        <f t="shared" si="24"/>
        <v>60633979.600000024</v>
      </c>
      <c r="K208" s="75">
        <f t="shared" si="25"/>
        <v>965442114</v>
      </c>
      <c r="L208" s="732">
        <f>SUM(L209:L218)</f>
        <v>999710602.47427189</v>
      </c>
      <c r="M208" s="760">
        <f>SUM(M209:M218)</f>
        <v>1071107547.4105413</v>
      </c>
    </row>
    <row r="209" spans="1:13" ht="13.5" x14ac:dyDescent="0.25">
      <c r="A209" s="749" t="str">
        <f t="shared" si="27"/>
        <v>4.1 - ENERGY SERVICES ADMIN</v>
      </c>
      <c r="B209" s="904"/>
      <c r="C209" s="382">
        <v>6545412</v>
      </c>
      <c r="D209" s="109">
        <v>6545412</v>
      </c>
      <c r="E209" s="109"/>
      <c r="F209" s="109"/>
      <c r="G209" s="109"/>
      <c r="H209" s="109"/>
      <c r="I209" s="109">
        <v>-2596056</v>
      </c>
      <c r="J209" s="75">
        <f t="shared" si="24"/>
        <v>-2596056</v>
      </c>
      <c r="K209" s="75">
        <f t="shared" si="25"/>
        <v>3949356</v>
      </c>
      <c r="L209" s="109">
        <v>7075540.8939040676</v>
      </c>
      <c r="M209" s="110">
        <v>7580859.1353492402</v>
      </c>
    </row>
    <row r="210" spans="1:13" ht="13.5" x14ac:dyDescent="0.25">
      <c r="A210" s="749" t="str">
        <f t="shared" si="27"/>
        <v>4.2 - ENERGY OPERATIONS AND MAITENANCE ADMINISTRATION</v>
      </c>
      <c r="B210" s="904"/>
      <c r="C210" s="382">
        <v>30207276</v>
      </c>
      <c r="D210" s="109">
        <v>30207276</v>
      </c>
      <c r="E210" s="109"/>
      <c r="F210" s="109"/>
      <c r="G210" s="109"/>
      <c r="H210" s="109"/>
      <c r="I210" s="109">
        <v>2638359</v>
      </c>
      <c r="J210" s="75">
        <f t="shared" si="24"/>
        <v>2638359</v>
      </c>
      <c r="K210" s="75">
        <f t="shared" si="25"/>
        <v>32845635</v>
      </c>
      <c r="L210" s="109">
        <v>32653837.013078302</v>
      </c>
      <c r="M210" s="110">
        <v>34985896.108391009</v>
      </c>
    </row>
    <row r="211" spans="1:13" ht="13.5" x14ac:dyDescent="0.25">
      <c r="A211" s="749" t="str">
        <f t="shared" si="27"/>
        <v>4.3 - ENERGY SERVICES: 66KV OPERATIONS, MAITENANCE. SCADA AND PROTECTION</v>
      </c>
      <c r="B211" s="904"/>
      <c r="C211" s="382">
        <v>33464280</v>
      </c>
      <c r="D211" s="109">
        <v>33464280</v>
      </c>
      <c r="E211" s="109"/>
      <c r="F211" s="109"/>
      <c r="G211" s="109"/>
      <c r="H211" s="109"/>
      <c r="I211" s="109">
        <v>-1633482</v>
      </c>
      <c r="J211" s="75">
        <f t="shared" si="24"/>
        <v>-1633482</v>
      </c>
      <c r="K211" s="75">
        <f t="shared" si="25"/>
        <v>31830798</v>
      </c>
      <c r="L211" s="109">
        <v>36174633.71672494</v>
      </c>
      <c r="M211" s="110">
        <v>38758139.708529405</v>
      </c>
    </row>
    <row r="212" spans="1:13" ht="13.5" x14ac:dyDescent="0.25">
      <c r="A212" s="749" t="str">
        <f t="shared" si="27"/>
        <v>4.4 - ENERGY SERVICES: 11KV OPERATIONS, MAITENANCE. AND CONSTRUCTION</v>
      </c>
      <c r="B212" s="904"/>
      <c r="C212" s="382">
        <v>877253576.39999998</v>
      </c>
      <c r="D212" s="109">
        <v>857253576.39999998</v>
      </c>
      <c r="E212" s="109"/>
      <c r="F212" s="109"/>
      <c r="G212" s="109"/>
      <c r="H212" s="109"/>
      <c r="I212" s="109">
        <v>38416020.600000024</v>
      </c>
      <c r="J212" s="75">
        <f t="shared" si="24"/>
        <v>38416020.600000024</v>
      </c>
      <c r="K212" s="75">
        <f t="shared" si="25"/>
        <v>895669597</v>
      </c>
      <c r="L212" s="109">
        <v>948304484.7508142</v>
      </c>
      <c r="M212" s="110">
        <v>1016030127.4648154</v>
      </c>
    </row>
    <row r="213" spans="1:13" ht="13.5" x14ac:dyDescent="0.25">
      <c r="A213" s="749" t="str">
        <f t="shared" si="27"/>
        <v>4.5 - ENERGY SERVICES : PLANNING AND DEVELOPMENT</v>
      </c>
      <c r="B213" s="904"/>
      <c r="C213" s="382">
        <v>14388588</v>
      </c>
      <c r="D213" s="109">
        <v>14388588</v>
      </c>
      <c r="E213" s="109"/>
      <c r="F213" s="109"/>
      <c r="G213" s="109"/>
      <c r="H213" s="109"/>
      <c r="I213" s="109">
        <v>-13241860</v>
      </c>
      <c r="J213" s="75">
        <f t="shared" si="24"/>
        <v>-13241860</v>
      </c>
      <c r="K213" s="75">
        <f t="shared" si="25"/>
        <v>1146728</v>
      </c>
      <c r="L213" s="109">
        <v>15553954.861747028</v>
      </c>
      <c r="M213" s="110">
        <v>16664781.190943588</v>
      </c>
    </row>
    <row r="214" spans="1:13" ht="13.5" x14ac:dyDescent="0.25">
      <c r="A214" s="749">
        <f t="shared" si="27"/>
        <v>0</v>
      </c>
      <c r="B214" s="904"/>
      <c r="C214" s="382">
        <v>-37050998</v>
      </c>
      <c r="D214" s="109">
        <v>-37050998</v>
      </c>
      <c r="E214" s="109"/>
      <c r="F214" s="109"/>
      <c r="G214" s="109"/>
      <c r="H214" s="109"/>
      <c r="I214" s="109">
        <v>37050998</v>
      </c>
      <c r="J214" s="75">
        <f t="shared" si="24"/>
        <v>37050998</v>
      </c>
      <c r="K214" s="75">
        <f t="shared" si="25"/>
        <v>0</v>
      </c>
      <c r="L214" s="109">
        <v>-40051848.761996619</v>
      </c>
      <c r="M214" s="110">
        <v>-42912256.197487094</v>
      </c>
    </row>
    <row r="215" spans="1:13" ht="13.5" x14ac:dyDescent="0.25">
      <c r="A215" s="749">
        <f t="shared" si="27"/>
        <v>0</v>
      </c>
      <c r="B215" s="904"/>
      <c r="C215" s="382"/>
      <c r="D215" s="109">
        <v>0</v>
      </c>
      <c r="E215" s="109"/>
      <c r="F215" s="109"/>
      <c r="G215" s="109"/>
      <c r="H215" s="109"/>
      <c r="I215" s="109">
        <v>0</v>
      </c>
      <c r="J215" s="75">
        <f t="shared" si="24"/>
        <v>0</v>
      </c>
      <c r="K215" s="75">
        <f t="shared" si="25"/>
        <v>0</v>
      </c>
      <c r="L215" s="109"/>
      <c r="M215" s="110"/>
    </row>
    <row r="216" spans="1:13" ht="13.5" x14ac:dyDescent="0.25">
      <c r="A216" s="749">
        <f t="shared" si="27"/>
        <v>0</v>
      </c>
      <c r="B216" s="904"/>
      <c r="C216" s="382"/>
      <c r="D216" s="109">
        <v>0</v>
      </c>
      <c r="E216" s="109"/>
      <c r="F216" s="109"/>
      <c r="G216" s="109"/>
      <c r="H216" s="109"/>
      <c r="I216" s="109">
        <v>0</v>
      </c>
      <c r="J216" s="75">
        <f t="shared" si="24"/>
        <v>0</v>
      </c>
      <c r="K216" s="75">
        <f t="shared" si="25"/>
        <v>0</v>
      </c>
      <c r="L216" s="109"/>
      <c r="M216" s="110"/>
    </row>
    <row r="217" spans="1:13" ht="13.5" x14ac:dyDescent="0.25">
      <c r="A217" s="749">
        <f t="shared" si="27"/>
        <v>0</v>
      </c>
      <c r="B217" s="904"/>
      <c r="C217" s="382"/>
      <c r="D217" s="109">
        <v>0</v>
      </c>
      <c r="E217" s="109"/>
      <c r="F217" s="109"/>
      <c r="G217" s="109"/>
      <c r="H217" s="109"/>
      <c r="I217" s="109">
        <v>0</v>
      </c>
      <c r="J217" s="75">
        <f t="shared" si="24"/>
        <v>0</v>
      </c>
      <c r="K217" s="75">
        <f t="shared" si="25"/>
        <v>0</v>
      </c>
      <c r="L217" s="109"/>
      <c r="M217" s="110"/>
    </row>
    <row r="218" spans="1:13" ht="13.5" x14ac:dyDescent="0.25">
      <c r="A218" s="749">
        <f t="shared" si="27"/>
        <v>0</v>
      </c>
      <c r="B218" s="904"/>
      <c r="C218" s="382"/>
      <c r="D218" s="109">
        <v>0</v>
      </c>
      <c r="E218" s="109"/>
      <c r="F218" s="109"/>
      <c r="G218" s="109"/>
      <c r="H218" s="109"/>
      <c r="I218" s="109">
        <v>0</v>
      </c>
      <c r="J218" s="75">
        <f t="shared" si="24"/>
        <v>0</v>
      </c>
      <c r="K218" s="75">
        <f t="shared" si="25"/>
        <v>0</v>
      </c>
      <c r="L218" s="109"/>
      <c r="M218" s="110"/>
    </row>
    <row r="219" spans="1:13" ht="13.5" x14ac:dyDescent="0.25">
      <c r="A219" s="746" t="str">
        <f>A51</f>
        <v>Vote 5 - COMMUNITY SERVICES</v>
      </c>
      <c r="B219" s="903"/>
      <c r="C219" s="733">
        <f t="shared" ref="C219:I219" si="30">SUM(C220:C229)</f>
        <v>336592492</v>
      </c>
      <c r="D219" s="732">
        <f t="shared" si="30"/>
        <v>336592492</v>
      </c>
      <c r="E219" s="732">
        <f t="shared" si="30"/>
        <v>0</v>
      </c>
      <c r="F219" s="732">
        <f t="shared" si="30"/>
        <v>0</v>
      </c>
      <c r="G219" s="732">
        <f t="shared" si="30"/>
        <v>0</v>
      </c>
      <c r="H219" s="732">
        <f t="shared" si="30"/>
        <v>0</v>
      </c>
      <c r="I219" s="732">
        <f t="shared" si="30"/>
        <v>14751619</v>
      </c>
      <c r="J219" s="75">
        <f t="shared" si="24"/>
        <v>14751619</v>
      </c>
      <c r="K219" s="75">
        <f t="shared" si="25"/>
        <v>351344111</v>
      </c>
      <c r="L219" s="732">
        <f>SUM(L220:L229)</f>
        <v>363853939.91352934</v>
      </c>
      <c r="M219" s="760">
        <f>SUM(M220:M229)</f>
        <v>389839519.78890097</v>
      </c>
    </row>
    <row r="220" spans="1:13" ht="13.5" x14ac:dyDescent="0.25">
      <c r="A220" s="749" t="str">
        <f t="shared" ref="A220:A229" si="31">A52</f>
        <v>5.1 - DIRECTORATE COMMUNITY SERVICES</v>
      </c>
      <c r="B220" s="904"/>
      <c r="C220" s="382">
        <v>6509954</v>
      </c>
      <c r="D220" s="109">
        <v>6509954</v>
      </c>
      <c r="E220" s="109"/>
      <c r="F220" s="109"/>
      <c r="G220" s="109"/>
      <c r="H220" s="109"/>
      <c r="I220" s="109">
        <v>-6509954</v>
      </c>
      <c r="J220" s="75">
        <f t="shared" si="24"/>
        <v>-6509954</v>
      </c>
      <c r="K220" s="75">
        <f t="shared" si="25"/>
        <v>0</v>
      </c>
      <c r="L220" s="109">
        <v>7037211.0639382759</v>
      </c>
      <c r="M220" s="110">
        <v>7539791.8804199528</v>
      </c>
    </row>
    <row r="221" spans="1:13" ht="13.5" x14ac:dyDescent="0.25">
      <c r="A221" s="749" t="str">
        <f t="shared" si="31"/>
        <v>5.2 - SPORT AND RECREATION (ADMINISTRATION)</v>
      </c>
      <c r="B221" s="904"/>
      <c r="C221" s="382">
        <v>18081084</v>
      </c>
      <c r="D221" s="109">
        <v>18081084</v>
      </c>
      <c r="E221" s="109"/>
      <c r="F221" s="109"/>
      <c r="G221" s="109"/>
      <c r="H221" s="109"/>
      <c r="I221" s="109">
        <v>38786012</v>
      </c>
      <c r="J221" s="75">
        <f t="shared" si="24"/>
        <v>38786012</v>
      </c>
      <c r="K221" s="75">
        <f t="shared" si="25"/>
        <v>56867096</v>
      </c>
      <c r="L221" s="109">
        <v>19545515.125421368</v>
      </c>
      <c r="M221" s="110">
        <v>20941409.160862137</v>
      </c>
    </row>
    <row r="222" spans="1:13" ht="13.5" x14ac:dyDescent="0.25">
      <c r="A222" s="749" t="str">
        <f t="shared" si="31"/>
        <v>5.3 - SPORTS FACILITIES MAINTENANCE(NEW)</v>
      </c>
      <c r="B222" s="904"/>
      <c r="C222" s="382">
        <v>79635132</v>
      </c>
      <c r="D222" s="109">
        <v>79635132</v>
      </c>
      <c r="E222" s="109"/>
      <c r="F222" s="109"/>
      <c r="G222" s="109"/>
      <c r="H222" s="109"/>
      <c r="I222" s="109">
        <v>-3251151</v>
      </c>
      <c r="J222" s="75">
        <f t="shared" si="24"/>
        <v>-3251151</v>
      </c>
      <c r="K222" s="75">
        <f t="shared" si="25"/>
        <v>76383981</v>
      </c>
      <c r="L222" s="109">
        <v>86084975.713896751</v>
      </c>
      <c r="M222" s="110">
        <v>92232959.195989877</v>
      </c>
    </row>
    <row r="223" spans="1:13" ht="13.5" x14ac:dyDescent="0.25">
      <c r="A223" s="749" t="str">
        <f t="shared" si="31"/>
        <v>5.4 - RECREATION SERVICES (SWIMMING POOLS)</v>
      </c>
      <c r="B223" s="904"/>
      <c r="C223" s="382">
        <v>7740780</v>
      </c>
      <c r="D223" s="109">
        <v>7740780</v>
      </c>
      <c r="E223" s="109"/>
      <c r="F223" s="109"/>
      <c r="G223" s="109"/>
      <c r="H223" s="109"/>
      <c r="I223" s="109">
        <v>-267980</v>
      </c>
      <c r="J223" s="75">
        <f t="shared" si="24"/>
        <v>-267980</v>
      </c>
      <c r="K223" s="75">
        <f t="shared" si="25"/>
        <v>7472800</v>
      </c>
      <c r="L223" s="109">
        <v>8367724.6658750782</v>
      </c>
      <c r="M223" s="110">
        <v>8965327.5878934264</v>
      </c>
    </row>
    <row r="224" spans="1:13" ht="13.5" x14ac:dyDescent="0.25">
      <c r="A224" s="749" t="str">
        <f t="shared" si="31"/>
        <v>5.5 - SPORTS FACILITIES MAINTENANCE(HORTICULTURAL SERVICES)</v>
      </c>
      <c r="B224" s="904"/>
      <c r="C224" s="382">
        <v>11983944</v>
      </c>
      <c r="D224" s="109">
        <v>11983944</v>
      </c>
      <c r="E224" s="109"/>
      <c r="F224" s="109"/>
      <c r="G224" s="109"/>
      <c r="H224" s="109"/>
      <c r="I224" s="109">
        <v>-11983944</v>
      </c>
      <c r="J224" s="75">
        <f t="shared" si="24"/>
        <v>-11983944</v>
      </c>
      <c r="K224" s="75">
        <f t="shared" si="25"/>
        <v>0</v>
      </c>
      <c r="L224" s="109">
        <v>12954552.874938397</v>
      </c>
      <c r="M224" s="110">
        <v>13879736.118966034</v>
      </c>
    </row>
    <row r="225" spans="1:13" ht="13.5" x14ac:dyDescent="0.25">
      <c r="A225" s="749" t="str">
        <f t="shared" si="31"/>
        <v>5.6 - CULTURAL SERVICES (ADMINISTRATION)</v>
      </c>
      <c r="B225" s="904"/>
      <c r="C225" s="382">
        <v>22588104</v>
      </c>
      <c r="D225" s="109">
        <v>22588104</v>
      </c>
      <c r="E225" s="109"/>
      <c r="F225" s="109"/>
      <c r="G225" s="109"/>
      <c r="H225" s="109"/>
      <c r="I225" s="109">
        <v>-20508540</v>
      </c>
      <c r="J225" s="75">
        <f t="shared" si="24"/>
        <v>-20508540</v>
      </c>
      <c r="K225" s="75">
        <f t="shared" si="25"/>
        <v>2079564</v>
      </c>
      <c r="L225" s="109">
        <v>24417569.675943706</v>
      </c>
      <c r="M225" s="110">
        <v>26161414.217870273</v>
      </c>
    </row>
    <row r="226" spans="1:13" ht="13.5" x14ac:dyDescent="0.25">
      <c r="A226" s="749" t="str">
        <f t="shared" si="31"/>
        <v>5.7 - CULTURAL SERVICES (ART GALLERY)</v>
      </c>
      <c r="B226" s="904"/>
      <c r="C226" s="382">
        <v>5405976</v>
      </c>
      <c r="D226" s="109">
        <v>5405976</v>
      </c>
      <c r="E226" s="109"/>
      <c r="F226" s="109"/>
      <c r="G226" s="109"/>
      <c r="H226" s="109"/>
      <c r="I226" s="109">
        <v>-4180166</v>
      </c>
      <c r="J226" s="75">
        <f t="shared" si="24"/>
        <v>-4180166</v>
      </c>
      <c r="K226" s="75">
        <f t="shared" si="25"/>
        <v>1225810</v>
      </c>
      <c r="L226" s="109">
        <v>5843819.1911317324</v>
      </c>
      <c r="M226" s="110">
        <v>6261170.8086639531</v>
      </c>
    </row>
    <row r="227" spans="1:13" ht="13.5" x14ac:dyDescent="0.25">
      <c r="A227" s="749" t="str">
        <f t="shared" si="31"/>
        <v>5.8 - CULTURAL SERVICES (LIBRARIES)</v>
      </c>
      <c r="B227" s="904"/>
      <c r="C227" s="382">
        <v>7497480</v>
      </c>
      <c r="D227" s="109">
        <v>7497480</v>
      </c>
      <c r="E227" s="109"/>
      <c r="F227" s="109"/>
      <c r="G227" s="109"/>
      <c r="H227" s="109"/>
      <c r="I227" s="109">
        <v>17083100</v>
      </c>
      <c r="J227" s="75">
        <f t="shared" si="24"/>
        <v>17083100</v>
      </c>
      <c r="K227" s="75">
        <f t="shared" si="25"/>
        <v>24580580</v>
      </c>
      <c r="L227" s="109">
        <v>8104719.2050290899</v>
      </c>
      <c r="M227" s="110">
        <v>8683538.9048234411</v>
      </c>
    </row>
    <row r="228" spans="1:13" ht="13.5" x14ac:dyDescent="0.25">
      <c r="A228" s="749" t="str">
        <f t="shared" si="31"/>
        <v>5.9 - CULTURAL SERVICES (MUSEUMS)</v>
      </c>
      <c r="B228" s="904"/>
      <c r="C228" s="382">
        <v>109987190</v>
      </c>
      <c r="D228" s="109">
        <v>109987190</v>
      </c>
      <c r="E228" s="109"/>
      <c r="F228" s="109"/>
      <c r="G228" s="109"/>
      <c r="H228" s="109"/>
      <c r="I228" s="109">
        <v>-100592799</v>
      </c>
      <c r="J228" s="75">
        <f t="shared" si="24"/>
        <v>-100592799</v>
      </c>
      <c r="K228" s="75">
        <f t="shared" si="25"/>
        <v>9394391</v>
      </c>
      <c r="L228" s="109">
        <v>118895321.40693556</v>
      </c>
      <c r="M228" s="110">
        <v>127386541.46068057</v>
      </c>
    </row>
    <row r="229" spans="1:13" ht="13.5" x14ac:dyDescent="0.25">
      <c r="A229" s="749" t="str">
        <f t="shared" si="31"/>
        <v>5.10 - CULTURAL SERVICES : CULTURAL DESK</v>
      </c>
      <c r="B229" s="904"/>
      <c r="C229" s="382">
        <v>67162848</v>
      </c>
      <c r="D229" s="109">
        <v>67162848</v>
      </c>
      <c r="E229" s="109"/>
      <c r="F229" s="109"/>
      <c r="G229" s="109"/>
      <c r="H229" s="109"/>
      <c r="I229" s="109">
        <v>106177041</v>
      </c>
      <c r="J229" s="75">
        <f t="shared" si="24"/>
        <v>106177041</v>
      </c>
      <c r="K229" s="75">
        <f t="shared" si="25"/>
        <v>173339889</v>
      </c>
      <c r="L229" s="109">
        <v>72602530.990419403</v>
      </c>
      <c r="M229" s="110">
        <v>77787630.452731237</v>
      </c>
    </row>
    <row r="230" spans="1:13" ht="13.5" x14ac:dyDescent="0.25">
      <c r="A230" s="746" t="str">
        <f>A62</f>
        <v>Vote 6 - PUBLIC SAFETY</v>
      </c>
      <c r="B230" s="903"/>
      <c r="C230" s="733">
        <f t="shared" ref="C230:I230" si="32">SUM(C231:C240)</f>
        <v>299191112</v>
      </c>
      <c r="D230" s="732">
        <f t="shared" si="32"/>
        <v>299191112</v>
      </c>
      <c r="E230" s="732">
        <f t="shared" si="32"/>
        <v>0</v>
      </c>
      <c r="F230" s="732">
        <f t="shared" si="32"/>
        <v>0</v>
      </c>
      <c r="G230" s="732">
        <f t="shared" si="32"/>
        <v>0</v>
      </c>
      <c r="H230" s="732">
        <f t="shared" si="32"/>
        <v>0</v>
      </c>
      <c r="I230" s="732">
        <f t="shared" si="32"/>
        <v>30519159</v>
      </c>
      <c r="J230" s="75">
        <f t="shared" si="24"/>
        <v>30519159</v>
      </c>
      <c r="K230" s="75">
        <f t="shared" si="25"/>
        <v>329710271</v>
      </c>
      <c r="L230" s="732">
        <f>SUM(L231:L240)</f>
        <v>323423330.42574435</v>
      </c>
      <c r="M230" s="760">
        <f>SUM(M231:M240)</f>
        <v>346521452.67868507</v>
      </c>
    </row>
    <row r="231" spans="1:13" ht="13.5" x14ac:dyDescent="0.25">
      <c r="A231" s="749" t="str">
        <f t="shared" ref="A231:A240" si="33">A63</f>
        <v>6.1 - PUBLIC SAFETY(ADMINISTRATION)</v>
      </c>
      <c r="B231" s="904"/>
      <c r="C231" s="382">
        <v>97597464</v>
      </c>
      <c r="D231" s="109">
        <v>97597464</v>
      </c>
      <c r="E231" s="109"/>
      <c r="F231" s="109"/>
      <c r="G231" s="109"/>
      <c r="H231" s="109"/>
      <c r="I231" s="109">
        <v>-93971603</v>
      </c>
      <c r="J231" s="75">
        <f t="shared" si="24"/>
        <v>-93971603</v>
      </c>
      <c r="K231" s="75">
        <f t="shared" si="25"/>
        <v>3625861</v>
      </c>
      <c r="L231" s="109">
        <v>105502120.82498856</v>
      </c>
      <c r="M231" s="110">
        <v>113036830.46251611</v>
      </c>
    </row>
    <row r="232" spans="1:13" ht="13.5" x14ac:dyDescent="0.25">
      <c r="A232" s="749" t="str">
        <f t="shared" si="33"/>
        <v>6.2 - TRAFFIC AND LICENSING (ADMINISTRATION)</v>
      </c>
      <c r="B232" s="904"/>
      <c r="C232" s="382">
        <v>0</v>
      </c>
      <c r="D232" s="109">
        <v>0</v>
      </c>
      <c r="E232" s="109"/>
      <c r="F232" s="109"/>
      <c r="G232" s="109"/>
      <c r="H232" s="109"/>
      <c r="I232" s="109">
        <v>2310007</v>
      </c>
      <c r="J232" s="75">
        <f t="shared" si="24"/>
        <v>2310007</v>
      </c>
      <c r="K232" s="75">
        <f t="shared" si="25"/>
        <v>2310007</v>
      </c>
      <c r="L232" s="109">
        <v>0</v>
      </c>
      <c r="M232" s="110">
        <v>0</v>
      </c>
    </row>
    <row r="233" spans="1:13" ht="13.5" x14ac:dyDescent="0.25">
      <c r="A233" s="749" t="str">
        <f t="shared" si="33"/>
        <v>6.3 - TRAFFIC AND LICENCES (LICENSING)</v>
      </c>
      <c r="B233" s="904"/>
      <c r="C233" s="382">
        <v>11690700</v>
      </c>
      <c r="D233" s="109">
        <v>11690700</v>
      </c>
      <c r="E233" s="109"/>
      <c r="F233" s="109"/>
      <c r="G233" s="109"/>
      <c r="H233" s="109"/>
      <c r="I233" s="109">
        <v>3388558</v>
      </c>
      <c r="J233" s="75">
        <f t="shared" si="24"/>
        <v>3388558</v>
      </c>
      <c r="K233" s="75">
        <f t="shared" si="25"/>
        <v>15079258</v>
      </c>
      <c r="L233" s="109">
        <v>12637558.327629227</v>
      </c>
      <c r="M233" s="110">
        <v>13540102.577748712</v>
      </c>
    </row>
    <row r="234" spans="1:13" ht="13.5" x14ac:dyDescent="0.25">
      <c r="A234" s="749" t="str">
        <f t="shared" si="33"/>
        <v>6.4 - TRAFFIC AND LICENSING(VEHICLE TESTING AND DRIVERS LICENSE TESTING)</v>
      </c>
      <c r="B234" s="904"/>
      <c r="C234" s="382">
        <v>14026584</v>
      </c>
      <c r="D234" s="109">
        <v>14026584</v>
      </c>
      <c r="E234" s="109"/>
      <c r="F234" s="109"/>
      <c r="G234" s="109"/>
      <c r="H234" s="109"/>
      <c r="I234" s="109">
        <v>-523757</v>
      </c>
      <c r="J234" s="75">
        <f t="shared" si="24"/>
        <v>-523757</v>
      </c>
      <c r="K234" s="75">
        <f t="shared" si="25"/>
        <v>13502827</v>
      </c>
      <c r="L234" s="109">
        <v>15162631.274208635</v>
      </c>
      <c r="M234" s="110">
        <v>16245510.206866043</v>
      </c>
    </row>
    <row r="235" spans="1:13" ht="13.5" x14ac:dyDescent="0.25">
      <c r="A235" s="749" t="str">
        <f t="shared" si="33"/>
        <v>6.5 - TRAFFIC AND LICENSING (TRAFFIC SERVICES)</v>
      </c>
      <c r="B235" s="904"/>
      <c r="C235" s="382">
        <v>13236396</v>
      </c>
      <c r="D235" s="109">
        <v>13236396</v>
      </c>
      <c r="E235" s="109"/>
      <c r="F235" s="109"/>
      <c r="G235" s="109"/>
      <c r="H235" s="109"/>
      <c r="I235" s="109">
        <v>70883868</v>
      </c>
      <c r="J235" s="75">
        <f t="shared" si="24"/>
        <v>70883868</v>
      </c>
      <c r="K235" s="75">
        <f t="shared" si="25"/>
        <v>84120264</v>
      </c>
      <c r="L235" s="109">
        <v>14308444.019399883</v>
      </c>
      <c r="M235" s="110">
        <v>15330318.937249502</v>
      </c>
    </row>
    <row r="236" spans="1:13" ht="13.5" x14ac:dyDescent="0.25">
      <c r="A236" s="749" t="str">
        <f t="shared" si="33"/>
        <v>6.6 - DISASTER MANAGEMENT ADMINISTRATION</v>
      </c>
      <c r="B236" s="904"/>
      <c r="C236" s="382">
        <v>82441776</v>
      </c>
      <c r="D236" s="109">
        <v>82441776</v>
      </c>
      <c r="E236" s="109"/>
      <c r="F236" s="109"/>
      <c r="G236" s="109"/>
      <c r="H236" s="109"/>
      <c r="I236" s="109">
        <v>-11997647</v>
      </c>
      <c r="J236" s="75">
        <f t="shared" si="24"/>
        <v>-11997647</v>
      </c>
      <c r="K236" s="75">
        <f t="shared" si="25"/>
        <v>70444129</v>
      </c>
      <c r="L236" s="109">
        <v>89118936.661905915</v>
      </c>
      <c r="M236" s="110">
        <v>95483598.392891958</v>
      </c>
    </row>
    <row r="237" spans="1:13" ht="13.5" x14ac:dyDescent="0.25">
      <c r="A237" s="749" t="str">
        <f t="shared" si="33"/>
        <v>6.7 - DISASTER MANAGEMENT (FIRE FIGHTING)</v>
      </c>
      <c r="B237" s="904"/>
      <c r="C237" s="382">
        <v>1857696</v>
      </c>
      <c r="D237" s="109">
        <v>1857696</v>
      </c>
      <c r="E237" s="109"/>
      <c r="F237" s="109"/>
      <c r="G237" s="109"/>
      <c r="H237" s="109"/>
      <c r="I237" s="109">
        <v>-1857696</v>
      </c>
      <c r="J237" s="75">
        <f t="shared" si="24"/>
        <v>-1857696</v>
      </c>
      <c r="K237" s="75">
        <f t="shared" si="25"/>
        <v>0</v>
      </c>
      <c r="L237" s="109">
        <v>2008155.333299418</v>
      </c>
      <c r="M237" s="110">
        <v>2151572.9937705589</v>
      </c>
    </row>
    <row r="238" spans="1:13" ht="13.5" x14ac:dyDescent="0.25">
      <c r="A238" s="749" t="str">
        <f t="shared" si="33"/>
        <v>6.8 - BY-LAW ENFORCEMENT AND SECURITY(ADMINISTRATION)</v>
      </c>
      <c r="B238" s="904"/>
      <c r="C238" s="382">
        <v>62296992</v>
      </c>
      <c r="D238" s="109">
        <v>62296992</v>
      </c>
      <c r="E238" s="109"/>
      <c r="F238" s="109"/>
      <c r="G238" s="109"/>
      <c r="H238" s="109"/>
      <c r="I238" s="109">
        <v>-60450441</v>
      </c>
      <c r="J238" s="75">
        <f t="shared" si="24"/>
        <v>-60450441</v>
      </c>
      <c r="K238" s="75">
        <f t="shared" si="25"/>
        <v>1846551</v>
      </c>
      <c r="L238" s="109">
        <v>67342577.436411113</v>
      </c>
      <c r="M238" s="110">
        <v>72152023.5713166</v>
      </c>
    </row>
    <row r="239" spans="1:13" ht="13.5" x14ac:dyDescent="0.25">
      <c r="A239" s="749" t="str">
        <f t="shared" si="33"/>
        <v>6.9 - SECURITY SERVICES</v>
      </c>
      <c r="B239" s="904"/>
      <c r="C239" s="382">
        <v>7099080</v>
      </c>
      <c r="D239" s="109">
        <v>7099080</v>
      </c>
      <c r="E239" s="109"/>
      <c r="F239" s="109"/>
      <c r="G239" s="109"/>
      <c r="H239" s="109"/>
      <c r="I239" s="109">
        <v>97714713</v>
      </c>
      <c r="J239" s="75">
        <f t="shared" si="24"/>
        <v>97714713</v>
      </c>
      <c r="K239" s="75">
        <f t="shared" si="25"/>
        <v>104813793</v>
      </c>
      <c r="L239" s="109">
        <v>7674051.8166154381</v>
      </c>
      <c r="M239" s="110">
        <v>8222114.2795251207</v>
      </c>
    </row>
    <row r="240" spans="1:13" ht="13.5" x14ac:dyDescent="0.25">
      <c r="A240" s="749" t="str">
        <f t="shared" si="33"/>
        <v>6.10 - MUNICIPAL CONTROL CENTRE</v>
      </c>
      <c r="B240" s="904"/>
      <c r="C240" s="382">
        <v>8944424</v>
      </c>
      <c r="D240" s="109">
        <v>8944424</v>
      </c>
      <c r="E240" s="109"/>
      <c r="F240" s="109"/>
      <c r="G240" s="109"/>
      <c r="H240" s="109"/>
      <c r="I240" s="109">
        <v>25023157</v>
      </c>
      <c r="J240" s="75">
        <f t="shared" ref="J240:J303" si="34">SUM(E240:I240)</f>
        <v>25023157</v>
      </c>
      <c r="K240" s="75">
        <f t="shared" ref="K240:K303" si="35">IF(D240=0,C240+J240,D240+J240)</f>
        <v>33967581</v>
      </c>
      <c r="L240" s="109">
        <v>9668854.7312861271</v>
      </c>
      <c r="M240" s="110">
        <v>10359381.256800486</v>
      </c>
    </row>
    <row r="241" spans="1:13" ht="13.5" x14ac:dyDescent="0.25">
      <c r="A241" s="746" t="str">
        <f>A73</f>
        <v>Vote 7 - CORPORATE AND SHARED SERVICES</v>
      </c>
      <c r="B241" s="903"/>
      <c r="C241" s="733">
        <f t="shared" ref="C241:I241" si="36">SUM(C242:C251)</f>
        <v>230469771</v>
      </c>
      <c r="D241" s="732">
        <f t="shared" si="36"/>
        <v>236469771</v>
      </c>
      <c r="E241" s="732">
        <f t="shared" si="36"/>
        <v>0</v>
      </c>
      <c r="F241" s="732">
        <f t="shared" si="36"/>
        <v>0</v>
      </c>
      <c r="G241" s="732">
        <f t="shared" si="36"/>
        <v>0</v>
      </c>
      <c r="H241" s="732">
        <f t="shared" si="36"/>
        <v>0</v>
      </c>
      <c r="I241" s="732">
        <f t="shared" si="36"/>
        <v>34741516</v>
      </c>
      <c r="J241" s="75">
        <f t="shared" si="34"/>
        <v>34741516</v>
      </c>
      <c r="K241" s="75">
        <f t="shared" si="35"/>
        <v>271211287</v>
      </c>
      <c r="L241" s="732">
        <f>SUM(L242:L251)</f>
        <v>249136080.28328943</v>
      </c>
      <c r="M241" s="760">
        <f>SUM(M242:M251)</f>
        <v>266928784.45347631</v>
      </c>
    </row>
    <row r="242" spans="1:13" ht="13.5" x14ac:dyDescent="0.25">
      <c r="A242" s="749" t="str">
        <f t="shared" ref="A242:A251" si="37">A74</f>
        <v>7.1 - CORPORATE AND SHARED SERVICES</v>
      </c>
      <c r="B242" s="904"/>
      <c r="C242" s="382">
        <v>7135524</v>
      </c>
      <c r="D242" s="109">
        <v>7135524</v>
      </c>
      <c r="E242" s="109"/>
      <c r="F242" s="109"/>
      <c r="G242" s="109"/>
      <c r="H242" s="109"/>
      <c r="I242" s="109">
        <v>-3746735</v>
      </c>
      <c r="J242" s="75">
        <f t="shared" si="34"/>
        <v>-3746735</v>
      </c>
      <c r="K242" s="75">
        <f t="shared" si="35"/>
        <v>3388789</v>
      </c>
      <c r="L242" s="109">
        <v>7713447.5051278556</v>
      </c>
      <c r="M242" s="110">
        <v>8264323.5140742473</v>
      </c>
    </row>
    <row r="243" spans="1:13" ht="13.5" x14ac:dyDescent="0.25">
      <c r="A243" s="749" t="str">
        <f t="shared" si="37"/>
        <v>7.2 - CORPORATE SERVICES - INFORMATION COMMUNICATION TECHNOLOGY</v>
      </c>
      <c r="B243" s="904"/>
      <c r="C243" s="382">
        <v>75624972</v>
      </c>
      <c r="D243" s="109">
        <v>81624972</v>
      </c>
      <c r="E243" s="109"/>
      <c r="F243" s="109"/>
      <c r="G243" s="109"/>
      <c r="H243" s="109"/>
      <c r="I243" s="109">
        <v>-22639883</v>
      </c>
      <c r="J243" s="75">
        <f t="shared" si="34"/>
        <v>-22639883</v>
      </c>
      <c r="K243" s="75">
        <f t="shared" si="35"/>
        <v>58985089</v>
      </c>
      <c r="L243" s="109">
        <v>81750023.067508981</v>
      </c>
      <c r="M243" s="110">
        <v>87588414.579056367</v>
      </c>
    </row>
    <row r="244" spans="1:13" ht="13.5" x14ac:dyDescent="0.25">
      <c r="A244" s="749" t="str">
        <f t="shared" si="37"/>
        <v>7.3 - HUMAN RESOURCE DEVELOPMENT (ADMINISTRATION)</v>
      </c>
      <c r="B244" s="904"/>
      <c r="C244" s="382">
        <v>5767704</v>
      </c>
      <c r="D244" s="109">
        <v>5767704</v>
      </c>
      <c r="E244" s="109"/>
      <c r="F244" s="109"/>
      <c r="G244" s="109"/>
      <c r="H244" s="109"/>
      <c r="I244" s="109">
        <v>-5711338</v>
      </c>
      <c r="J244" s="75">
        <f t="shared" si="34"/>
        <v>-5711338</v>
      </c>
      <c r="K244" s="75">
        <f t="shared" si="35"/>
        <v>56366</v>
      </c>
      <c r="L244" s="109">
        <v>6234844.4247564655</v>
      </c>
      <c r="M244" s="110">
        <v>6680122.1311034895</v>
      </c>
    </row>
    <row r="245" spans="1:13" ht="13.5" x14ac:dyDescent="0.25">
      <c r="A245" s="749" t="str">
        <f t="shared" si="37"/>
        <v>7.4 - HUMAN RESOURCES DEVELOPMENT (ORGANISATION DEVELOPMENT)</v>
      </c>
      <c r="B245" s="904"/>
      <c r="C245" s="382">
        <v>81653580</v>
      </c>
      <c r="D245" s="109">
        <v>81653580</v>
      </c>
      <c r="E245" s="109"/>
      <c r="F245" s="109"/>
      <c r="G245" s="109"/>
      <c r="H245" s="109"/>
      <c r="I245" s="109">
        <v>-77807656</v>
      </c>
      <c r="J245" s="75">
        <f t="shared" si="34"/>
        <v>-77807656</v>
      </c>
      <c r="K245" s="75">
        <f t="shared" si="35"/>
        <v>3845924</v>
      </c>
      <c r="L245" s="109">
        <v>88266902.744039223</v>
      </c>
      <c r="M245" s="110">
        <v>94570714.246401891</v>
      </c>
    </row>
    <row r="246" spans="1:13" ht="13.5" x14ac:dyDescent="0.25">
      <c r="A246" s="749" t="str">
        <f t="shared" si="37"/>
        <v>7.5 - HUMAN RESOURCES DEVELOPMENT (LEARNING AND DEVELOPMENT)</v>
      </c>
      <c r="B246" s="904"/>
      <c r="C246" s="382">
        <v>12996180</v>
      </c>
      <c r="D246" s="109">
        <v>12996180</v>
      </c>
      <c r="E246" s="109"/>
      <c r="F246" s="109"/>
      <c r="G246" s="109"/>
      <c r="H246" s="109"/>
      <c r="I246" s="109">
        <v>7187769</v>
      </c>
      <c r="J246" s="75">
        <f t="shared" si="34"/>
        <v>7187769</v>
      </c>
      <c r="K246" s="75">
        <f t="shared" si="35"/>
        <v>20183949</v>
      </c>
      <c r="L246" s="109">
        <v>14048772.339241313</v>
      </c>
      <c r="M246" s="110">
        <v>15052102.125525953</v>
      </c>
    </row>
    <row r="247" spans="1:13" ht="13.5" x14ac:dyDescent="0.25">
      <c r="A247" s="749" t="str">
        <f t="shared" si="37"/>
        <v>7.6 - HUMAN RESOURCES DEVELOPMENT (EAP)</v>
      </c>
      <c r="B247" s="904"/>
      <c r="C247" s="382">
        <v>12296808</v>
      </c>
      <c r="D247" s="109">
        <v>12296808</v>
      </c>
      <c r="E247" s="109"/>
      <c r="F247" s="109"/>
      <c r="G247" s="109"/>
      <c r="H247" s="109"/>
      <c r="I247" s="109">
        <v>-8992092</v>
      </c>
      <c r="J247" s="75">
        <f t="shared" si="34"/>
        <v>-8992092</v>
      </c>
      <c r="K247" s="75">
        <f t="shared" si="35"/>
        <v>3304716</v>
      </c>
      <c r="L247" s="109">
        <v>13292756.49393601</v>
      </c>
      <c r="M247" s="110">
        <v>14242093.433146089</v>
      </c>
    </row>
    <row r="248" spans="1:13" ht="13.5" x14ac:dyDescent="0.25">
      <c r="A248" s="749" t="str">
        <f t="shared" si="37"/>
        <v>7.7 - HUMAN RESOURCES (ADMINISTRATION)</v>
      </c>
      <c r="B248" s="904"/>
      <c r="C248" s="382">
        <v>23930640</v>
      </c>
      <c r="D248" s="109">
        <v>23930640</v>
      </c>
      <c r="E248" s="109"/>
      <c r="F248" s="109"/>
      <c r="G248" s="109"/>
      <c r="H248" s="109"/>
      <c r="I248" s="109">
        <v>-22079025</v>
      </c>
      <c r="J248" s="75">
        <f t="shared" si="34"/>
        <v>-22079025</v>
      </c>
      <c r="K248" s="75">
        <f t="shared" si="35"/>
        <v>1851615</v>
      </c>
      <c r="L248" s="109">
        <v>25868840.943441976</v>
      </c>
      <c r="M248" s="110">
        <v>27716331.815133091</v>
      </c>
    </row>
    <row r="249" spans="1:13" ht="13.5" x14ac:dyDescent="0.25">
      <c r="A249" s="749" t="str">
        <f t="shared" si="37"/>
        <v>7.8 - HUMAN RESOURCES (PERSONNEL ADMINISTRATION)</v>
      </c>
      <c r="B249" s="904"/>
      <c r="C249" s="382">
        <v>11064363</v>
      </c>
      <c r="D249" s="109">
        <v>11064363</v>
      </c>
      <c r="E249" s="109"/>
      <c r="F249" s="109"/>
      <c r="G249" s="109"/>
      <c r="H249" s="109"/>
      <c r="I249" s="109">
        <v>-2188878</v>
      </c>
      <c r="J249" s="75">
        <f t="shared" si="34"/>
        <v>-2188878</v>
      </c>
      <c r="K249" s="75">
        <f t="shared" si="35"/>
        <v>8875485</v>
      </c>
      <c r="L249" s="109">
        <v>11960492.765237557</v>
      </c>
      <c r="M249" s="110">
        <v>12814682.609035172</v>
      </c>
    </row>
    <row r="250" spans="1:13" ht="13.5" x14ac:dyDescent="0.25">
      <c r="A250" s="749" t="str">
        <f t="shared" si="37"/>
        <v>7.9 - HUMAN RESOURCES MANAGEMENT (LABOUR RELATIONS )</v>
      </c>
      <c r="B250" s="904"/>
      <c r="C250" s="382"/>
      <c r="D250" s="109">
        <v>0</v>
      </c>
      <c r="E250" s="109"/>
      <c r="F250" s="109"/>
      <c r="G250" s="109"/>
      <c r="H250" s="109"/>
      <c r="I250" s="109">
        <v>5661857</v>
      </c>
      <c r="J250" s="75">
        <f t="shared" si="34"/>
        <v>5661857</v>
      </c>
      <c r="K250" s="75">
        <f t="shared" si="35"/>
        <v>5661857</v>
      </c>
      <c r="L250" s="109"/>
      <c r="M250" s="110"/>
    </row>
    <row r="251" spans="1:13" ht="13.5" x14ac:dyDescent="0.25">
      <c r="A251" s="749" t="str">
        <f t="shared" si="37"/>
        <v>7.10 - HUMAN RESOURCES (PERSONNEL ADMINISTRATION)</v>
      </c>
      <c r="B251" s="904"/>
      <c r="C251" s="382"/>
      <c r="D251" s="109">
        <v>0</v>
      </c>
      <c r="E251" s="109"/>
      <c r="F251" s="109"/>
      <c r="G251" s="109"/>
      <c r="H251" s="109"/>
      <c r="I251" s="109">
        <v>165057497</v>
      </c>
      <c r="J251" s="75">
        <f t="shared" si="34"/>
        <v>165057497</v>
      </c>
      <c r="K251" s="75">
        <f t="shared" si="35"/>
        <v>165057497</v>
      </c>
      <c r="L251" s="109"/>
      <c r="M251" s="110"/>
    </row>
    <row r="252" spans="1:13" ht="13.5" x14ac:dyDescent="0.25">
      <c r="A252" s="746" t="str">
        <f>A84</f>
        <v xml:space="preserve">Vote 8 - PLANNING AND ECONOMIC DEVELOPMENT </v>
      </c>
      <c r="B252" s="904"/>
      <c r="C252" s="733">
        <f t="shared" ref="C252:I252" si="38">SUM(C253:C262)</f>
        <v>126695280</v>
      </c>
      <c r="D252" s="732">
        <f t="shared" si="38"/>
        <v>130595280</v>
      </c>
      <c r="E252" s="732">
        <f t="shared" si="38"/>
        <v>0</v>
      </c>
      <c r="F252" s="732">
        <f t="shared" si="38"/>
        <v>0</v>
      </c>
      <c r="G252" s="732">
        <f t="shared" si="38"/>
        <v>0</v>
      </c>
      <c r="H252" s="732">
        <f t="shared" si="38"/>
        <v>0</v>
      </c>
      <c r="I252" s="732">
        <f t="shared" si="38"/>
        <v>-54878190</v>
      </c>
      <c r="J252" s="75">
        <f t="shared" si="34"/>
        <v>-54878190</v>
      </c>
      <c r="K252" s="75">
        <f t="shared" si="35"/>
        <v>75717090</v>
      </c>
      <c r="L252" s="732">
        <f>SUM(L253:L262)</f>
        <v>136956639.96469989</v>
      </c>
      <c r="M252" s="760">
        <f>SUM(M253:M262)</f>
        <v>146737756.27777591</v>
      </c>
    </row>
    <row r="253" spans="1:13" ht="13.5" x14ac:dyDescent="0.25">
      <c r="A253" s="749" t="str">
        <f t="shared" ref="A253:A273" si="39">A85</f>
        <v>8.1 - DIRECTORATE PLANNING AND DEVELOPMENT</v>
      </c>
      <c r="B253" s="904"/>
      <c r="C253" s="382">
        <v>5375100</v>
      </c>
      <c r="D253" s="109">
        <v>5375100</v>
      </c>
      <c r="E253" s="109"/>
      <c r="F253" s="109"/>
      <c r="G253" s="109"/>
      <c r="H253" s="109"/>
      <c r="I253" s="109">
        <v>-2010486</v>
      </c>
      <c r="J253" s="75">
        <f t="shared" si="34"/>
        <v>-2010486</v>
      </c>
      <c r="K253" s="75">
        <f t="shared" si="35"/>
        <v>3364614</v>
      </c>
      <c r="L253" s="109">
        <v>5810442.4685296742</v>
      </c>
      <c r="M253" s="110">
        <v>6225410.4002033323</v>
      </c>
    </row>
    <row r="254" spans="1:13" ht="13.5" x14ac:dyDescent="0.25">
      <c r="A254" s="749" t="str">
        <f t="shared" si="39"/>
        <v>8.2 - PROPERTY MANAGEMENT</v>
      </c>
      <c r="B254" s="904"/>
      <c r="C254" s="382">
        <v>68748552</v>
      </c>
      <c r="D254" s="109">
        <v>72648552</v>
      </c>
      <c r="E254" s="109"/>
      <c r="F254" s="109"/>
      <c r="G254" s="109"/>
      <c r="H254" s="109"/>
      <c r="I254" s="109">
        <v>-66953257</v>
      </c>
      <c r="J254" s="75">
        <f t="shared" si="34"/>
        <v>-66953257</v>
      </c>
      <c r="K254" s="75">
        <f t="shared" si="35"/>
        <v>5695295</v>
      </c>
      <c r="L254" s="109">
        <v>74316665.027761474</v>
      </c>
      <c r="M254" s="110">
        <v>79624183.851411074</v>
      </c>
    </row>
    <row r="255" spans="1:13" ht="13.5" x14ac:dyDescent="0.25">
      <c r="A255" s="749" t="str">
        <f t="shared" si="39"/>
        <v xml:space="preserve">8.3 - CITY AND REGIONAL PLANNING </v>
      </c>
      <c r="B255" s="904"/>
      <c r="C255" s="382">
        <v>18953004</v>
      </c>
      <c r="D255" s="109">
        <v>18953004</v>
      </c>
      <c r="E255" s="109"/>
      <c r="F255" s="109"/>
      <c r="G255" s="109"/>
      <c r="H255" s="109"/>
      <c r="I255" s="109">
        <v>2910139</v>
      </c>
      <c r="J255" s="75">
        <f t="shared" si="34"/>
        <v>2910139</v>
      </c>
      <c r="K255" s="75">
        <f t="shared" si="35"/>
        <v>21863143</v>
      </c>
      <c r="L255" s="109">
        <v>20488054.054401368</v>
      </c>
      <c r="M255" s="110">
        <v>21951261.970325273</v>
      </c>
    </row>
    <row r="256" spans="1:13" ht="13.5" x14ac:dyDescent="0.25">
      <c r="A256" s="749" t="str">
        <f t="shared" si="39"/>
        <v>8.4 - CORPORATE GEO-INFORMATICS</v>
      </c>
      <c r="B256" s="904"/>
      <c r="C256" s="382">
        <v>4708104</v>
      </c>
      <c r="D256" s="109">
        <v>4708104</v>
      </c>
      <c r="E256" s="109"/>
      <c r="F256" s="109"/>
      <c r="G256" s="109"/>
      <c r="H256" s="109"/>
      <c r="I256" s="109">
        <v>303525</v>
      </c>
      <c r="J256" s="75">
        <f t="shared" si="34"/>
        <v>303525</v>
      </c>
      <c r="K256" s="75">
        <f t="shared" si="35"/>
        <v>5011629</v>
      </c>
      <c r="L256" s="109">
        <v>5089424.8344876254</v>
      </c>
      <c r="M256" s="110">
        <v>5452899.4077950018</v>
      </c>
    </row>
    <row r="257" spans="1:13" ht="13.5" x14ac:dyDescent="0.25">
      <c r="A257" s="749" t="str">
        <f t="shared" si="39"/>
        <v>8.5 - BUILDING INSPECTIONS (ADMINISTRATION)</v>
      </c>
      <c r="B257" s="904"/>
      <c r="C257" s="382">
        <v>10934796</v>
      </c>
      <c r="D257" s="109">
        <v>10934796</v>
      </c>
      <c r="E257" s="109"/>
      <c r="F257" s="109"/>
      <c r="G257" s="109"/>
      <c r="H257" s="109"/>
      <c r="I257" s="109">
        <v>-16747</v>
      </c>
      <c r="J257" s="75">
        <f t="shared" si="34"/>
        <v>-16747</v>
      </c>
      <c r="K257" s="75">
        <f t="shared" si="35"/>
        <v>10918049</v>
      </c>
      <c r="L257" s="109">
        <v>11820431.817660771</v>
      </c>
      <c r="M257" s="110">
        <v>12664618.842905585</v>
      </c>
    </row>
    <row r="258" spans="1:13" ht="13.5" x14ac:dyDescent="0.25">
      <c r="A258" s="749" t="str">
        <f t="shared" si="39"/>
        <v>8.6 - ECONOMIC DEVELOPMENT AND TOURISM</v>
      </c>
      <c r="B258" s="904"/>
      <c r="C258" s="382">
        <v>1952316</v>
      </c>
      <c r="D258" s="109">
        <v>1952316</v>
      </c>
      <c r="E258" s="109"/>
      <c r="F258" s="109"/>
      <c r="G258" s="109"/>
      <c r="H258" s="109"/>
      <c r="I258" s="109">
        <v>62702</v>
      </c>
      <c r="J258" s="75">
        <f t="shared" si="34"/>
        <v>62702</v>
      </c>
      <c r="K258" s="75">
        <f t="shared" si="35"/>
        <v>2015018</v>
      </c>
      <c r="L258" s="109">
        <v>2110438.8380476604</v>
      </c>
      <c r="M258" s="110">
        <v>2261161.3422789103</v>
      </c>
    </row>
    <row r="259" spans="1:13" ht="13.5" x14ac:dyDescent="0.25">
      <c r="A259" s="749" t="str">
        <f t="shared" si="39"/>
        <v>8.7 - LOCAL ECONOMIC DEVELOPMENT</v>
      </c>
      <c r="B259" s="904"/>
      <c r="C259" s="382">
        <v>7505592</v>
      </c>
      <c r="D259" s="109">
        <v>7505592</v>
      </c>
      <c r="E259" s="109"/>
      <c r="F259" s="109"/>
      <c r="G259" s="109"/>
      <c r="H259" s="109"/>
      <c r="I259" s="109">
        <v>-2719990</v>
      </c>
      <c r="J259" s="75">
        <f t="shared" si="34"/>
        <v>-2719990</v>
      </c>
      <c r="K259" s="75">
        <f t="shared" si="35"/>
        <v>4785602</v>
      </c>
      <c r="L259" s="109">
        <v>8113488.2157088378</v>
      </c>
      <c r="M259" s="110">
        <v>8692934.1773144566</v>
      </c>
    </row>
    <row r="260" spans="1:13" ht="13.5" x14ac:dyDescent="0.25">
      <c r="A260" s="749" t="str">
        <f t="shared" si="39"/>
        <v>8.8 - INVESTMENT PROMOTION</v>
      </c>
      <c r="B260" s="904"/>
      <c r="C260" s="382">
        <v>6063180</v>
      </c>
      <c r="D260" s="109">
        <v>6063180</v>
      </c>
      <c r="E260" s="109"/>
      <c r="F260" s="109"/>
      <c r="G260" s="109"/>
      <c r="H260" s="109"/>
      <c r="I260" s="109">
        <v>-524644</v>
      </c>
      <c r="J260" s="75">
        <f t="shared" si="34"/>
        <v>-524644</v>
      </c>
      <c r="K260" s="75">
        <f t="shared" si="35"/>
        <v>5538536</v>
      </c>
      <c r="L260" s="109">
        <v>6554251.7471934939</v>
      </c>
      <c r="M260" s="110">
        <v>7022340.7620890476</v>
      </c>
    </row>
    <row r="261" spans="1:13" ht="13.5" x14ac:dyDescent="0.25">
      <c r="A261" s="749" t="str">
        <f t="shared" si="39"/>
        <v>8.9 - LED (ECONOMIC PLANNING)</v>
      </c>
      <c r="B261" s="904"/>
      <c r="C261" s="382">
        <v>2862492</v>
      </c>
      <c r="D261" s="109">
        <v>2862492</v>
      </c>
      <c r="E261" s="109"/>
      <c r="F261" s="109"/>
      <c r="G261" s="109"/>
      <c r="H261" s="109"/>
      <c r="I261" s="109">
        <v>13662712</v>
      </c>
      <c r="J261" s="75">
        <f t="shared" si="34"/>
        <v>13662712</v>
      </c>
      <c r="K261" s="75">
        <f t="shared" si="35"/>
        <v>16525204</v>
      </c>
      <c r="L261" s="109">
        <v>3094332.2138428017</v>
      </c>
      <c r="M261" s="110">
        <v>3315322.0344363526</v>
      </c>
    </row>
    <row r="262" spans="1:13" ht="13.5" x14ac:dyDescent="0.25">
      <c r="A262" s="749" t="str">
        <f t="shared" si="39"/>
        <v>8.10 - LOCAL ECONOMIC DEVELOPMENT</v>
      </c>
      <c r="B262" s="904"/>
      <c r="C262" s="382">
        <v>-407856</v>
      </c>
      <c r="D262" s="109">
        <v>-407856</v>
      </c>
      <c r="E262" s="109"/>
      <c r="F262" s="109"/>
      <c r="G262" s="109"/>
      <c r="H262" s="109"/>
      <c r="I262" s="109">
        <v>407856</v>
      </c>
      <c r="J262" s="75">
        <f t="shared" si="34"/>
        <v>407856</v>
      </c>
      <c r="K262" s="75">
        <f t="shared" si="35"/>
        <v>0</v>
      </c>
      <c r="L262" s="109">
        <v>-440889.25293383171</v>
      </c>
      <c r="M262" s="110">
        <v>-472376.51098311297</v>
      </c>
    </row>
    <row r="263" spans="1:13" ht="13.5" x14ac:dyDescent="0.25">
      <c r="A263" s="746" t="str">
        <f t="shared" si="39"/>
        <v>Vote 9 - BUDGET AND TREASURY OFFICE</v>
      </c>
      <c r="B263" s="904"/>
      <c r="C263" s="733">
        <f t="shared" ref="C263:I263" si="40">SUM(C264:C273)</f>
        <v>547788171</v>
      </c>
      <c r="D263" s="732">
        <f t="shared" si="40"/>
        <v>551388171</v>
      </c>
      <c r="E263" s="732">
        <f t="shared" si="40"/>
        <v>0</v>
      </c>
      <c r="F263" s="732">
        <f t="shared" si="40"/>
        <v>0</v>
      </c>
      <c r="G263" s="732">
        <f t="shared" si="40"/>
        <v>0</v>
      </c>
      <c r="H263" s="732">
        <f t="shared" si="40"/>
        <v>0</v>
      </c>
      <c r="I263" s="732">
        <f t="shared" si="40"/>
        <v>-119801649</v>
      </c>
      <c r="J263" s="75">
        <f t="shared" si="34"/>
        <v>-119801649</v>
      </c>
      <c r="K263" s="75">
        <f t="shared" si="35"/>
        <v>431586522</v>
      </c>
      <c r="L263" s="732">
        <f>SUM(L264:L273)</f>
        <v>546185537.72674215</v>
      </c>
      <c r="M263" s="760">
        <f>SUM(M264:M273)</f>
        <v>553774389.07779753</v>
      </c>
    </row>
    <row r="264" spans="1:13" ht="13.5" x14ac:dyDescent="0.25">
      <c r="A264" s="749" t="str">
        <f t="shared" si="39"/>
        <v>9.1 - BUDGET AND TREASURY OFFICE (ADMINISTRATION)</v>
      </c>
      <c r="B264" s="904"/>
      <c r="C264" s="382">
        <v>36049884</v>
      </c>
      <c r="D264" s="109">
        <v>36049884</v>
      </c>
      <c r="E264" s="109"/>
      <c r="F264" s="109"/>
      <c r="G264" s="109"/>
      <c r="H264" s="109"/>
      <c r="I264" s="109">
        <v>1986626</v>
      </c>
      <c r="J264" s="75">
        <f t="shared" si="34"/>
        <v>1986626</v>
      </c>
      <c r="K264" s="75">
        <f t="shared" si="35"/>
        <v>38036510</v>
      </c>
      <c r="L264" s="109">
        <v>38969652.095620252</v>
      </c>
      <c r="M264" s="110">
        <v>41752771.62838342</v>
      </c>
    </row>
    <row r="265" spans="1:13" ht="13.5" x14ac:dyDescent="0.25">
      <c r="A265" s="749" t="str">
        <f t="shared" si="39"/>
        <v>9.2 - EXPENDITURE MANAGEMENT</v>
      </c>
      <c r="B265" s="904"/>
      <c r="C265" s="382">
        <v>0</v>
      </c>
      <c r="D265" s="109">
        <v>0</v>
      </c>
      <c r="E265" s="109"/>
      <c r="F265" s="109"/>
      <c r="G265" s="109"/>
      <c r="H265" s="109"/>
      <c r="I265" s="109">
        <v>136567485</v>
      </c>
      <c r="J265" s="75">
        <f t="shared" si="34"/>
        <v>136567485</v>
      </c>
      <c r="K265" s="75">
        <f t="shared" si="35"/>
        <v>136567485</v>
      </c>
      <c r="L265" s="109">
        <v>0</v>
      </c>
      <c r="M265" s="110">
        <v>0</v>
      </c>
    </row>
    <row r="266" spans="1:13" ht="13.5" x14ac:dyDescent="0.25">
      <c r="A266" s="749" t="str">
        <f t="shared" si="39"/>
        <v>9.3 - REVENUE MANAGEMENTAND CUSTOMER CARE</v>
      </c>
      <c r="B266" s="904"/>
      <c r="C266" s="382">
        <v>128980080</v>
      </c>
      <c r="D266" s="109">
        <v>128980080</v>
      </c>
      <c r="E266" s="109"/>
      <c r="F266" s="109"/>
      <c r="G266" s="109"/>
      <c r="H266" s="109"/>
      <c r="I266" s="109">
        <v>-19019229</v>
      </c>
      <c r="J266" s="75">
        <f t="shared" si="34"/>
        <v>-19019229</v>
      </c>
      <c r="K266" s="75">
        <f t="shared" si="35"/>
        <v>109960851</v>
      </c>
      <c r="L266" s="109">
        <v>139426491.49343359</v>
      </c>
      <c r="M266" s="110">
        <v>149383998.70719761</v>
      </c>
    </row>
    <row r="267" spans="1:13" ht="13.5" x14ac:dyDescent="0.25">
      <c r="A267" s="749" t="str">
        <f t="shared" si="39"/>
        <v>9.4 - SUPPLY CHAIN MANAGEMENT</v>
      </c>
      <c r="B267" s="904"/>
      <c r="C267" s="382">
        <v>22561680</v>
      </c>
      <c r="D267" s="109">
        <v>22561680</v>
      </c>
      <c r="E267" s="109"/>
      <c r="F267" s="109"/>
      <c r="G267" s="109"/>
      <c r="H267" s="109"/>
      <c r="I267" s="109">
        <v>672372</v>
      </c>
      <c r="J267" s="75">
        <f t="shared" si="34"/>
        <v>672372</v>
      </c>
      <c r="K267" s="75">
        <f t="shared" si="35"/>
        <v>23234052</v>
      </c>
      <c r="L267" s="109">
        <v>24389005.531688076</v>
      </c>
      <c r="M267" s="110">
        <v>26130810.090614039</v>
      </c>
    </row>
    <row r="268" spans="1:13" ht="13.5" x14ac:dyDescent="0.25">
      <c r="A268" s="749" t="str">
        <f t="shared" si="39"/>
        <v>9.5 - ASSETS MANAGEMENT</v>
      </c>
      <c r="B268" s="904"/>
      <c r="C268" s="382">
        <v>59241984</v>
      </c>
      <c r="D268" s="109">
        <v>62241984</v>
      </c>
      <c r="E268" s="109"/>
      <c r="F268" s="109"/>
      <c r="G268" s="109"/>
      <c r="H268" s="109">
        <v>0</v>
      </c>
      <c r="I268" s="109">
        <v>-400233</v>
      </c>
      <c r="J268" s="75">
        <f t="shared" si="34"/>
        <v>-400233</v>
      </c>
      <c r="K268" s="75">
        <f t="shared" si="35"/>
        <v>61841751</v>
      </c>
      <c r="L268" s="109">
        <v>64040136.881835774</v>
      </c>
      <c r="M268" s="110">
        <v>68613730.595203713</v>
      </c>
    </row>
    <row r="269" spans="1:13" ht="13.5" x14ac:dyDescent="0.25">
      <c r="A269" s="749" t="str">
        <f t="shared" si="39"/>
        <v>9.6 - BUDGET AND FINANCIAL REPORTING</v>
      </c>
      <c r="B269" s="904"/>
      <c r="C269" s="382">
        <v>298131382</v>
      </c>
      <c r="D269" s="109">
        <v>298731382</v>
      </c>
      <c r="E269" s="109"/>
      <c r="F269" s="109"/>
      <c r="G269" s="109"/>
      <c r="H269" s="109">
        <v>0</v>
      </c>
      <c r="I269" s="109">
        <v>-238083220</v>
      </c>
      <c r="J269" s="75">
        <f t="shared" si="34"/>
        <v>-238083220</v>
      </c>
      <c r="K269" s="75">
        <f t="shared" si="35"/>
        <v>60648162</v>
      </c>
      <c r="L269" s="109">
        <v>348557566.35257202</v>
      </c>
      <c r="M269" s="110">
        <v>395455809.68805403</v>
      </c>
    </row>
    <row r="270" spans="1:13" ht="13.5" x14ac:dyDescent="0.25">
      <c r="A270" s="749" t="str">
        <f t="shared" si="39"/>
        <v>9.7 - BUSINESS AND FINANCIAL PLANNING</v>
      </c>
      <c r="B270" s="904"/>
      <c r="C270" s="382">
        <v>1308288</v>
      </c>
      <c r="D270" s="109">
        <v>1308288</v>
      </c>
      <c r="E270" s="109"/>
      <c r="F270" s="109"/>
      <c r="G270" s="109"/>
      <c r="H270" s="109"/>
      <c r="I270" s="109">
        <v>-10577</v>
      </c>
      <c r="J270" s="75">
        <f t="shared" si="34"/>
        <v>-10577</v>
      </c>
      <c r="K270" s="75">
        <f t="shared" si="35"/>
        <v>1297711</v>
      </c>
      <c r="L270" s="109">
        <v>1414249.438385844</v>
      </c>
      <c r="M270" s="110">
        <v>1515251.7574856686</v>
      </c>
    </row>
    <row r="271" spans="1:13" ht="13.5" x14ac:dyDescent="0.25">
      <c r="A271" s="749">
        <f t="shared" si="39"/>
        <v>0</v>
      </c>
      <c r="B271" s="904"/>
      <c r="C271" s="382">
        <v>1514873</v>
      </c>
      <c r="D271" s="109">
        <v>1514873</v>
      </c>
      <c r="E271" s="109"/>
      <c r="F271" s="109"/>
      <c r="G271" s="109"/>
      <c r="H271" s="109"/>
      <c r="I271" s="109">
        <v>-1514873</v>
      </c>
      <c r="J271" s="75">
        <f t="shared" si="34"/>
        <v>-1514873</v>
      </c>
      <c r="K271" s="75">
        <f t="shared" si="35"/>
        <v>0</v>
      </c>
      <c r="L271" s="109">
        <v>-70611564.066793397</v>
      </c>
      <c r="M271" s="110">
        <v>-129077983.38914099</v>
      </c>
    </row>
    <row r="272" spans="1:13" ht="13.5" x14ac:dyDescent="0.25">
      <c r="A272" s="749">
        <f t="shared" si="39"/>
        <v>0</v>
      </c>
      <c r="B272" s="904"/>
      <c r="C272" s="382"/>
      <c r="D272" s="109">
        <v>0</v>
      </c>
      <c r="E272" s="109"/>
      <c r="F272" s="109"/>
      <c r="G272" s="109"/>
      <c r="H272" s="109"/>
      <c r="I272" s="109">
        <v>0</v>
      </c>
      <c r="J272" s="75">
        <f t="shared" si="34"/>
        <v>0</v>
      </c>
      <c r="K272" s="75">
        <f t="shared" si="35"/>
        <v>0</v>
      </c>
      <c r="L272" s="109"/>
      <c r="M272" s="110"/>
    </row>
    <row r="273" spans="1:13" ht="13.5" x14ac:dyDescent="0.25">
      <c r="A273" s="749">
        <f t="shared" si="39"/>
        <v>0</v>
      </c>
      <c r="B273" s="904"/>
      <c r="C273" s="382"/>
      <c r="D273" s="109">
        <v>0</v>
      </c>
      <c r="E273" s="109"/>
      <c r="F273" s="109"/>
      <c r="G273" s="109"/>
      <c r="H273" s="109"/>
      <c r="I273" s="109">
        <v>0</v>
      </c>
      <c r="J273" s="75">
        <f t="shared" si="34"/>
        <v>0</v>
      </c>
      <c r="K273" s="75">
        <f t="shared" si="35"/>
        <v>0</v>
      </c>
      <c r="L273" s="109"/>
      <c r="M273" s="110"/>
    </row>
    <row r="274" spans="1:13" ht="13.5" x14ac:dyDescent="0.25">
      <c r="A274" s="746" t="str">
        <f>A106</f>
        <v xml:space="preserve">Vote 10 - TRANSPORT SERVICES </v>
      </c>
      <c r="B274" s="904"/>
      <c r="C274" s="733">
        <f t="shared" ref="C274:I274" si="41">SUM(C275:C284)</f>
        <v>230522497.19999999</v>
      </c>
      <c r="D274" s="732">
        <f t="shared" si="41"/>
        <v>231522497.19999999</v>
      </c>
      <c r="E274" s="732">
        <f t="shared" si="41"/>
        <v>0</v>
      </c>
      <c r="F274" s="732">
        <f t="shared" si="41"/>
        <v>0</v>
      </c>
      <c r="G274" s="732">
        <f t="shared" si="41"/>
        <v>0</v>
      </c>
      <c r="H274" s="732">
        <f t="shared" si="41"/>
        <v>25300676</v>
      </c>
      <c r="I274" s="732">
        <f t="shared" si="41"/>
        <v>74463279.799999997</v>
      </c>
      <c r="J274" s="75">
        <f t="shared" si="34"/>
        <v>99763955.799999997</v>
      </c>
      <c r="K274" s="75">
        <f t="shared" si="35"/>
        <v>331286453</v>
      </c>
      <c r="L274" s="732">
        <f>SUM(L275:L284)</f>
        <v>249193076.90692133</v>
      </c>
      <c r="M274" s="760">
        <f>SUM(M275:M284)</f>
        <v>266989851.63991806</v>
      </c>
    </row>
    <row r="275" spans="1:13" ht="13.5" x14ac:dyDescent="0.25">
      <c r="A275" s="749" t="str">
        <f>A107</f>
        <v>10.1 - TRANSPORT SERVICES</v>
      </c>
      <c r="B275" s="904"/>
      <c r="C275" s="382">
        <v>56055972</v>
      </c>
      <c r="D275" s="109">
        <v>57055972</v>
      </c>
      <c r="E275" s="109">
        <v>0</v>
      </c>
      <c r="F275" s="109">
        <v>0</v>
      </c>
      <c r="G275" s="109">
        <v>0</v>
      </c>
      <c r="H275" s="109">
        <v>25300676</v>
      </c>
      <c r="I275" s="109">
        <v>16071165</v>
      </c>
      <c r="J275" s="75">
        <f t="shared" si="34"/>
        <v>41371841</v>
      </c>
      <c r="K275" s="75">
        <f t="shared" si="35"/>
        <v>98427813</v>
      </c>
      <c r="L275" s="109">
        <v>60596081.993546225</v>
      </c>
      <c r="M275" s="110">
        <v>64923709.527693778</v>
      </c>
    </row>
    <row r="276" spans="1:13" ht="13.5" x14ac:dyDescent="0.25">
      <c r="A276" s="749" t="str">
        <f t="shared" ref="A276:A283" si="42">A108</f>
        <v>10.2 - TRANSPORT SERVICES (PLANNING AND OPERATIONS)</v>
      </c>
      <c r="B276" s="904"/>
      <c r="C276" s="382">
        <v>45414552</v>
      </c>
      <c r="D276" s="109">
        <v>45414552</v>
      </c>
      <c r="E276" s="109">
        <v>0</v>
      </c>
      <c r="F276" s="109">
        <v>0</v>
      </c>
      <c r="G276" s="109">
        <v>0</v>
      </c>
      <c r="H276" s="109">
        <v>0</v>
      </c>
      <c r="I276" s="109">
        <v>-43832262</v>
      </c>
      <c r="J276" s="75">
        <f t="shared" si="34"/>
        <v>-43832262</v>
      </c>
      <c r="K276" s="75">
        <f t="shared" si="35"/>
        <v>1582290</v>
      </c>
      <c r="L276" s="109">
        <v>49092787.414196804</v>
      </c>
      <c r="M276" s="110">
        <v>52598877.107658476</v>
      </c>
    </row>
    <row r="277" spans="1:13" ht="13.5" x14ac:dyDescent="0.25">
      <c r="A277" s="749" t="str">
        <f t="shared" si="42"/>
        <v xml:space="preserve">10.3 - TRANSPORT SERVICES(INTELLIGENT TRANSPORT SYSTEM MODELLING) </v>
      </c>
      <c r="B277" s="904"/>
      <c r="C277" s="382">
        <v>1700088</v>
      </c>
      <c r="D277" s="109">
        <v>1700088</v>
      </c>
      <c r="E277" s="109">
        <v>0</v>
      </c>
      <c r="F277" s="109">
        <v>0</v>
      </c>
      <c r="G277" s="109">
        <v>0</v>
      </c>
      <c r="H277" s="109">
        <v>0</v>
      </c>
      <c r="I277" s="109">
        <v>-882978</v>
      </c>
      <c r="J277" s="75">
        <f t="shared" si="34"/>
        <v>-882978</v>
      </c>
      <c r="K277" s="75">
        <f t="shared" si="35"/>
        <v>817110</v>
      </c>
      <c r="L277" s="109">
        <v>1837782.276690234</v>
      </c>
      <c r="M277" s="110">
        <v>1969032.3001359757</v>
      </c>
    </row>
    <row r="278" spans="1:13" ht="13.5" x14ac:dyDescent="0.25">
      <c r="A278" s="749" t="str">
        <f t="shared" si="42"/>
        <v>10.4 - TRANSPORT SERVICES (PUBLIC TRANSPORT REGULATION AND MONITIRING)</v>
      </c>
      <c r="B278" s="904"/>
      <c r="C278" s="382">
        <v>928116</v>
      </c>
      <c r="D278" s="109">
        <v>928116</v>
      </c>
      <c r="E278" s="109">
        <v>0</v>
      </c>
      <c r="F278" s="109">
        <v>0</v>
      </c>
      <c r="G278" s="109">
        <v>0</v>
      </c>
      <c r="H278" s="109">
        <v>0</v>
      </c>
      <c r="I278" s="109">
        <v>22217272</v>
      </c>
      <c r="J278" s="75">
        <f t="shared" si="34"/>
        <v>22217272</v>
      </c>
      <c r="K278" s="75">
        <f t="shared" si="35"/>
        <v>23145388</v>
      </c>
      <c r="L278" s="109">
        <v>1003286.3801830454</v>
      </c>
      <c r="M278" s="110">
        <v>1074938.6986279541</v>
      </c>
    </row>
    <row r="279" spans="1:13" ht="13.5" x14ac:dyDescent="0.25">
      <c r="A279" s="749" t="str">
        <f t="shared" si="42"/>
        <v>10.5 - ROADS AND STORMWATER (ADMINISTRATION)</v>
      </c>
      <c r="B279" s="904"/>
      <c r="C279" s="382">
        <v>2674584</v>
      </c>
      <c r="D279" s="109">
        <v>2674584</v>
      </c>
      <c r="E279" s="109">
        <v>0</v>
      </c>
      <c r="F279" s="109">
        <v>0</v>
      </c>
      <c r="G279" s="109">
        <v>0</v>
      </c>
      <c r="H279" s="109">
        <v>0</v>
      </c>
      <c r="I279" s="109">
        <v>-825417</v>
      </c>
      <c r="J279" s="75">
        <f t="shared" si="34"/>
        <v>-825417</v>
      </c>
      <c r="K279" s="75">
        <f t="shared" si="35"/>
        <v>1849167</v>
      </c>
      <c r="L279" s="109">
        <v>2891205.0862774593</v>
      </c>
      <c r="M279" s="110">
        <v>3097688.0522813401</v>
      </c>
    </row>
    <row r="280" spans="1:13" ht="13.5" x14ac:dyDescent="0.25">
      <c r="A280" s="749" t="str">
        <f t="shared" si="42"/>
        <v xml:space="preserve">10.6 - STORM WATER MANAGEMENT AND TRAFFIC ENGINEERING  </v>
      </c>
      <c r="B280" s="904"/>
      <c r="C280" s="382">
        <v>3031680</v>
      </c>
      <c r="D280" s="109">
        <v>3031680</v>
      </c>
      <c r="E280" s="109">
        <v>0</v>
      </c>
      <c r="F280" s="109">
        <v>0</v>
      </c>
      <c r="G280" s="109">
        <v>0</v>
      </c>
      <c r="H280" s="109">
        <v>0</v>
      </c>
      <c r="I280" s="109">
        <v>-2975330</v>
      </c>
      <c r="J280" s="75">
        <f t="shared" si="34"/>
        <v>-2975330</v>
      </c>
      <c r="K280" s="75">
        <f t="shared" si="35"/>
        <v>56350</v>
      </c>
      <c r="L280" s="109">
        <v>3277223.1629164191</v>
      </c>
      <c r="M280" s="110">
        <v>3511274.6185351792</v>
      </c>
    </row>
    <row r="281" spans="1:13" ht="13.5" x14ac:dyDescent="0.25">
      <c r="A281" s="749" t="str">
        <f t="shared" si="42"/>
        <v>10.7 - ROADS AND STORMWATER (ROADS AND STREETS)</v>
      </c>
      <c r="B281" s="904"/>
      <c r="C281" s="382">
        <v>229188</v>
      </c>
      <c r="D281" s="109">
        <v>229188</v>
      </c>
      <c r="E281" s="109">
        <v>0</v>
      </c>
      <c r="F281" s="109">
        <v>0</v>
      </c>
      <c r="G281" s="109">
        <v>0</v>
      </c>
      <c r="H281" s="109">
        <v>0</v>
      </c>
      <c r="I281" s="109">
        <v>66001784</v>
      </c>
      <c r="J281" s="75">
        <f t="shared" si="34"/>
        <v>66001784</v>
      </c>
      <c r="K281" s="75">
        <f t="shared" si="35"/>
        <v>66230972</v>
      </c>
      <c r="L281" s="109">
        <v>247750.49552145615</v>
      </c>
      <c r="M281" s="110">
        <v>265444.24453532055</v>
      </c>
    </row>
    <row r="282" spans="1:13" ht="13.5" x14ac:dyDescent="0.25">
      <c r="A282" s="749" t="str">
        <f t="shared" si="42"/>
        <v>10.8 - ROADS AND STORMWATER (STORMWATER)</v>
      </c>
      <c r="B282" s="904"/>
      <c r="C282" s="382">
        <v>0</v>
      </c>
      <c r="D282" s="109">
        <v>0</v>
      </c>
      <c r="E282" s="109">
        <v>0</v>
      </c>
      <c r="F282" s="109">
        <v>0</v>
      </c>
      <c r="G282" s="109">
        <v>0</v>
      </c>
      <c r="H282" s="109">
        <v>0</v>
      </c>
      <c r="I282" s="109">
        <v>139177363</v>
      </c>
      <c r="J282" s="75">
        <f t="shared" si="34"/>
        <v>139177363</v>
      </c>
      <c r="K282" s="75">
        <f t="shared" si="35"/>
        <v>139177363</v>
      </c>
      <c r="L282" s="109">
        <v>0</v>
      </c>
      <c r="M282" s="110">
        <v>0</v>
      </c>
    </row>
    <row r="283" spans="1:13" ht="13.5" x14ac:dyDescent="0.25">
      <c r="A283" s="749">
        <f t="shared" si="42"/>
        <v>0</v>
      </c>
      <c r="B283" s="904"/>
      <c r="C283" s="382">
        <v>118803907.2</v>
      </c>
      <c r="D283" s="109">
        <v>118803907.2</v>
      </c>
      <c r="E283" s="109">
        <v>0</v>
      </c>
      <c r="F283" s="109">
        <v>0</v>
      </c>
      <c r="G283" s="109">
        <v>0</v>
      </c>
      <c r="H283" s="109">
        <v>0</v>
      </c>
      <c r="I283" s="109">
        <v>-118803907.2</v>
      </c>
      <c r="J283" s="75">
        <f t="shared" si="34"/>
        <v>-118803907.2</v>
      </c>
      <c r="K283" s="75">
        <f t="shared" si="35"/>
        <v>0</v>
      </c>
      <c r="L283" s="109">
        <v>128426125.62038629</v>
      </c>
      <c r="M283" s="110">
        <v>137598012.96118614</v>
      </c>
    </row>
    <row r="284" spans="1:13" ht="13.5" x14ac:dyDescent="0.25">
      <c r="A284" s="749">
        <f>A116</f>
        <v>0</v>
      </c>
      <c r="B284" s="904"/>
      <c r="C284" s="382">
        <v>1684410</v>
      </c>
      <c r="D284" s="109">
        <v>1684410</v>
      </c>
      <c r="E284" s="109">
        <v>0</v>
      </c>
      <c r="F284" s="109">
        <v>0</v>
      </c>
      <c r="G284" s="109">
        <v>0</v>
      </c>
      <c r="H284" s="109">
        <v>0</v>
      </c>
      <c r="I284" s="109">
        <v>-1684410</v>
      </c>
      <c r="J284" s="75">
        <f t="shared" si="34"/>
        <v>-1684410</v>
      </c>
      <c r="K284" s="75">
        <f t="shared" si="35"/>
        <v>0</v>
      </c>
      <c r="L284" s="109">
        <v>1820834.4772034136</v>
      </c>
      <c r="M284" s="110">
        <v>1950874.1292639198</v>
      </c>
    </row>
    <row r="285" spans="1:13" ht="13.5" x14ac:dyDescent="0.25">
      <c r="A285" s="746" t="str">
        <f>A117</f>
        <v>Vote 11 - HUMAN SETTLEMENT</v>
      </c>
      <c r="B285" s="904"/>
      <c r="C285" s="733">
        <f t="shared" ref="C285:I285" si="43">SUM(C286:C295)</f>
        <v>13292036</v>
      </c>
      <c r="D285" s="732">
        <f t="shared" si="43"/>
        <v>13292036</v>
      </c>
      <c r="E285" s="732">
        <f t="shared" si="43"/>
        <v>0</v>
      </c>
      <c r="F285" s="732">
        <f t="shared" si="43"/>
        <v>0</v>
      </c>
      <c r="G285" s="732">
        <f t="shared" si="43"/>
        <v>0</v>
      </c>
      <c r="H285" s="732">
        <f t="shared" si="43"/>
        <v>0</v>
      </c>
      <c r="I285" s="732">
        <f t="shared" si="43"/>
        <v>-1620788</v>
      </c>
      <c r="J285" s="75">
        <f t="shared" si="34"/>
        <v>-1620788</v>
      </c>
      <c r="K285" s="75">
        <f t="shared" si="35"/>
        <v>11671248</v>
      </c>
      <c r="L285" s="732">
        <f>SUM(L286:L295)</f>
        <v>14368590.438805845</v>
      </c>
      <c r="M285" s="760">
        <f>SUM(M286:M295)</f>
        <v>15394760.870360943</v>
      </c>
    </row>
    <row r="286" spans="1:13" ht="13.5" x14ac:dyDescent="0.25">
      <c r="A286" s="749" t="str">
        <f>A118</f>
        <v>11.1 - HUMAN SETTLEMENT</v>
      </c>
      <c r="B286" s="904"/>
      <c r="C286" s="382">
        <v>3803880</v>
      </c>
      <c r="D286" s="109">
        <v>3803880</v>
      </c>
      <c r="E286" s="109"/>
      <c r="F286" s="109"/>
      <c r="G286" s="109"/>
      <c r="H286" s="109"/>
      <c r="I286" s="109">
        <v>-3714963</v>
      </c>
      <c r="J286" s="75">
        <f t="shared" si="34"/>
        <v>-3714963</v>
      </c>
      <c r="K286" s="75">
        <f t="shared" si="35"/>
        <v>88917</v>
      </c>
      <c r="L286" s="109">
        <v>4111965.5257001095</v>
      </c>
      <c r="M286" s="110">
        <v>4405632.2883528592</v>
      </c>
    </row>
    <row r="287" spans="1:13" ht="13.5" x14ac:dyDescent="0.25">
      <c r="A287" s="749" t="str">
        <f t="shared" ref="A287:A339" si="44">A119</f>
        <v>11.2 - HUMAN SETTLEMENT - HOUSING ADMINISTRATION</v>
      </c>
      <c r="B287" s="904"/>
      <c r="C287" s="382">
        <v>5521404</v>
      </c>
      <c r="D287" s="109">
        <v>5521404</v>
      </c>
      <c r="E287" s="109"/>
      <c r="F287" s="109"/>
      <c r="G287" s="109"/>
      <c r="H287" s="109"/>
      <c r="I287" s="109">
        <v>-3419107</v>
      </c>
      <c r="J287" s="75">
        <f t="shared" si="34"/>
        <v>-3419107</v>
      </c>
      <c r="K287" s="75">
        <f t="shared" si="35"/>
        <v>2102297</v>
      </c>
      <c r="L287" s="109">
        <v>5968595.9865880851</v>
      </c>
      <c r="M287" s="110">
        <v>6394858.8650116799</v>
      </c>
    </row>
    <row r="288" spans="1:13" ht="13.5" x14ac:dyDescent="0.25">
      <c r="A288" s="749" t="str">
        <f t="shared" si="44"/>
        <v>11.3 - HUMAN SETTLEMENT RENTAL HOUSING AND PROGRAMME IMPLEMANTATION</v>
      </c>
      <c r="B288" s="904"/>
      <c r="C288" s="382">
        <v>3984912</v>
      </c>
      <c r="D288" s="109">
        <v>3984912</v>
      </c>
      <c r="E288" s="109"/>
      <c r="F288" s="109"/>
      <c r="G288" s="109"/>
      <c r="H288" s="109"/>
      <c r="I288" s="109">
        <v>5495122</v>
      </c>
      <c r="J288" s="75">
        <f t="shared" si="34"/>
        <v>5495122</v>
      </c>
      <c r="K288" s="75">
        <f t="shared" si="35"/>
        <v>9480034</v>
      </c>
      <c r="L288" s="109">
        <v>4307659.7492425302</v>
      </c>
      <c r="M288" s="110">
        <v>4615302.52622185</v>
      </c>
    </row>
    <row r="289" spans="1:13" ht="13.5" x14ac:dyDescent="0.25">
      <c r="A289" s="749">
        <f t="shared" si="44"/>
        <v>0</v>
      </c>
      <c r="B289" s="904"/>
      <c r="C289" s="382">
        <v>-18160</v>
      </c>
      <c r="D289" s="109">
        <v>-18160</v>
      </c>
      <c r="E289" s="109"/>
      <c r="F289" s="109"/>
      <c r="G289" s="109"/>
      <c r="H289" s="109"/>
      <c r="I289" s="109">
        <v>18160</v>
      </c>
      <c r="J289" s="75">
        <f t="shared" si="34"/>
        <v>18160</v>
      </c>
      <c r="K289" s="75">
        <f t="shared" si="35"/>
        <v>0</v>
      </c>
      <c r="L289" s="109">
        <v>-19630.82272487933</v>
      </c>
      <c r="M289" s="110">
        <v>-21032.809225445577</v>
      </c>
    </row>
    <row r="290" spans="1:13" ht="13.5" x14ac:dyDescent="0.25">
      <c r="A290" s="749">
        <f t="shared" si="44"/>
        <v>0</v>
      </c>
      <c r="B290" s="904"/>
      <c r="C290" s="382"/>
      <c r="D290" s="109">
        <v>0</v>
      </c>
      <c r="E290" s="109"/>
      <c r="F290" s="109"/>
      <c r="G290" s="109"/>
      <c r="H290" s="109"/>
      <c r="I290" s="109">
        <v>0</v>
      </c>
      <c r="J290" s="75">
        <f t="shared" si="34"/>
        <v>0</v>
      </c>
      <c r="K290" s="75">
        <f t="shared" si="35"/>
        <v>0</v>
      </c>
      <c r="L290" s="109"/>
      <c r="M290" s="110"/>
    </row>
    <row r="291" spans="1:13" ht="13.5" x14ac:dyDescent="0.25">
      <c r="A291" s="749">
        <f t="shared" si="44"/>
        <v>0</v>
      </c>
      <c r="B291" s="904"/>
      <c r="C291" s="382"/>
      <c r="D291" s="109">
        <v>0</v>
      </c>
      <c r="E291" s="109"/>
      <c r="F291" s="109"/>
      <c r="G291" s="109"/>
      <c r="H291" s="109"/>
      <c r="I291" s="109">
        <v>0</v>
      </c>
      <c r="J291" s="75">
        <f t="shared" si="34"/>
        <v>0</v>
      </c>
      <c r="K291" s="75">
        <f t="shared" si="35"/>
        <v>0</v>
      </c>
      <c r="L291" s="109"/>
      <c r="M291" s="110"/>
    </row>
    <row r="292" spans="1:13" ht="13.5" x14ac:dyDescent="0.25">
      <c r="A292" s="749">
        <f t="shared" si="44"/>
        <v>0</v>
      </c>
      <c r="B292" s="904"/>
      <c r="C292" s="382"/>
      <c r="D292" s="109">
        <v>0</v>
      </c>
      <c r="E292" s="109"/>
      <c r="F292" s="109"/>
      <c r="G292" s="109"/>
      <c r="H292" s="109"/>
      <c r="I292" s="109">
        <v>0</v>
      </c>
      <c r="J292" s="75">
        <f t="shared" si="34"/>
        <v>0</v>
      </c>
      <c r="K292" s="75">
        <f t="shared" si="35"/>
        <v>0</v>
      </c>
      <c r="L292" s="109"/>
      <c r="M292" s="110"/>
    </row>
    <row r="293" spans="1:13" ht="13.5" x14ac:dyDescent="0.25">
      <c r="A293" s="749">
        <f t="shared" si="44"/>
        <v>0</v>
      </c>
      <c r="B293" s="904"/>
      <c r="C293" s="382"/>
      <c r="D293" s="109">
        <v>0</v>
      </c>
      <c r="E293" s="109"/>
      <c r="F293" s="109"/>
      <c r="G293" s="109"/>
      <c r="H293" s="109"/>
      <c r="I293" s="109">
        <v>0</v>
      </c>
      <c r="J293" s="75">
        <f t="shared" si="34"/>
        <v>0</v>
      </c>
      <c r="K293" s="75">
        <f t="shared" si="35"/>
        <v>0</v>
      </c>
      <c r="L293" s="109"/>
      <c r="M293" s="110"/>
    </row>
    <row r="294" spans="1:13" ht="13.5" x14ac:dyDescent="0.25">
      <c r="A294" s="749">
        <f t="shared" si="44"/>
        <v>0</v>
      </c>
      <c r="B294" s="904"/>
      <c r="C294" s="382"/>
      <c r="D294" s="109">
        <v>0</v>
      </c>
      <c r="E294" s="109"/>
      <c r="F294" s="109"/>
      <c r="G294" s="109"/>
      <c r="H294" s="109"/>
      <c r="I294" s="109">
        <v>0</v>
      </c>
      <c r="J294" s="75">
        <f t="shared" si="34"/>
        <v>0</v>
      </c>
      <c r="K294" s="75">
        <f t="shared" si="35"/>
        <v>0</v>
      </c>
      <c r="L294" s="109"/>
      <c r="M294" s="110"/>
    </row>
    <row r="295" spans="1:13" ht="13.5" x14ac:dyDescent="0.25">
      <c r="A295" s="749">
        <f t="shared" si="44"/>
        <v>0</v>
      </c>
      <c r="B295" s="904"/>
      <c r="C295" s="382"/>
      <c r="D295" s="109">
        <v>0</v>
      </c>
      <c r="E295" s="109"/>
      <c r="F295" s="109"/>
      <c r="G295" s="109"/>
      <c r="H295" s="109"/>
      <c r="I295" s="109">
        <v>0</v>
      </c>
      <c r="J295" s="75">
        <f t="shared" si="34"/>
        <v>0</v>
      </c>
      <c r="K295" s="75">
        <f t="shared" si="35"/>
        <v>0</v>
      </c>
      <c r="L295" s="109"/>
      <c r="M295" s="110"/>
    </row>
    <row r="296" spans="1:13" ht="13.5" x14ac:dyDescent="0.25">
      <c r="A296" s="746" t="str">
        <f t="shared" si="44"/>
        <v>11.2 - HUMAN SETTLEMENT - HOUSING ADMINISTRATION</v>
      </c>
      <c r="B296" s="904"/>
      <c r="C296" s="733">
        <f t="shared" ref="C296:I296" si="45">SUM(C297:C306)</f>
        <v>0</v>
      </c>
      <c r="D296" s="732">
        <f t="shared" si="45"/>
        <v>0</v>
      </c>
      <c r="E296" s="732">
        <f t="shared" si="45"/>
        <v>0</v>
      </c>
      <c r="F296" s="732">
        <f t="shared" si="45"/>
        <v>0</v>
      </c>
      <c r="G296" s="732">
        <f t="shared" si="45"/>
        <v>0</v>
      </c>
      <c r="H296" s="732">
        <f t="shared" si="45"/>
        <v>0</v>
      </c>
      <c r="I296" s="732">
        <f t="shared" si="45"/>
        <v>0</v>
      </c>
      <c r="J296" s="75">
        <f t="shared" si="34"/>
        <v>0</v>
      </c>
      <c r="K296" s="75">
        <f t="shared" si="35"/>
        <v>0</v>
      </c>
      <c r="L296" s="732">
        <f>SUM(L297:L306)</f>
        <v>0</v>
      </c>
      <c r="M296" s="760">
        <f>SUM(M297:M306)</f>
        <v>0</v>
      </c>
    </row>
    <row r="297" spans="1:13" ht="13.5" x14ac:dyDescent="0.25">
      <c r="A297" s="749" t="str">
        <f t="shared" si="44"/>
        <v>12.1 - [Name of sub-vote]</v>
      </c>
      <c r="B297" s="904"/>
      <c r="C297" s="382"/>
      <c r="D297" s="109"/>
      <c r="E297" s="109"/>
      <c r="F297" s="109"/>
      <c r="G297" s="109"/>
      <c r="H297" s="109"/>
      <c r="I297" s="109"/>
      <c r="J297" s="75">
        <f t="shared" si="34"/>
        <v>0</v>
      </c>
      <c r="K297" s="75">
        <f t="shared" si="35"/>
        <v>0</v>
      </c>
      <c r="L297" s="109"/>
      <c r="M297" s="110"/>
    </row>
    <row r="298" spans="1:13" ht="13.5" x14ac:dyDescent="0.25">
      <c r="A298" s="749">
        <f t="shared" si="44"/>
        <v>0</v>
      </c>
      <c r="B298" s="904"/>
      <c r="C298" s="382"/>
      <c r="D298" s="109"/>
      <c r="E298" s="109"/>
      <c r="F298" s="109"/>
      <c r="G298" s="109"/>
      <c r="H298" s="109"/>
      <c r="I298" s="109"/>
      <c r="J298" s="75">
        <f t="shared" si="34"/>
        <v>0</v>
      </c>
      <c r="K298" s="75">
        <f t="shared" si="35"/>
        <v>0</v>
      </c>
      <c r="L298" s="109"/>
      <c r="M298" s="110"/>
    </row>
    <row r="299" spans="1:13" ht="13.5" x14ac:dyDescent="0.25">
      <c r="A299" s="749">
        <f t="shared" si="44"/>
        <v>0</v>
      </c>
      <c r="B299" s="904"/>
      <c r="C299" s="382"/>
      <c r="D299" s="109"/>
      <c r="E299" s="109"/>
      <c r="F299" s="109"/>
      <c r="G299" s="109"/>
      <c r="H299" s="109"/>
      <c r="I299" s="109"/>
      <c r="J299" s="75">
        <f t="shared" si="34"/>
        <v>0</v>
      </c>
      <c r="K299" s="75">
        <f t="shared" si="35"/>
        <v>0</v>
      </c>
      <c r="L299" s="109"/>
      <c r="M299" s="110"/>
    </row>
    <row r="300" spans="1:13" ht="13.5" x14ac:dyDescent="0.25">
      <c r="A300" s="749">
        <f t="shared" si="44"/>
        <v>0</v>
      </c>
      <c r="B300" s="904"/>
      <c r="C300" s="382"/>
      <c r="D300" s="109"/>
      <c r="E300" s="109"/>
      <c r="F300" s="109"/>
      <c r="G300" s="109"/>
      <c r="H300" s="109"/>
      <c r="I300" s="109"/>
      <c r="J300" s="75">
        <f t="shared" si="34"/>
        <v>0</v>
      </c>
      <c r="K300" s="75">
        <f t="shared" si="35"/>
        <v>0</v>
      </c>
      <c r="L300" s="109"/>
      <c r="M300" s="110"/>
    </row>
    <row r="301" spans="1:13" ht="13.5" x14ac:dyDescent="0.25">
      <c r="A301" s="749">
        <f t="shared" si="44"/>
        <v>0</v>
      </c>
      <c r="B301" s="904"/>
      <c r="C301" s="382"/>
      <c r="D301" s="109"/>
      <c r="E301" s="109"/>
      <c r="F301" s="109"/>
      <c r="G301" s="109"/>
      <c r="H301" s="109"/>
      <c r="I301" s="109"/>
      <c r="J301" s="75">
        <f t="shared" si="34"/>
        <v>0</v>
      </c>
      <c r="K301" s="75">
        <f t="shared" si="35"/>
        <v>0</v>
      </c>
      <c r="L301" s="109"/>
      <c r="M301" s="110"/>
    </row>
    <row r="302" spans="1:13" ht="13.5" x14ac:dyDescent="0.25">
      <c r="A302" s="749">
        <f t="shared" si="44"/>
        <v>0</v>
      </c>
      <c r="B302" s="904"/>
      <c r="C302" s="382"/>
      <c r="D302" s="109"/>
      <c r="E302" s="109"/>
      <c r="F302" s="109"/>
      <c r="G302" s="109"/>
      <c r="H302" s="109"/>
      <c r="I302" s="109"/>
      <c r="J302" s="75">
        <f t="shared" si="34"/>
        <v>0</v>
      </c>
      <c r="K302" s="75">
        <f t="shared" si="35"/>
        <v>0</v>
      </c>
      <c r="L302" s="109"/>
      <c r="M302" s="110"/>
    </row>
    <row r="303" spans="1:13" ht="13.5" x14ac:dyDescent="0.25">
      <c r="A303" s="749">
        <f t="shared" si="44"/>
        <v>0</v>
      </c>
      <c r="B303" s="904"/>
      <c r="C303" s="382"/>
      <c r="D303" s="109"/>
      <c r="E303" s="109"/>
      <c r="F303" s="109"/>
      <c r="G303" s="109"/>
      <c r="H303" s="109"/>
      <c r="I303" s="109"/>
      <c r="J303" s="75">
        <f t="shared" si="34"/>
        <v>0</v>
      </c>
      <c r="K303" s="75">
        <f t="shared" si="35"/>
        <v>0</v>
      </c>
      <c r="L303" s="109"/>
      <c r="M303" s="110"/>
    </row>
    <row r="304" spans="1:13" ht="13.5" x14ac:dyDescent="0.25">
      <c r="A304" s="749">
        <f t="shared" si="44"/>
        <v>0</v>
      </c>
      <c r="B304" s="904"/>
      <c r="C304" s="382"/>
      <c r="D304" s="109"/>
      <c r="E304" s="109"/>
      <c r="F304" s="109"/>
      <c r="G304" s="109"/>
      <c r="H304" s="109"/>
      <c r="I304" s="109"/>
      <c r="J304" s="75">
        <f t="shared" ref="J304:J339" si="46">SUM(E304:I304)</f>
        <v>0</v>
      </c>
      <c r="K304" s="75">
        <f t="shared" ref="K304:K339" si="47">IF(D304=0,C304+J304,D304+J304)</f>
        <v>0</v>
      </c>
      <c r="L304" s="109"/>
      <c r="M304" s="110"/>
    </row>
    <row r="305" spans="1:13" ht="13.5" x14ac:dyDescent="0.25">
      <c r="A305" s="749">
        <f t="shared" si="44"/>
        <v>0</v>
      </c>
      <c r="B305" s="904"/>
      <c r="C305" s="382"/>
      <c r="D305" s="109"/>
      <c r="E305" s="109"/>
      <c r="F305" s="109"/>
      <c r="G305" s="109"/>
      <c r="H305" s="109"/>
      <c r="I305" s="109"/>
      <c r="J305" s="75">
        <f t="shared" si="46"/>
        <v>0</v>
      </c>
      <c r="K305" s="75">
        <f t="shared" si="47"/>
        <v>0</v>
      </c>
      <c r="L305" s="109"/>
      <c r="M305" s="110"/>
    </row>
    <row r="306" spans="1:13" ht="13.5" x14ac:dyDescent="0.25">
      <c r="A306" s="749">
        <f t="shared" si="44"/>
        <v>0</v>
      </c>
      <c r="B306" s="904"/>
      <c r="C306" s="382"/>
      <c r="D306" s="109"/>
      <c r="E306" s="109"/>
      <c r="F306" s="109"/>
      <c r="G306" s="109"/>
      <c r="H306" s="109"/>
      <c r="I306" s="109"/>
      <c r="J306" s="75">
        <f t="shared" si="46"/>
        <v>0</v>
      </c>
      <c r="K306" s="75">
        <f t="shared" si="47"/>
        <v>0</v>
      </c>
      <c r="L306" s="109"/>
      <c r="M306" s="110"/>
    </row>
    <row r="307" spans="1:13" ht="13.5" x14ac:dyDescent="0.25">
      <c r="A307" s="746" t="str">
        <f t="shared" si="44"/>
        <v>Vote 13 - [NAME OF VOTE 13]</v>
      </c>
      <c r="B307" s="904"/>
      <c r="C307" s="733">
        <f t="shared" ref="C307:I307" si="48">SUM(C308:C317)</f>
        <v>0</v>
      </c>
      <c r="D307" s="732">
        <f t="shared" si="48"/>
        <v>0</v>
      </c>
      <c r="E307" s="732">
        <f t="shared" si="48"/>
        <v>0</v>
      </c>
      <c r="F307" s="732">
        <f t="shared" si="48"/>
        <v>0</v>
      </c>
      <c r="G307" s="732">
        <f t="shared" si="48"/>
        <v>0</v>
      </c>
      <c r="H307" s="732">
        <f t="shared" si="48"/>
        <v>0</v>
      </c>
      <c r="I307" s="732">
        <f t="shared" si="48"/>
        <v>0</v>
      </c>
      <c r="J307" s="75">
        <f t="shared" si="46"/>
        <v>0</v>
      </c>
      <c r="K307" s="75">
        <f t="shared" si="47"/>
        <v>0</v>
      </c>
      <c r="L307" s="732">
        <f>SUM(L308:L317)</f>
        <v>0</v>
      </c>
      <c r="M307" s="760">
        <f>SUM(M308:M317)</f>
        <v>0</v>
      </c>
    </row>
    <row r="308" spans="1:13" ht="13.5" x14ac:dyDescent="0.25">
      <c r="A308" s="749" t="str">
        <f t="shared" si="44"/>
        <v>13.1 - [Name of sub-vote]</v>
      </c>
      <c r="B308" s="904"/>
      <c r="C308" s="382"/>
      <c r="D308" s="109"/>
      <c r="E308" s="109"/>
      <c r="F308" s="109"/>
      <c r="G308" s="109"/>
      <c r="H308" s="109"/>
      <c r="I308" s="109"/>
      <c r="J308" s="75">
        <f t="shared" si="46"/>
        <v>0</v>
      </c>
      <c r="K308" s="75">
        <f t="shared" si="47"/>
        <v>0</v>
      </c>
      <c r="L308" s="109"/>
      <c r="M308" s="110"/>
    </row>
    <row r="309" spans="1:13" ht="13.5" x14ac:dyDescent="0.25">
      <c r="A309" s="749">
        <f t="shared" si="44"/>
        <v>0</v>
      </c>
      <c r="B309" s="904"/>
      <c r="C309" s="382"/>
      <c r="D309" s="109"/>
      <c r="E309" s="109"/>
      <c r="F309" s="109"/>
      <c r="G309" s="109"/>
      <c r="H309" s="109"/>
      <c r="I309" s="109"/>
      <c r="J309" s="75">
        <f t="shared" si="46"/>
        <v>0</v>
      </c>
      <c r="K309" s="75">
        <f t="shared" si="47"/>
        <v>0</v>
      </c>
      <c r="L309" s="109"/>
      <c r="M309" s="110"/>
    </row>
    <row r="310" spans="1:13" ht="13.5" x14ac:dyDescent="0.25">
      <c r="A310" s="749">
        <f t="shared" si="44"/>
        <v>0</v>
      </c>
      <c r="B310" s="904"/>
      <c r="C310" s="382"/>
      <c r="D310" s="109"/>
      <c r="E310" s="109"/>
      <c r="F310" s="109"/>
      <c r="G310" s="109"/>
      <c r="H310" s="109"/>
      <c r="I310" s="109"/>
      <c r="J310" s="75">
        <f t="shared" si="46"/>
        <v>0</v>
      </c>
      <c r="K310" s="75">
        <f t="shared" si="47"/>
        <v>0</v>
      </c>
      <c r="L310" s="109"/>
      <c r="M310" s="110"/>
    </row>
    <row r="311" spans="1:13" ht="13.5" x14ac:dyDescent="0.25">
      <c r="A311" s="749">
        <f t="shared" si="44"/>
        <v>0</v>
      </c>
      <c r="B311" s="904"/>
      <c r="C311" s="382"/>
      <c r="D311" s="109"/>
      <c r="E311" s="109"/>
      <c r="F311" s="109"/>
      <c r="G311" s="109"/>
      <c r="H311" s="109"/>
      <c r="I311" s="109"/>
      <c r="J311" s="75">
        <f t="shared" si="46"/>
        <v>0</v>
      </c>
      <c r="K311" s="75">
        <f t="shared" si="47"/>
        <v>0</v>
      </c>
      <c r="L311" s="109"/>
      <c r="M311" s="110"/>
    </row>
    <row r="312" spans="1:13" ht="13.5" x14ac:dyDescent="0.25">
      <c r="A312" s="749">
        <f t="shared" si="44"/>
        <v>0</v>
      </c>
      <c r="B312" s="904"/>
      <c r="C312" s="382"/>
      <c r="D312" s="109"/>
      <c r="E312" s="109"/>
      <c r="F312" s="109"/>
      <c r="G312" s="109"/>
      <c r="H312" s="109"/>
      <c r="I312" s="109"/>
      <c r="J312" s="75">
        <f t="shared" si="46"/>
        <v>0</v>
      </c>
      <c r="K312" s="75">
        <f t="shared" si="47"/>
        <v>0</v>
      </c>
      <c r="L312" s="109"/>
      <c r="M312" s="110"/>
    </row>
    <row r="313" spans="1:13" ht="13.5" x14ac:dyDescent="0.25">
      <c r="A313" s="749">
        <f t="shared" si="44"/>
        <v>0</v>
      </c>
      <c r="B313" s="904"/>
      <c r="C313" s="382"/>
      <c r="D313" s="109"/>
      <c r="E313" s="109"/>
      <c r="F313" s="109"/>
      <c r="G313" s="109"/>
      <c r="H313" s="109"/>
      <c r="I313" s="109"/>
      <c r="J313" s="75">
        <f t="shared" si="46"/>
        <v>0</v>
      </c>
      <c r="K313" s="75">
        <f t="shared" si="47"/>
        <v>0</v>
      </c>
      <c r="L313" s="109"/>
      <c r="M313" s="110"/>
    </row>
    <row r="314" spans="1:13" ht="13.5" x14ac:dyDescent="0.25">
      <c r="A314" s="749">
        <f t="shared" si="44"/>
        <v>0</v>
      </c>
      <c r="B314" s="904"/>
      <c r="C314" s="382"/>
      <c r="D314" s="109"/>
      <c r="E314" s="109"/>
      <c r="F314" s="109"/>
      <c r="G314" s="109"/>
      <c r="H314" s="109"/>
      <c r="I314" s="109"/>
      <c r="J314" s="75">
        <f t="shared" si="46"/>
        <v>0</v>
      </c>
      <c r="K314" s="75">
        <f t="shared" si="47"/>
        <v>0</v>
      </c>
      <c r="L314" s="109"/>
      <c r="M314" s="110"/>
    </row>
    <row r="315" spans="1:13" ht="13.5" x14ac:dyDescent="0.25">
      <c r="A315" s="749">
        <f t="shared" si="44"/>
        <v>0</v>
      </c>
      <c r="B315" s="904"/>
      <c r="C315" s="382"/>
      <c r="D315" s="109"/>
      <c r="E315" s="109"/>
      <c r="F315" s="109"/>
      <c r="G315" s="109"/>
      <c r="H315" s="109"/>
      <c r="I315" s="109"/>
      <c r="J315" s="75">
        <f t="shared" si="46"/>
        <v>0</v>
      </c>
      <c r="K315" s="75">
        <f t="shared" si="47"/>
        <v>0</v>
      </c>
      <c r="L315" s="109"/>
      <c r="M315" s="110"/>
    </row>
    <row r="316" spans="1:13" ht="13.5" x14ac:dyDescent="0.25">
      <c r="A316" s="749">
        <f t="shared" si="44"/>
        <v>0</v>
      </c>
      <c r="B316" s="904"/>
      <c r="C316" s="382"/>
      <c r="D316" s="109"/>
      <c r="E316" s="109"/>
      <c r="F316" s="109"/>
      <c r="G316" s="109"/>
      <c r="H316" s="109"/>
      <c r="I316" s="109"/>
      <c r="J316" s="75">
        <f t="shared" si="46"/>
        <v>0</v>
      </c>
      <c r="K316" s="75">
        <f t="shared" si="47"/>
        <v>0</v>
      </c>
      <c r="L316" s="109"/>
      <c r="M316" s="110"/>
    </row>
    <row r="317" spans="1:13" ht="13.5" x14ac:dyDescent="0.25">
      <c r="A317" s="749">
        <f t="shared" si="44"/>
        <v>0</v>
      </c>
      <c r="B317" s="904"/>
      <c r="C317" s="382"/>
      <c r="D317" s="109"/>
      <c r="E317" s="109"/>
      <c r="F317" s="109"/>
      <c r="G317" s="109"/>
      <c r="H317" s="109"/>
      <c r="I317" s="109"/>
      <c r="J317" s="75">
        <f t="shared" si="46"/>
        <v>0</v>
      </c>
      <c r="K317" s="75">
        <f t="shared" si="47"/>
        <v>0</v>
      </c>
      <c r="L317" s="109"/>
      <c r="M317" s="110"/>
    </row>
    <row r="318" spans="1:13" ht="13.5" x14ac:dyDescent="0.25">
      <c r="A318" s="746" t="str">
        <f t="shared" si="44"/>
        <v>Vote 14 - [NAME OF VOTE 14]</v>
      </c>
      <c r="B318" s="904"/>
      <c r="C318" s="733">
        <f t="shared" ref="C318:I318" si="49">SUM(C319:C328)</f>
        <v>0</v>
      </c>
      <c r="D318" s="732">
        <f t="shared" si="49"/>
        <v>0</v>
      </c>
      <c r="E318" s="732">
        <f t="shared" si="49"/>
        <v>0</v>
      </c>
      <c r="F318" s="732">
        <f t="shared" si="49"/>
        <v>0</v>
      </c>
      <c r="G318" s="732">
        <f t="shared" si="49"/>
        <v>0</v>
      </c>
      <c r="H318" s="732">
        <f t="shared" si="49"/>
        <v>0</v>
      </c>
      <c r="I318" s="732">
        <f t="shared" si="49"/>
        <v>0</v>
      </c>
      <c r="J318" s="75">
        <f t="shared" si="46"/>
        <v>0</v>
      </c>
      <c r="K318" s="75">
        <f t="shared" si="47"/>
        <v>0</v>
      </c>
      <c r="L318" s="732">
        <f>SUM(L319:L328)</f>
        <v>0</v>
      </c>
      <c r="M318" s="760">
        <f>SUM(M319:M328)</f>
        <v>0</v>
      </c>
    </row>
    <row r="319" spans="1:13" ht="13.5" x14ac:dyDescent="0.25">
      <c r="A319" s="749" t="str">
        <f t="shared" si="44"/>
        <v>14.1 - [Name of sub-vote]</v>
      </c>
      <c r="B319" s="904"/>
      <c r="C319" s="382">
        <v>0</v>
      </c>
      <c r="D319" s="109">
        <v>0</v>
      </c>
      <c r="E319" s="109">
        <v>0</v>
      </c>
      <c r="F319" s="109">
        <v>0</v>
      </c>
      <c r="G319" s="109">
        <v>0</v>
      </c>
      <c r="H319" s="109">
        <v>0</v>
      </c>
      <c r="I319" s="109">
        <v>0</v>
      </c>
      <c r="J319" s="75">
        <f t="shared" si="46"/>
        <v>0</v>
      </c>
      <c r="K319" s="75">
        <f t="shared" si="47"/>
        <v>0</v>
      </c>
      <c r="L319" s="109"/>
      <c r="M319" s="110"/>
    </row>
    <row r="320" spans="1:13" ht="13.5" x14ac:dyDescent="0.25">
      <c r="A320" s="749">
        <f t="shared" si="44"/>
        <v>0</v>
      </c>
      <c r="B320" s="904"/>
      <c r="C320" s="382">
        <v>0</v>
      </c>
      <c r="D320" s="109">
        <v>0</v>
      </c>
      <c r="E320" s="109">
        <v>0</v>
      </c>
      <c r="F320" s="109">
        <v>0</v>
      </c>
      <c r="G320" s="109">
        <v>0</v>
      </c>
      <c r="H320" s="109">
        <v>0</v>
      </c>
      <c r="I320" s="109">
        <v>0</v>
      </c>
      <c r="J320" s="75">
        <f t="shared" si="46"/>
        <v>0</v>
      </c>
      <c r="K320" s="75">
        <f t="shared" si="47"/>
        <v>0</v>
      </c>
      <c r="L320" s="109"/>
      <c r="M320" s="110"/>
    </row>
    <row r="321" spans="1:13" ht="13.5" x14ac:dyDescent="0.25">
      <c r="A321" s="749">
        <f t="shared" si="44"/>
        <v>0</v>
      </c>
      <c r="B321" s="904"/>
      <c r="C321" s="382">
        <v>0</v>
      </c>
      <c r="D321" s="109">
        <v>0</v>
      </c>
      <c r="E321" s="109">
        <v>0</v>
      </c>
      <c r="F321" s="109">
        <v>0</v>
      </c>
      <c r="G321" s="109">
        <v>0</v>
      </c>
      <c r="H321" s="109">
        <v>0</v>
      </c>
      <c r="I321" s="109">
        <v>0</v>
      </c>
      <c r="J321" s="75">
        <f t="shared" si="46"/>
        <v>0</v>
      </c>
      <c r="K321" s="75">
        <f t="shared" si="47"/>
        <v>0</v>
      </c>
      <c r="L321" s="109"/>
      <c r="M321" s="110"/>
    </row>
    <row r="322" spans="1:13" ht="13.5" x14ac:dyDescent="0.25">
      <c r="A322" s="749">
        <f t="shared" si="44"/>
        <v>0</v>
      </c>
      <c r="B322" s="904"/>
      <c r="C322" s="382">
        <v>0</v>
      </c>
      <c r="D322" s="109">
        <v>0</v>
      </c>
      <c r="E322" s="109">
        <v>0</v>
      </c>
      <c r="F322" s="109">
        <v>0</v>
      </c>
      <c r="G322" s="109">
        <v>0</v>
      </c>
      <c r="H322" s="109">
        <v>0</v>
      </c>
      <c r="I322" s="109">
        <v>0</v>
      </c>
      <c r="J322" s="75">
        <f t="shared" si="46"/>
        <v>0</v>
      </c>
      <c r="K322" s="75">
        <f t="shared" si="47"/>
        <v>0</v>
      </c>
      <c r="L322" s="109"/>
      <c r="M322" s="110"/>
    </row>
    <row r="323" spans="1:13" ht="13.5" x14ac:dyDescent="0.25">
      <c r="A323" s="749">
        <f t="shared" si="44"/>
        <v>0</v>
      </c>
      <c r="B323" s="904"/>
      <c r="C323" s="382">
        <v>0</v>
      </c>
      <c r="D323" s="109">
        <v>0</v>
      </c>
      <c r="E323" s="109">
        <v>0</v>
      </c>
      <c r="F323" s="109">
        <v>0</v>
      </c>
      <c r="G323" s="109">
        <v>0</v>
      </c>
      <c r="H323" s="109">
        <v>0</v>
      </c>
      <c r="I323" s="109">
        <v>0</v>
      </c>
      <c r="J323" s="75">
        <f t="shared" si="46"/>
        <v>0</v>
      </c>
      <c r="K323" s="75">
        <f t="shared" si="47"/>
        <v>0</v>
      </c>
      <c r="L323" s="109"/>
      <c r="M323" s="110"/>
    </row>
    <row r="324" spans="1:13" ht="13.5" x14ac:dyDescent="0.25">
      <c r="A324" s="749">
        <f t="shared" si="44"/>
        <v>0</v>
      </c>
      <c r="B324" s="904"/>
      <c r="C324" s="382">
        <v>0</v>
      </c>
      <c r="D324" s="109">
        <v>0</v>
      </c>
      <c r="E324" s="109">
        <v>0</v>
      </c>
      <c r="F324" s="109">
        <v>0</v>
      </c>
      <c r="G324" s="109">
        <v>0</v>
      </c>
      <c r="H324" s="109">
        <v>0</v>
      </c>
      <c r="I324" s="109">
        <v>0</v>
      </c>
      <c r="J324" s="75">
        <f t="shared" si="46"/>
        <v>0</v>
      </c>
      <c r="K324" s="75">
        <f t="shared" si="47"/>
        <v>0</v>
      </c>
      <c r="L324" s="109"/>
      <c r="M324" s="110"/>
    </row>
    <row r="325" spans="1:13" ht="13.5" x14ac:dyDescent="0.25">
      <c r="A325" s="749">
        <f t="shared" si="44"/>
        <v>0</v>
      </c>
      <c r="B325" s="904"/>
      <c r="C325" s="382">
        <v>0</v>
      </c>
      <c r="D325" s="109">
        <v>0</v>
      </c>
      <c r="E325" s="109">
        <v>0</v>
      </c>
      <c r="F325" s="109">
        <v>0</v>
      </c>
      <c r="G325" s="109">
        <v>0</v>
      </c>
      <c r="H325" s="109">
        <v>0</v>
      </c>
      <c r="I325" s="109">
        <v>0</v>
      </c>
      <c r="J325" s="75">
        <f t="shared" si="46"/>
        <v>0</v>
      </c>
      <c r="K325" s="75">
        <f t="shared" si="47"/>
        <v>0</v>
      </c>
      <c r="L325" s="109"/>
      <c r="M325" s="110"/>
    </row>
    <row r="326" spans="1:13" ht="13.5" x14ac:dyDescent="0.25">
      <c r="A326" s="749">
        <f t="shared" si="44"/>
        <v>0</v>
      </c>
      <c r="B326" s="904"/>
      <c r="C326" s="382">
        <v>0</v>
      </c>
      <c r="D326" s="109">
        <v>0</v>
      </c>
      <c r="E326" s="109">
        <v>0</v>
      </c>
      <c r="F326" s="109">
        <v>0</v>
      </c>
      <c r="G326" s="109">
        <v>0</v>
      </c>
      <c r="H326" s="109">
        <v>0</v>
      </c>
      <c r="I326" s="109">
        <v>0</v>
      </c>
      <c r="J326" s="75">
        <f t="shared" si="46"/>
        <v>0</v>
      </c>
      <c r="K326" s="75">
        <f t="shared" si="47"/>
        <v>0</v>
      </c>
      <c r="L326" s="109"/>
      <c r="M326" s="110"/>
    </row>
    <row r="327" spans="1:13" ht="13.5" x14ac:dyDescent="0.25">
      <c r="A327" s="749">
        <f t="shared" si="44"/>
        <v>0</v>
      </c>
      <c r="B327" s="904"/>
      <c r="C327" s="382">
        <v>0</v>
      </c>
      <c r="D327" s="109">
        <v>0</v>
      </c>
      <c r="E327" s="109">
        <v>0</v>
      </c>
      <c r="F327" s="109">
        <v>0</v>
      </c>
      <c r="G327" s="109">
        <v>0</v>
      </c>
      <c r="H327" s="109">
        <v>0</v>
      </c>
      <c r="I327" s="109">
        <v>0</v>
      </c>
      <c r="J327" s="75">
        <f t="shared" si="46"/>
        <v>0</v>
      </c>
      <c r="K327" s="75">
        <f t="shared" si="47"/>
        <v>0</v>
      </c>
      <c r="L327" s="109"/>
      <c r="M327" s="110"/>
    </row>
    <row r="328" spans="1:13" ht="13.5" x14ac:dyDescent="0.25">
      <c r="A328" s="749">
        <f t="shared" si="44"/>
        <v>0</v>
      </c>
      <c r="B328" s="904"/>
      <c r="C328" s="382">
        <v>0</v>
      </c>
      <c r="D328" s="109">
        <v>0</v>
      </c>
      <c r="E328" s="109">
        <v>0</v>
      </c>
      <c r="F328" s="109">
        <v>0</v>
      </c>
      <c r="G328" s="109">
        <v>0</v>
      </c>
      <c r="H328" s="109">
        <v>0</v>
      </c>
      <c r="I328" s="109">
        <v>0</v>
      </c>
      <c r="J328" s="75">
        <f t="shared" si="46"/>
        <v>0</v>
      </c>
      <c r="K328" s="75">
        <f t="shared" si="47"/>
        <v>0</v>
      </c>
      <c r="L328" s="109"/>
      <c r="M328" s="110"/>
    </row>
    <row r="329" spans="1:13" ht="13.5" x14ac:dyDescent="0.25">
      <c r="A329" s="746" t="str">
        <f t="shared" si="44"/>
        <v>Vote 15 - [NAME OF VOTE 15]</v>
      </c>
      <c r="B329" s="904"/>
      <c r="C329" s="733">
        <f t="shared" ref="C329:I329" si="50">SUM(C330:C339)</f>
        <v>0</v>
      </c>
      <c r="D329" s="732">
        <f t="shared" si="50"/>
        <v>0</v>
      </c>
      <c r="E329" s="732">
        <f t="shared" si="50"/>
        <v>0</v>
      </c>
      <c r="F329" s="732">
        <f t="shared" si="50"/>
        <v>0</v>
      </c>
      <c r="G329" s="732">
        <f t="shared" si="50"/>
        <v>0</v>
      </c>
      <c r="H329" s="732">
        <f t="shared" si="50"/>
        <v>0</v>
      </c>
      <c r="I329" s="732">
        <f t="shared" si="50"/>
        <v>0</v>
      </c>
      <c r="J329" s="75">
        <f t="shared" si="46"/>
        <v>0</v>
      </c>
      <c r="K329" s="75">
        <f t="shared" si="47"/>
        <v>0</v>
      </c>
      <c r="L329" s="732">
        <f>SUM(L330:L339)</f>
        <v>0</v>
      </c>
      <c r="M329" s="760">
        <f>SUM(M330:M339)</f>
        <v>0</v>
      </c>
    </row>
    <row r="330" spans="1:13" ht="13.5" x14ac:dyDescent="0.25">
      <c r="A330" s="749" t="str">
        <f t="shared" si="44"/>
        <v>15.1 - [Name of sub-vote]</v>
      </c>
      <c r="B330" s="904"/>
      <c r="C330" s="382"/>
      <c r="D330" s="109"/>
      <c r="E330" s="109"/>
      <c r="F330" s="109"/>
      <c r="G330" s="109"/>
      <c r="H330" s="109"/>
      <c r="I330" s="109"/>
      <c r="J330" s="75">
        <f t="shared" si="46"/>
        <v>0</v>
      </c>
      <c r="K330" s="75">
        <f t="shared" si="47"/>
        <v>0</v>
      </c>
      <c r="L330" s="109"/>
      <c r="M330" s="110"/>
    </row>
    <row r="331" spans="1:13" ht="13.5" x14ac:dyDescent="0.25">
      <c r="A331" s="749">
        <f t="shared" si="44"/>
        <v>0</v>
      </c>
      <c r="B331" s="904"/>
      <c r="C331" s="382">
        <v>0</v>
      </c>
      <c r="D331" s="109">
        <v>0</v>
      </c>
      <c r="E331" s="109">
        <v>0</v>
      </c>
      <c r="F331" s="109">
        <v>0</v>
      </c>
      <c r="G331" s="109">
        <v>0</v>
      </c>
      <c r="H331" s="109">
        <v>0</v>
      </c>
      <c r="I331" s="109">
        <v>0</v>
      </c>
      <c r="J331" s="75">
        <f t="shared" si="46"/>
        <v>0</v>
      </c>
      <c r="K331" s="75">
        <f t="shared" si="47"/>
        <v>0</v>
      </c>
      <c r="L331" s="109"/>
      <c r="M331" s="110"/>
    </row>
    <row r="332" spans="1:13" ht="13.5" x14ac:dyDescent="0.25">
      <c r="A332" s="749">
        <f t="shared" si="44"/>
        <v>0</v>
      </c>
      <c r="B332" s="904"/>
      <c r="C332" s="382">
        <v>0</v>
      </c>
      <c r="D332" s="109">
        <v>0</v>
      </c>
      <c r="E332" s="109">
        <v>0</v>
      </c>
      <c r="F332" s="109">
        <v>0</v>
      </c>
      <c r="G332" s="109">
        <v>0</v>
      </c>
      <c r="H332" s="109">
        <v>0</v>
      </c>
      <c r="I332" s="109">
        <v>0</v>
      </c>
      <c r="J332" s="75">
        <f t="shared" si="46"/>
        <v>0</v>
      </c>
      <c r="K332" s="75">
        <f t="shared" si="47"/>
        <v>0</v>
      </c>
      <c r="L332" s="109"/>
      <c r="M332" s="110"/>
    </row>
    <row r="333" spans="1:13" ht="13.5" x14ac:dyDescent="0.25">
      <c r="A333" s="749">
        <f t="shared" si="44"/>
        <v>0</v>
      </c>
      <c r="B333" s="904"/>
      <c r="C333" s="382">
        <v>0</v>
      </c>
      <c r="D333" s="109">
        <v>0</v>
      </c>
      <c r="E333" s="109">
        <v>0</v>
      </c>
      <c r="F333" s="109">
        <v>0</v>
      </c>
      <c r="G333" s="109">
        <v>0</v>
      </c>
      <c r="H333" s="109">
        <v>0</v>
      </c>
      <c r="I333" s="109">
        <v>0</v>
      </c>
      <c r="J333" s="75">
        <f t="shared" si="46"/>
        <v>0</v>
      </c>
      <c r="K333" s="75">
        <f t="shared" si="47"/>
        <v>0</v>
      </c>
      <c r="L333" s="109"/>
      <c r="M333" s="110"/>
    </row>
    <row r="334" spans="1:13" ht="13.5" x14ac:dyDescent="0.25">
      <c r="A334" s="749">
        <f t="shared" si="44"/>
        <v>0</v>
      </c>
      <c r="B334" s="904"/>
      <c r="C334" s="382">
        <v>0</v>
      </c>
      <c r="D334" s="109">
        <v>0</v>
      </c>
      <c r="E334" s="109">
        <v>0</v>
      </c>
      <c r="F334" s="109">
        <v>0</v>
      </c>
      <c r="G334" s="109">
        <v>0</v>
      </c>
      <c r="H334" s="109">
        <v>0</v>
      </c>
      <c r="I334" s="109">
        <v>0</v>
      </c>
      <c r="J334" s="75">
        <f t="shared" si="46"/>
        <v>0</v>
      </c>
      <c r="K334" s="75">
        <f t="shared" si="47"/>
        <v>0</v>
      </c>
      <c r="L334" s="109"/>
      <c r="M334" s="110"/>
    </row>
    <row r="335" spans="1:13" ht="13.5" x14ac:dyDescent="0.25">
      <c r="A335" s="749">
        <f t="shared" si="44"/>
        <v>0</v>
      </c>
      <c r="B335" s="904"/>
      <c r="C335" s="382">
        <v>0</v>
      </c>
      <c r="D335" s="109">
        <v>0</v>
      </c>
      <c r="E335" s="109">
        <v>0</v>
      </c>
      <c r="F335" s="109">
        <v>0</v>
      </c>
      <c r="G335" s="109">
        <v>0</v>
      </c>
      <c r="H335" s="109">
        <v>0</v>
      </c>
      <c r="I335" s="109">
        <v>0</v>
      </c>
      <c r="J335" s="75">
        <f t="shared" si="46"/>
        <v>0</v>
      </c>
      <c r="K335" s="75">
        <f t="shared" si="47"/>
        <v>0</v>
      </c>
      <c r="L335" s="109"/>
      <c r="M335" s="110"/>
    </row>
    <row r="336" spans="1:13" ht="13.5" x14ac:dyDescent="0.25">
      <c r="A336" s="749">
        <f t="shared" si="44"/>
        <v>0</v>
      </c>
      <c r="B336" s="904"/>
      <c r="C336" s="382">
        <v>0</v>
      </c>
      <c r="D336" s="109">
        <v>0</v>
      </c>
      <c r="E336" s="109">
        <v>0</v>
      </c>
      <c r="F336" s="109">
        <v>0</v>
      </c>
      <c r="G336" s="109">
        <v>0</v>
      </c>
      <c r="H336" s="109">
        <v>0</v>
      </c>
      <c r="I336" s="109">
        <v>0</v>
      </c>
      <c r="J336" s="75">
        <f t="shared" si="46"/>
        <v>0</v>
      </c>
      <c r="K336" s="75">
        <f t="shared" si="47"/>
        <v>0</v>
      </c>
      <c r="L336" s="109"/>
      <c r="M336" s="110"/>
    </row>
    <row r="337" spans="1:13" ht="13.5" x14ac:dyDescent="0.25">
      <c r="A337" s="749">
        <f t="shared" si="44"/>
        <v>0</v>
      </c>
      <c r="B337" s="904"/>
      <c r="C337" s="382">
        <v>0</v>
      </c>
      <c r="D337" s="109">
        <v>0</v>
      </c>
      <c r="E337" s="109">
        <v>0</v>
      </c>
      <c r="F337" s="109">
        <v>0</v>
      </c>
      <c r="G337" s="109">
        <v>0</v>
      </c>
      <c r="H337" s="109">
        <v>0</v>
      </c>
      <c r="I337" s="109">
        <v>0</v>
      </c>
      <c r="J337" s="75">
        <f t="shared" si="46"/>
        <v>0</v>
      </c>
      <c r="K337" s="75">
        <f t="shared" si="47"/>
        <v>0</v>
      </c>
      <c r="L337" s="109"/>
      <c r="M337" s="110"/>
    </row>
    <row r="338" spans="1:13" ht="13.5" x14ac:dyDescent="0.25">
      <c r="A338" s="749">
        <f t="shared" si="44"/>
        <v>0</v>
      </c>
      <c r="B338" s="904"/>
      <c r="C338" s="382"/>
      <c r="D338" s="109"/>
      <c r="E338" s="109"/>
      <c r="F338" s="109"/>
      <c r="G338" s="109"/>
      <c r="H338" s="109"/>
      <c r="I338" s="109"/>
      <c r="J338" s="75">
        <f t="shared" si="46"/>
        <v>0</v>
      </c>
      <c r="K338" s="75">
        <f t="shared" si="47"/>
        <v>0</v>
      </c>
      <c r="L338" s="109"/>
      <c r="M338" s="110"/>
    </row>
    <row r="339" spans="1:13" ht="13.5" x14ac:dyDescent="0.25">
      <c r="A339" s="749">
        <f t="shared" si="44"/>
        <v>0</v>
      </c>
      <c r="B339" s="904"/>
      <c r="C339" s="382"/>
      <c r="D339" s="109"/>
      <c r="E339" s="109"/>
      <c r="F339" s="109"/>
      <c r="G339" s="109"/>
      <c r="H339" s="109"/>
      <c r="I339" s="109"/>
      <c r="J339" s="75">
        <f t="shared" si="46"/>
        <v>0</v>
      </c>
      <c r="K339" s="75">
        <f t="shared" si="47"/>
        <v>0</v>
      </c>
      <c r="L339" s="109"/>
      <c r="M339" s="110"/>
    </row>
    <row r="340" spans="1:13" ht="13.5" x14ac:dyDescent="0.25">
      <c r="A340" s="750" t="s">
        <v>607</v>
      </c>
      <c r="B340" s="904">
        <v>2</v>
      </c>
      <c r="C340" s="302">
        <f>C175+C186+C197+C208+C219+C230+C241+C252+C263+C285+C296+C307+C318+C329+C274</f>
        <v>3679467109.5999999</v>
      </c>
      <c r="D340" s="151">
        <f t="shared" ref="D340:I340" si="51">D175+D186+D197+D208+D219+D230+D241+D252+D263+D285+D296+D307+D318+D329+D274</f>
        <v>3703967109.5999999</v>
      </c>
      <c r="E340" s="151">
        <f t="shared" si="51"/>
        <v>0</v>
      </c>
      <c r="F340" s="151">
        <f t="shared" si="51"/>
        <v>0</v>
      </c>
      <c r="G340" s="151">
        <f t="shared" si="51"/>
        <v>0</v>
      </c>
      <c r="H340" s="151">
        <f t="shared" si="51"/>
        <v>37920670</v>
      </c>
      <c r="I340" s="151">
        <f t="shared" si="51"/>
        <v>171880417.40000004</v>
      </c>
      <c r="J340" s="480">
        <f>SUM(E340:I340)</f>
        <v>209801087.40000004</v>
      </c>
      <c r="K340" s="480">
        <f>IF(D340=0,C340+J340,D340+J340)</f>
        <v>3913768197</v>
      </c>
      <c r="L340" s="151">
        <f>L175+L186+L197+L208+L219+L230+L241+L252+L263+L285+L296+L307+L318+L329+L274</f>
        <v>3931506797.7899141</v>
      </c>
      <c r="M340" s="152">
        <f>M175+M186+M197+M208+M219+M230+M241+M252+M263+M285+M296+M307+M318+M329+M274</f>
        <v>4180867212.8296041</v>
      </c>
    </row>
    <row r="341" spans="1:13" ht="4.5" customHeight="1" x14ac:dyDescent="0.25">
      <c r="A341" s="136"/>
      <c r="B341" s="904"/>
      <c r="C341" s="476"/>
      <c r="D341" s="141"/>
      <c r="E341" s="141"/>
      <c r="F341" s="141"/>
      <c r="G341" s="141"/>
      <c r="H341" s="141"/>
      <c r="I341" s="141"/>
      <c r="J341" s="141"/>
      <c r="K341" s="141"/>
      <c r="L341" s="141"/>
      <c r="M341" s="142"/>
    </row>
    <row r="342" spans="1:13" ht="13.5" x14ac:dyDescent="0.25">
      <c r="A342" s="155" t="str">
        <f>result</f>
        <v>Surplus/ (Deficit) for the year</v>
      </c>
      <c r="B342" s="909">
        <v>2</v>
      </c>
      <c r="C342" s="689">
        <f t="shared" ref="C342:I342" si="52">C172-C340</f>
        <v>1003110801.4144006</v>
      </c>
      <c r="D342" s="691">
        <f t="shared" si="52"/>
        <v>1032753801.4144006</v>
      </c>
      <c r="E342" s="117">
        <f t="shared" si="52"/>
        <v>0</v>
      </c>
      <c r="F342" s="117">
        <f t="shared" si="52"/>
        <v>0</v>
      </c>
      <c r="G342" s="117">
        <f t="shared" si="52"/>
        <v>0</v>
      </c>
      <c r="H342" s="117">
        <f t="shared" si="52"/>
        <v>62291863</v>
      </c>
      <c r="I342" s="117">
        <f t="shared" si="52"/>
        <v>-225666401.41440004</v>
      </c>
      <c r="J342" s="765">
        <f>SUM(E342:I342)</f>
        <v>-163374538.41440004</v>
      </c>
      <c r="K342" s="765">
        <f>IF(D342=0,C342+J342,D342+J342)</f>
        <v>869379263.00000048</v>
      </c>
      <c r="L342" s="117">
        <f>L172-L340</f>
        <v>808247957.23523617</v>
      </c>
      <c r="M342" s="118">
        <f>M172-M340</f>
        <v>793472717.87607574</v>
      </c>
    </row>
    <row r="343" spans="1:13" ht="13.5" x14ac:dyDescent="0.25">
      <c r="A343" s="218" t="str">
        <f>head27a</f>
        <v>References</v>
      </c>
      <c r="B343" s="751"/>
      <c r="C343" s="752"/>
      <c r="D343" s="753"/>
      <c r="E343" s="753"/>
      <c r="F343" s="753"/>
      <c r="G343" s="753"/>
      <c r="H343" s="753"/>
      <c r="I343" s="753"/>
      <c r="J343" s="753"/>
      <c r="K343" s="753"/>
    </row>
    <row r="344" spans="1:13" ht="13.5" x14ac:dyDescent="0.25">
      <c r="A344" s="638" t="s">
        <v>1010</v>
      </c>
      <c r="B344" s="751"/>
      <c r="C344" s="754"/>
      <c r="D344" s="754"/>
      <c r="E344" s="755"/>
      <c r="F344" s="755"/>
      <c r="G344" s="755"/>
      <c r="H344" s="755"/>
      <c r="I344" s="755"/>
      <c r="J344" s="755"/>
      <c r="K344" s="755"/>
    </row>
    <row r="345" spans="1:13" ht="13.5" x14ac:dyDescent="0.25">
      <c r="A345" s="632" t="s">
        <v>1011</v>
      </c>
      <c r="B345" s="751"/>
      <c r="C345" s="754"/>
      <c r="D345" s="754"/>
      <c r="E345" s="755"/>
      <c r="F345" s="755"/>
      <c r="G345" s="755"/>
      <c r="H345" s="755"/>
      <c r="I345" s="755"/>
      <c r="J345" s="755"/>
      <c r="K345" s="755"/>
    </row>
    <row r="346" spans="1:13" ht="13.5" x14ac:dyDescent="0.25">
      <c r="A346" s="632" t="s">
        <v>1012</v>
      </c>
      <c r="B346" s="756"/>
      <c r="C346" s="757"/>
      <c r="D346" s="757"/>
      <c r="E346" s="758"/>
      <c r="F346" s="758"/>
      <c r="G346" s="758"/>
      <c r="H346" s="758"/>
      <c r="I346" s="758"/>
      <c r="J346" s="758"/>
      <c r="K346" s="758"/>
    </row>
  </sheetData>
  <mergeCells count="3">
    <mergeCell ref="A2:A3"/>
    <mergeCell ref="B2:B5"/>
    <mergeCell ref="C2:K2"/>
  </mergeCells>
  <phoneticPr fontId="4" type="noConversion"/>
  <dataValidations count="1">
    <dataValidation type="list" allowBlank="1" showInputMessage="1" showErrorMessage="1" promptTitle="Select Vote" prompt="Select Vote from list" sqref="A186">
      <formula1>Vote</formula1>
    </dataValidation>
  </dataValidations>
  <pageMargins left="0.75" right="0.75" top="1" bottom="1" header="0.5" footer="0.5"/>
  <pageSetup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4">
    <tabColor indexed="44"/>
    <pageSetUpPr fitToPage="1"/>
  </sheetPr>
  <dimension ref="A1:V101"/>
  <sheetViews>
    <sheetView showGridLines="0" zoomScaleNormal="100" workbookViewId="0">
      <pane xSplit="2" ySplit="5" topLeftCell="C6" activePane="bottomRight" state="frozen"/>
      <selection activeCell="C6" sqref="C6"/>
      <selection pane="topRight" activeCell="C6" sqref="C6"/>
      <selection pane="bottomLeft" activeCell="C6" sqref="C6"/>
      <selection pane="bottomRight" activeCell="M49" sqref="C7:M49"/>
    </sheetView>
  </sheetViews>
  <sheetFormatPr defaultColWidth="9.140625" defaultRowHeight="12.75" x14ac:dyDescent="0.25"/>
  <cols>
    <col min="1" max="1" width="32.7109375" style="5" customWidth="1"/>
    <col min="2" max="2" width="3.140625" style="58" customWidth="1"/>
    <col min="3" max="14" width="8.7109375" style="5" customWidth="1"/>
    <col min="15" max="15" width="9.85546875" style="5" customWidth="1"/>
    <col min="16" max="18" width="9.5703125" style="5" customWidth="1"/>
    <col min="19" max="19" width="9.85546875" style="5" customWidth="1"/>
    <col min="20" max="22" width="9.5703125" style="5" customWidth="1"/>
    <col min="23" max="24" width="9.85546875" style="5" customWidth="1"/>
    <col min="25" max="16384" width="9.140625" style="5"/>
  </cols>
  <sheetData>
    <row r="1" spans="1:22" ht="13.5" x14ac:dyDescent="0.25">
      <c r="A1" s="57" t="str">
        <f>muni&amp;" - "&amp;_ADJ4&amp;" - "&amp;Date</f>
        <v>LIM354 Polokwane - Table B4 Adjustments Budget Financial Performance (revenue and expenditure) - 2020</v>
      </c>
      <c r="B1" s="5"/>
      <c r="C1" s="58"/>
    </row>
    <row r="2" spans="1:22" ht="38.25" x14ac:dyDescent="0.25">
      <c r="A2" s="1406" t="str">
        <f>desc</f>
        <v>Description</v>
      </c>
      <c r="B2" s="1406" t="str">
        <f>head27</f>
        <v>Ref</v>
      </c>
      <c r="C2" s="1403" t="str">
        <f>Head2</f>
        <v>Budget Year 2020/21</v>
      </c>
      <c r="D2" s="1404"/>
      <c r="E2" s="1404"/>
      <c r="F2" s="1404"/>
      <c r="G2" s="1404"/>
      <c r="H2" s="1404"/>
      <c r="I2" s="1404"/>
      <c r="J2" s="1404"/>
      <c r="K2" s="1404"/>
      <c r="L2" s="103" t="str">
        <f>Head10</f>
        <v>Budget Year +1 2021/22</v>
      </c>
      <c r="M2" s="61" t="str">
        <f>Head11</f>
        <v>Budget Year +2 2022/23</v>
      </c>
    </row>
    <row r="3" spans="1:22" ht="25.5" x14ac:dyDescent="0.25">
      <c r="A3" s="1407"/>
      <c r="B3" s="1407"/>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22" x14ac:dyDescent="0.25">
      <c r="A4" s="1407"/>
      <c r="B4" s="1407"/>
      <c r="C4" s="65"/>
      <c r="D4" s="15">
        <v>3</v>
      </c>
      <c r="E4" s="15">
        <v>4</v>
      </c>
      <c r="F4" s="15">
        <v>5</v>
      </c>
      <c r="G4" s="15">
        <v>6</v>
      </c>
      <c r="H4" s="15">
        <v>7</v>
      </c>
      <c r="I4" s="15">
        <v>8</v>
      </c>
      <c r="J4" s="15">
        <v>9</v>
      </c>
      <c r="K4" s="15">
        <v>10</v>
      </c>
      <c r="L4" s="15"/>
      <c r="M4" s="17"/>
    </row>
    <row r="5" spans="1:22" x14ac:dyDescent="0.25">
      <c r="A5" s="18" t="s">
        <v>603</v>
      </c>
      <c r="B5" s="124">
        <v>1</v>
      </c>
      <c r="C5" s="125" t="s">
        <v>547</v>
      </c>
      <c r="D5" s="20" t="s">
        <v>548</v>
      </c>
      <c r="E5" s="20" t="s">
        <v>549</v>
      </c>
      <c r="F5" s="21" t="s">
        <v>550</v>
      </c>
      <c r="G5" s="21" t="s">
        <v>551</v>
      </c>
      <c r="H5" s="21" t="s">
        <v>552</v>
      </c>
      <c r="I5" s="22" t="s">
        <v>553</v>
      </c>
      <c r="J5" s="22" t="s">
        <v>554</v>
      </c>
      <c r="K5" s="22" t="s">
        <v>555</v>
      </c>
      <c r="L5" s="22"/>
      <c r="M5" s="24"/>
    </row>
    <row r="6" spans="1:22" ht="12.75" customHeight="1" x14ac:dyDescent="0.25">
      <c r="A6" s="126" t="s">
        <v>638</v>
      </c>
      <c r="B6" s="73"/>
      <c r="C6" s="127"/>
      <c r="D6" s="75"/>
      <c r="E6" s="75"/>
      <c r="F6" s="75"/>
      <c r="G6" s="75"/>
      <c r="H6" s="75"/>
      <c r="I6" s="75"/>
      <c r="J6" s="75"/>
      <c r="K6" s="75"/>
      <c r="L6" s="75"/>
      <c r="M6" s="76"/>
      <c r="N6" s="128"/>
      <c r="O6" s="128"/>
      <c r="P6" s="128"/>
      <c r="Q6" s="128"/>
      <c r="R6" s="128"/>
      <c r="S6" s="128"/>
      <c r="T6" s="128"/>
      <c r="U6" s="128"/>
      <c r="V6" s="128"/>
    </row>
    <row r="7" spans="1:22" ht="12.75" customHeight="1" x14ac:dyDescent="0.25">
      <c r="A7" s="129" t="s">
        <v>557</v>
      </c>
      <c r="B7" s="73">
        <v>2</v>
      </c>
      <c r="C7" s="131">
        <f>'SB1'!C10</f>
        <v>526156799</v>
      </c>
      <c r="D7" s="131">
        <f>'SB1'!D10</f>
        <v>526156799</v>
      </c>
      <c r="E7" s="131">
        <f>'SB1'!E10</f>
        <v>0</v>
      </c>
      <c r="F7" s="131">
        <f>'SB1'!F10</f>
        <v>0</v>
      </c>
      <c r="G7" s="131">
        <f>'SB1'!G10</f>
        <v>0</v>
      </c>
      <c r="H7" s="131">
        <f>'SB1'!H10</f>
        <v>0</v>
      </c>
      <c r="I7" s="131">
        <f>'SB1'!I10</f>
        <v>0</v>
      </c>
      <c r="J7" s="171">
        <f t="shared" ref="J7:J22" si="0">SUM(E7:I7)</f>
        <v>0</v>
      </c>
      <c r="K7" s="171">
        <f t="shared" ref="K7:K22" si="1">IF(D7=0,C7+J7,D7+J7)</f>
        <v>526156799</v>
      </c>
      <c r="L7" s="131">
        <f>'SB1'!L10</f>
        <v>551412326.4000001</v>
      </c>
      <c r="M7" s="133">
        <f>'SB1'!M10</f>
        <v>577880118.06720018</v>
      </c>
      <c r="N7" s="128"/>
      <c r="O7" s="128"/>
      <c r="P7" s="128"/>
      <c r="Q7" s="128"/>
      <c r="R7" s="128"/>
      <c r="S7" s="128"/>
      <c r="T7" s="128"/>
      <c r="U7" s="128"/>
      <c r="V7" s="128"/>
    </row>
    <row r="8" spans="1:22" ht="12.75" customHeight="1" x14ac:dyDescent="0.25">
      <c r="A8" s="129" t="s">
        <v>639</v>
      </c>
      <c r="B8" s="73">
        <v>2</v>
      </c>
      <c r="C8" s="131">
        <f>'SB1'!C16</f>
        <v>1234579062</v>
      </c>
      <c r="D8" s="131">
        <f>'SB1'!D16</f>
        <v>1234579062</v>
      </c>
      <c r="E8" s="131">
        <f>'SB1'!E16</f>
        <v>0</v>
      </c>
      <c r="F8" s="131">
        <f>'SB1'!F16</f>
        <v>0</v>
      </c>
      <c r="G8" s="131">
        <f>'SB1'!G16</f>
        <v>0</v>
      </c>
      <c r="H8" s="131">
        <f>'SB1'!H16</f>
        <v>0</v>
      </c>
      <c r="I8" s="131">
        <f>'SB1'!I16</f>
        <v>0</v>
      </c>
      <c r="J8" s="171">
        <f t="shared" si="0"/>
        <v>0</v>
      </c>
      <c r="K8" s="171">
        <f t="shared" si="1"/>
        <v>1234579062</v>
      </c>
      <c r="L8" s="131">
        <f>'SB1'!L16</f>
        <v>1370382759.2862</v>
      </c>
      <c r="M8" s="133">
        <f>'SB1'!M16</f>
        <v>1521124862.8076823</v>
      </c>
      <c r="N8" s="128"/>
      <c r="O8" s="128"/>
      <c r="P8" s="128"/>
      <c r="Q8" s="128"/>
      <c r="R8" s="128"/>
      <c r="S8" s="128"/>
      <c r="T8" s="128"/>
      <c r="U8" s="128"/>
      <c r="V8" s="128"/>
    </row>
    <row r="9" spans="1:22" ht="12.75" customHeight="1" x14ac:dyDescent="0.25">
      <c r="A9" s="129" t="s">
        <v>640</v>
      </c>
      <c r="B9" s="73">
        <v>2</v>
      </c>
      <c r="C9" s="131">
        <f>'SB1'!C22</f>
        <v>296542794</v>
      </c>
      <c r="D9" s="131">
        <f>'SB1'!D22</f>
        <v>296542794</v>
      </c>
      <c r="E9" s="131">
        <f>'SB1'!E22</f>
        <v>0</v>
      </c>
      <c r="F9" s="131">
        <f>'SB1'!F22</f>
        <v>0</v>
      </c>
      <c r="G9" s="131">
        <f>'SB1'!G22</f>
        <v>0</v>
      </c>
      <c r="H9" s="131">
        <f>'SB1'!H22</f>
        <v>0</v>
      </c>
      <c r="I9" s="131">
        <f>'SB1'!I22</f>
        <v>-43000000</v>
      </c>
      <c r="J9" s="171">
        <f t="shared" si="0"/>
        <v>-43000000</v>
      </c>
      <c r="K9" s="171">
        <f t="shared" si="1"/>
        <v>253542794</v>
      </c>
      <c r="L9" s="131">
        <f>'SB1'!L22</f>
        <v>310776846.8544001</v>
      </c>
      <c r="M9" s="133">
        <f>'SB1'!M22</f>
        <v>325694135.50341123</v>
      </c>
      <c r="N9" s="128"/>
      <c r="O9" s="128"/>
      <c r="P9" s="128"/>
      <c r="Q9" s="128"/>
      <c r="R9" s="128"/>
      <c r="S9" s="128"/>
      <c r="T9" s="128"/>
      <c r="U9" s="128"/>
      <c r="V9" s="128"/>
    </row>
    <row r="10" spans="1:22" ht="12.75" customHeight="1" x14ac:dyDescent="0.25">
      <c r="A10" s="129" t="s">
        <v>641</v>
      </c>
      <c r="B10" s="73">
        <v>2</v>
      </c>
      <c r="C10" s="131">
        <f>'SB1'!C28</f>
        <v>126897079</v>
      </c>
      <c r="D10" s="131">
        <f>'SB1'!D28</f>
        <v>126897079</v>
      </c>
      <c r="E10" s="131">
        <f>'SB1'!E28</f>
        <v>0</v>
      </c>
      <c r="F10" s="131">
        <f>'SB1'!F28</f>
        <v>0</v>
      </c>
      <c r="G10" s="131">
        <f>'SB1'!G28</f>
        <v>0</v>
      </c>
      <c r="H10" s="131">
        <f>'SB1'!H28</f>
        <v>0</v>
      </c>
      <c r="I10" s="131">
        <f>'SB1'!I28</f>
        <v>0</v>
      </c>
      <c r="J10" s="171">
        <f t="shared" si="0"/>
        <v>0</v>
      </c>
      <c r="K10" s="171">
        <f t="shared" si="1"/>
        <v>126897079</v>
      </c>
      <c r="L10" s="131">
        <f>'SB1'!L28</f>
        <v>132988138.9839936</v>
      </c>
      <c r="M10" s="133">
        <f>'SB1'!M28</f>
        <v>139371569.65522528</v>
      </c>
      <c r="N10" s="128"/>
      <c r="O10" s="128"/>
      <c r="P10" s="128"/>
      <c r="Q10" s="128"/>
      <c r="R10" s="128"/>
      <c r="S10" s="128"/>
      <c r="T10" s="128"/>
      <c r="U10" s="128"/>
      <c r="V10" s="128"/>
    </row>
    <row r="11" spans="1:22" ht="12.75" customHeight="1" x14ac:dyDescent="0.25">
      <c r="A11" s="129" t="s">
        <v>1150</v>
      </c>
      <c r="B11" s="73">
        <v>2</v>
      </c>
      <c r="C11" s="131">
        <f>'SB1'!C35</f>
        <v>122015565</v>
      </c>
      <c r="D11" s="132">
        <f>'SB1'!D35</f>
        <v>122015565</v>
      </c>
      <c r="E11" s="132">
        <f>'SB1'!E35</f>
        <v>0</v>
      </c>
      <c r="F11" s="132">
        <f>'SB1'!F35</f>
        <v>0</v>
      </c>
      <c r="G11" s="132">
        <f>'SB1'!G35</f>
        <v>0</v>
      </c>
      <c r="H11" s="132">
        <f>'SB1'!H35</f>
        <v>0</v>
      </c>
      <c r="I11" s="132">
        <f>'SB1'!I35</f>
        <v>0</v>
      </c>
      <c r="J11" s="75">
        <f t="shared" si="0"/>
        <v>0</v>
      </c>
      <c r="K11" s="75">
        <f t="shared" si="1"/>
        <v>122015565</v>
      </c>
      <c r="L11" s="132">
        <f>'SB1'!L35</f>
        <v>127872311.71253763</v>
      </c>
      <c r="M11" s="133">
        <f>'SB1'!M35</f>
        <v>134010182.67473947</v>
      </c>
      <c r="N11" s="128"/>
      <c r="O11" s="128"/>
      <c r="P11" s="128"/>
      <c r="Q11" s="128"/>
      <c r="R11" s="128"/>
      <c r="S11" s="128"/>
      <c r="T11" s="128"/>
      <c r="U11" s="128"/>
      <c r="V11" s="128"/>
    </row>
    <row r="12" spans="1:22" ht="0.95" customHeight="1" x14ac:dyDescent="0.25">
      <c r="A12" s="129"/>
      <c r="B12" s="73"/>
      <c r="C12" s="131"/>
      <c r="D12" s="132"/>
      <c r="E12" s="132"/>
      <c r="F12" s="132"/>
      <c r="G12" s="132"/>
      <c r="H12" s="132"/>
      <c r="I12" s="132"/>
      <c r="J12" s="132"/>
      <c r="K12" s="132"/>
      <c r="L12" s="132"/>
      <c r="M12" s="133"/>
      <c r="N12" s="128"/>
      <c r="O12" s="128"/>
      <c r="P12" s="128"/>
      <c r="Q12" s="128"/>
      <c r="R12" s="128"/>
      <c r="S12" s="128"/>
      <c r="T12" s="128"/>
      <c r="U12" s="134"/>
      <c r="V12" s="128"/>
    </row>
    <row r="13" spans="1:22" ht="12.75" customHeight="1" x14ac:dyDescent="0.25">
      <c r="A13" s="129" t="s">
        <v>642</v>
      </c>
      <c r="B13" s="73"/>
      <c r="C13" s="130">
        <v>21361950</v>
      </c>
      <c r="D13" s="109">
        <v>21361950</v>
      </c>
      <c r="E13" s="109">
        <v>0</v>
      </c>
      <c r="F13" s="109">
        <v>0</v>
      </c>
      <c r="G13" s="109">
        <v>0</v>
      </c>
      <c r="H13" s="109">
        <v>0</v>
      </c>
      <c r="I13" s="109">
        <v>-7000000</v>
      </c>
      <c r="J13" s="75">
        <f t="shared" si="0"/>
        <v>-7000000</v>
      </c>
      <c r="K13" s="75">
        <f t="shared" si="1"/>
        <v>14361950</v>
      </c>
      <c r="L13" s="109">
        <v>26579318</v>
      </c>
      <c r="M13" s="110">
        <v>27855126</v>
      </c>
      <c r="N13" s="128"/>
      <c r="O13" s="128"/>
      <c r="P13" s="128"/>
      <c r="Q13" s="128"/>
      <c r="R13" s="128"/>
      <c r="S13" s="128"/>
      <c r="T13" s="128"/>
      <c r="U13" s="128"/>
      <c r="V13" s="128"/>
    </row>
    <row r="14" spans="1:22" ht="12.75" customHeight="1" x14ac:dyDescent="0.25">
      <c r="A14" s="129" t="s">
        <v>643</v>
      </c>
      <c r="B14" s="73"/>
      <c r="C14" s="130">
        <v>13069489</v>
      </c>
      <c r="D14" s="109">
        <v>13069489</v>
      </c>
      <c r="E14" s="109">
        <v>0</v>
      </c>
      <c r="F14" s="109">
        <v>0</v>
      </c>
      <c r="G14" s="109">
        <v>0</v>
      </c>
      <c r="H14" s="109">
        <v>0</v>
      </c>
      <c r="I14" s="109">
        <v>0</v>
      </c>
      <c r="J14" s="75">
        <f t="shared" si="0"/>
        <v>0</v>
      </c>
      <c r="K14" s="75">
        <f t="shared" si="1"/>
        <v>13069489</v>
      </c>
      <c r="L14" s="109">
        <v>13696824</v>
      </c>
      <c r="M14" s="110">
        <v>14354272</v>
      </c>
      <c r="N14" s="128"/>
      <c r="O14" s="128"/>
      <c r="P14" s="128"/>
      <c r="Q14" s="128"/>
      <c r="R14" s="128"/>
      <c r="S14" s="128"/>
      <c r="T14" s="128"/>
      <c r="U14" s="128"/>
      <c r="V14" s="128"/>
    </row>
    <row r="15" spans="1:22" ht="12.75" customHeight="1" x14ac:dyDescent="0.25">
      <c r="A15" s="129" t="s">
        <v>644</v>
      </c>
      <c r="B15" s="73"/>
      <c r="C15" s="130">
        <v>97347204</v>
      </c>
      <c r="D15" s="109">
        <v>97347204</v>
      </c>
      <c r="E15" s="109">
        <v>0</v>
      </c>
      <c r="F15" s="109">
        <v>0</v>
      </c>
      <c r="G15" s="109">
        <v>0</v>
      </c>
      <c r="H15" s="109">
        <v>0</v>
      </c>
      <c r="I15" s="109">
        <v>0</v>
      </c>
      <c r="J15" s="75">
        <f t="shared" si="0"/>
        <v>0</v>
      </c>
      <c r="K15" s="75">
        <f t="shared" si="1"/>
        <v>97347204</v>
      </c>
      <c r="L15" s="109">
        <v>102019870</v>
      </c>
      <c r="M15" s="110">
        <v>106916824</v>
      </c>
      <c r="N15" s="128"/>
      <c r="O15" s="128"/>
      <c r="P15" s="128"/>
      <c r="Q15" s="128"/>
      <c r="R15" s="128"/>
      <c r="S15" s="128"/>
      <c r="T15" s="128"/>
      <c r="U15" s="128"/>
      <c r="V15" s="128"/>
    </row>
    <row r="16" spans="1:22" ht="12.75" customHeight="1" x14ac:dyDescent="0.25">
      <c r="A16" s="129" t="s">
        <v>645</v>
      </c>
      <c r="B16" s="73"/>
      <c r="C16" s="130">
        <v>0</v>
      </c>
      <c r="D16" s="109">
        <v>0</v>
      </c>
      <c r="E16" s="109">
        <v>0</v>
      </c>
      <c r="F16" s="109">
        <v>0</v>
      </c>
      <c r="G16" s="109">
        <v>0</v>
      </c>
      <c r="H16" s="109">
        <v>0</v>
      </c>
      <c r="I16" s="109">
        <v>0</v>
      </c>
      <c r="J16" s="75">
        <f t="shared" si="0"/>
        <v>0</v>
      </c>
      <c r="K16" s="75">
        <f t="shared" si="1"/>
        <v>0</v>
      </c>
      <c r="L16" s="109">
        <v>0</v>
      </c>
      <c r="M16" s="110">
        <v>0</v>
      </c>
      <c r="N16" s="128"/>
      <c r="O16" s="128"/>
      <c r="P16" s="128"/>
      <c r="Q16" s="128"/>
      <c r="R16" s="128"/>
      <c r="S16" s="128"/>
      <c r="T16" s="128"/>
      <c r="U16" s="128"/>
      <c r="V16" s="128"/>
    </row>
    <row r="17" spans="1:22" ht="12.75" customHeight="1" x14ac:dyDescent="0.25">
      <c r="A17" s="588" t="s">
        <v>1479</v>
      </c>
      <c r="B17" s="73"/>
      <c r="C17" s="130">
        <v>36673036</v>
      </c>
      <c r="D17" s="109">
        <v>36673036</v>
      </c>
      <c r="E17" s="109">
        <v>0</v>
      </c>
      <c r="F17" s="109">
        <v>0</v>
      </c>
      <c r="G17" s="109">
        <v>0</v>
      </c>
      <c r="H17" s="109">
        <v>0</v>
      </c>
      <c r="I17" s="109">
        <v>0</v>
      </c>
      <c r="J17" s="75">
        <f t="shared" si="0"/>
        <v>0</v>
      </c>
      <c r="K17" s="75">
        <f t="shared" si="1"/>
        <v>36673036</v>
      </c>
      <c r="L17" s="109">
        <v>38433342</v>
      </c>
      <c r="M17" s="110">
        <v>40278142</v>
      </c>
      <c r="N17" s="128"/>
      <c r="O17" s="128"/>
      <c r="P17" s="128"/>
      <c r="Q17" s="128"/>
      <c r="R17" s="128"/>
      <c r="S17" s="128"/>
      <c r="T17" s="128"/>
      <c r="U17" s="128"/>
      <c r="V17" s="128"/>
    </row>
    <row r="18" spans="1:22" ht="12.75" customHeight="1" x14ac:dyDescent="0.25">
      <c r="A18" s="129" t="s">
        <v>646</v>
      </c>
      <c r="B18" s="73"/>
      <c r="C18" s="130">
        <v>16557436</v>
      </c>
      <c r="D18" s="109">
        <v>16557436</v>
      </c>
      <c r="E18" s="109">
        <v>0</v>
      </c>
      <c r="F18" s="109">
        <v>0</v>
      </c>
      <c r="G18" s="109">
        <v>0</v>
      </c>
      <c r="H18" s="109">
        <v>0</v>
      </c>
      <c r="I18" s="109">
        <v>-3786000</v>
      </c>
      <c r="J18" s="75">
        <f t="shared" si="0"/>
        <v>-3786000</v>
      </c>
      <c r="K18" s="75">
        <f t="shared" si="1"/>
        <v>12771436</v>
      </c>
      <c r="L18" s="109">
        <v>17352194</v>
      </c>
      <c r="M18" s="110">
        <v>18185099</v>
      </c>
      <c r="N18" s="128"/>
      <c r="O18" s="128"/>
      <c r="P18" s="128"/>
      <c r="Q18" s="128"/>
      <c r="R18" s="128"/>
      <c r="S18" s="128"/>
      <c r="T18" s="128"/>
      <c r="U18" s="128"/>
      <c r="V18" s="128"/>
    </row>
    <row r="19" spans="1:22" ht="12.75" customHeight="1" x14ac:dyDescent="0.25">
      <c r="A19" s="30" t="s">
        <v>647</v>
      </c>
      <c r="B19" s="73"/>
      <c r="C19" s="130">
        <v>27798496</v>
      </c>
      <c r="D19" s="109">
        <v>27798496</v>
      </c>
      <c r="E19" s="109">
        <v>0</v>
      </c>
      <c r="F19" s="109">
        <v>0</v>
      </c>
      <c r="G19" s="109">
        <v>0</v>
      </c>
      <c r="H19" s="109">
        <v>0</v>
      </c>
      <c r="I19" s="109">
        <v>0</v>
      </c>
      <c r="J19" s="75">
        <f t="shared" si="0"/>
        <v>0</v>
      </c>
      <c r="K19" s="75">
        <f t="shared" si="1"/>
        <v>27798496</v>
      </c>
      <c r="L19" s="109">
        <v>29132824</v>
      </c>
      <c r="M19" s="110">
        <v>30531199</v>
      </c>
      <c r="N19" s="128"/>
      <c r="O19" s="128"/>
      <c r="P19" s="128"/>
      <c r="Q19" s="128"/>
      <c r="R19" s="128"/>
      <c r="S19" s="128"/>
      <c r="T19" s="128"/>
      <c r="U19" s="128"/>
      <c r="V19" s="128"/>
    </row>
    <row r="20" spans="1:22" ht="12.75" customHeight="1" x14ac:dyDescent="0.25">
      <c r="A20" s="30" t="s">
        <v>1478</v>
      </c>
      <c r="B20" s="73"/>
      <c r="C20" s="130">
        <v>1187428150</v>
      </c>
      <c r="D20" s="109">
        <v>1342428150</v>
      </c>
      <c r="E20" s="109">
        <v>0</v>
      </c>
      <c r="F20" s="109">
        <v>0</v>
      </c>
      <c r="G20" s="109">
        <v>0</v>
      </c>
      <c r="H20" s="109">
        <v>37920670</v>
      </c>
      <c r="I20" s="109">
        <v>8282371</v>
      </c>
      <c r="J20" s="75">
        <f t="shared" si="0"/>
        <v>46203041</v>
      </c>
      <c r="K20" s="75">
        <f t="shared" si="1"/>
        <v>1388631191</v>
      </c>
      <c r="L20" s="109">
        <v>1286156249.7880187</v>
      </c>
      <c r="M20" s="110">
        <v>1396716549.9974196</v>
      </c>
      <c r="N20" s="128"/>
      <c r="O20" s="128"/>
      <c r="P20" s="128"/>
      <c r="Q20" s="128"/>
      <c r="R20" s="128"/>
      <c r="S20" s="128"/>
      <c r="T20" s="128"/>
      <c r="U20" s="128"/>
      <c r="V20" s="128"/>
    </row>
    <row r="21" spans="1:22" ht="12.75" customHeight="1" x14ac:dyDescent="0.25">
      <c r="A21" s="30" t="s">
        <v>648</v>
      </c>
      <c r="B21" s="73">
        <v>2</v>
      </c>
      <c r="C21" s="131">
        <f>'SB1'!C50</f>
        <v>100596017</v>
      </c>
      <c r="D21" s="132">
        <f>'SB1'!D50</f>
        <v>100596017</v>
      </c>
      <c r="E21" s="132">
        <f>'SB1'!E50</f>
        <v>0</v>
      </c>
      <c r="F21" s="132">
        <f>'SB1'!F50</f>
        <v>0</v>
      </c>
      <c r="G21" s="132">
        <f>'SB1'!G50</f>
        <v>0</v>
      </c>
      <c r="H21" s="132">
        <f>'SB1'!H50</f>
        <v>0</v>
      </c>
      <c r="I21" s="132">
        <f>'SB1'!I50</f>
        <v>0</v>
      </c>
      <c r="J21" s="132">
        <f t="shared" si="0"/>
        <v>0</v>
      </c>
      <c r="K21" s="132">
        <f t="shared" si="1"/>
        <v>100596017</v>
      </c>
      <c r="L21" s="132">
        <f>'SB1'!L50</f>
        <v>104800000</v>
      </c>
      <c r="M21" s="133">
        <f>'SB1'!M50</f>
        <v>109830400</v>
      </c>
      <c r="N21" s="128"/>
      <c r="O21" s="128"/>
      <c r="P21" s="128"/>
      <c r="Q21" s="128"/>
      <c r="R21" s="128"/>
      <c r="S21" s="128"/>
      <c r="T21" s="128"/>
      <c r="U21" s="128"/>
      <c r="V21" s="128"/>
    </row>
    <row r="22" spans="1:22" ht="12.75" customHeight="1" x14ac:dyDescent="0.25">
      <c r="A22" s="1331" t="s">
        <v>1795</v>
      </c>
      <c r="B22" s="73"/>
      <c r="C22" s="130">
        <v>0</v>
      </c>
      <c r="D22" s="109">
        <v>0</v>
      </c>
      <c r="E22" s="109">
        <v>0</v>
      </c>
      <c r="F22" s="109">
        <v>0</v>
      </c>
      <c r="G22" s="109">
        <v>0</v>
      </c>
      <c r="H22" s="109">
        <v>0</v>
      </c>
      <c r="I22" s="109">
        <v>0</v>
      </c>
      <c r="J22" s="75">
        <f t="shared" si="0"/>
        <v>0</v>
      </c>
      <c r="K22" s="75">
        <f t="shared" si="1"/>
        <v>0</v>
      </c>
      <c r="L22" s="109">
        <v>0</v>
      </c>
      <c r="M22" s="110">
        <v>0</v>
      </c>
      <c r="N22" s="128"/>
      <c r="O22" s="128"/>
      <c r="P22" s="128"/>
      <c r="Q22" s="128"/>
      <c r="R22" s="128"/>
      <c r="S22" s="128"/>
      <c r="T22" s="128"/>
      <c r="U22" s="128"/>
      <c r="V22" s="128"/>
    </row>
    <row r="23" spans="1:22" ht="24" customHeight="1" x14ac:dyDescent="0.25">
      <c r="A23" s="636" t="s">
        <v>561</v>
      </c>
      <c r="B23" s="637"/>
      <c r="C23" s="633">
        <f>SUM(C7:C11)+SUM(C13:C22)</f>
        <v>3807023077</v>
      </c>
      <c r="D23" s="634">
        <f t="shared" ref="D23:I23" si="2">SUM(D7:D11)+SUM(D13:D22)</f>
        <v>3962023077</v>
      </c>
      <c r="E23" s="634">
        <f t="shared" si="2"/>
        <v>0</v>
      </c>
      <c r="F23" s="634">
        <f t="shared" si="2"/>
        <v>0</v>
      </c>
      <c r="G23" s="634">
        <f t="shared" si="2"/>
        <v>0</v>
      </c>
      <c r="H23" s="634">
        <f t="shared" si="2"/>
        <v>37920670</v>
      </c>
      <c r="I23" s="634">
        <f t="shared" si="2"/>
        <v>-45503629</v>
      </c>
      <c r="J23" s="634">
        <f>SUM(J7:J11)+SUM(J13:J22)</f>
        <v>-7582959</v>
      </c>
      <c r="K23" s="634">
        <f>SUM(K7:K11)+SUM(K13:K22)</f>
        <v>3954440118</v>
      </c>
      <c r="L23" s="634">
        <f>SUM(L7:L11)+SUM(L13:L22)</f>
        <v>4111603005.0251503</v>
      </c>
      <c r="M23" s="635">
        <f>SUM(M7:M11)+SUM(M13:M22)</f>
        <v>4442748480.705678</v>
      </c>
      <c r="N23" s="128"/>
      <c r="O23" s="128"/>
      <c r="P23" s="128"/>
      <c r="Q23" s="128"/>
      <c r="R23" s="128"/>
      <c r="S23" s="128"/>
      <c r="T23" s="128"/>
      <c r="U23" s="128"/>
      <c r="V23" s="128"/>
    </row>
    <row r="24" spans="1:22" ht="5.0999999999999996" customHeight="1" x14ac:dyDescent="0.25">
      <c r="A24" s="136"/>
      <c r="B24" s="73"/>
      <c r="C24" s="74"/>
      <c r="D24" s="75"/>
      <c r="E24" s="75"/>
      <c r="F24" s="75"/>
      <c r="G24" s="75"/>
      <c r="H24" s="75"/>
      <c r="I24" s="75"/>
      <c r="J24" s="75"/>
      <c r="K24" s="75"/>
      <c r="L24" s="75"/>
      <c r="M24" s="76"/>
      <c r="N24" s="128"/>
      <c r="O24" s="128"/>
      <c r="P24" s="128"/>
      <c r="Q24" s="128"/>
      <c r="R24" s="128"/>
      <c r="S24" s="128"/>
      <c r="T24" s="128"/>
      <c r="U24" s="128"/>
      <c r="V24" s="128"/>
    </row>
    <row r="25" spans="1:22" ht="12.75" customHeight="1" x14ac:dyDescent="0.25">
      <c r="A25" s="126" t="s">
        <v>649</v>
      </c>
      <c r="B25" s="115"/>
      <c r="C25" s="74"/>
      <c r="D25" s="75"/>
      <c r="E25" s="75"/>
      <c r="F25" s="75"/>
      <c r="G25" s="75"/>
      <c r="H25" s="75"/>
      <c r="I25" s="75"/>
      <c r="J25" s="75"/>
      <c r="K25" s="75"/>
      <c r="L25" s="75"/>
      <c r="M25" s="76"/>
      <c r="N25" s="128"/>
      <c r="O25" s="128"/>
      <c r="P25" s="128"/>
      <c r="Q25" s="128"/>
      <c r="R25" s="128"/>
      <c r="S25" s="128"/>
      <c r="T25" s="128"/>
      <c r="U25" s="128"/>
      <c r="V25" s="128"/>
    </row>
    <row r="26" spans="1:22" ht="12.75" customHeight="1" x14ac:dyDescent="0.25">
      <c r="A26" s="30" t="s">
        <v>650</v>
      </c>
      <c r="B26" s="137"/>
      <c r="C26" s="131">
        <f>'SB1'!C68</f>
        <v>990053017</v>
      </c>
      <c r="D26" s="132">
        <f>'SB1'!D68</f>
        <v>990053017</v>
      </c>
      <c r="E26" s="132">
        <f>'SB1'!E68</f>
        <v>0</v>
      </c>
      <c r="F26" s="132">
        <f>'SB1'!F68</f>
        <v>0</v>
      </c>
      <c r="G26" s="132">
        <f>'SB1'!G68</f>
        <v>0</v>
      </c>
      <c r="H26" s="132">
        <f>'SB1'!H68</f>
        <v>0</v>
      </c>
      <c r="I26" s="132">
        <f>'SB1'!I68</f>
        <v>42594900</v>
      </c>
      <c r="J26" s="132">
        <f t="shared" ref="J26:J36" si="3">SUM(E26:I26)</f>
        <v>42594900</v>
      </c>
      <c r="K26" s="132">
        <f t="shared" ref="K26:K36" si="4">IF(D26=0,C26+J26,D26+J26)</f>
        <v>1032647917</v>
      </c>
      <c r="L26" s="132">
        <f>'SB1'!L68</f>
        <v>1045408398.6649141</v>
      </c>
      <c r="M26" s="133">
        <f>'SB1'!M68</f>
        <v>1106042085.7874796</v>
      </c>
      <c r="N26" s="128"/>
      <c r="O26" s="128"/>
      <c r="P26" s="128"/>
      <c r="Q26" s="128"/>
      <c r="R26" s="128"/>
      <c r="S26" s="128"/>
      <c r="T26" s="128"/>
      <c r="U26" s="128"/>
      <c r="V26" s="128"/>
    </row>
    <row r="27" spans="1:22" ht="12.75" customHeight="1" x14ac:dyDescent="0.25">
      <c r="A27" s="30" t="s">
        <v>563</v>
      </c>
      <c r="B27" s="137"/>
      <c r="C27" s="130">
        <v>42510996</v>
      </c>
      <c r="D27" s="109">
        <v>42510996</v>
      </c>
      <c r="E27" s="109">
        <v>0</v>
      </c>
      <c r="F27" s="109">
        <v>0</v>
      </c>
      <c r="G27" s="109">
        <v>0</v>
      </c>
      <c r="H27" s="109">
        <v>0</v>
      </c>
      <c r="I27" s="109">
        <v>0</v>
      </c>
      <c r="J27" s="75">
        <f t="shared" si="3"/>
        <v>0</v>
      </c>
      <c r="K27" s="75">
        <f t="shared" si="4"/>
        <v>42510996</v>
      </c>
      <c r="L27" s="109">
        <v>44976638</v>
      </c>
      <c r="M27" s="110">
        <v>47585283.004000001</v>
      </c>
      <c r="N27" s="128"/>
      <c r="O27" s="128"/>
      <c r="P27" s="128"/>
      <c r="Q27" s="128"/>
      <c r="R27" s="128"/>
      <c r="S27" s="128"/>
      <c r="T27" s="128"/>
      <c r="U27" s="128"/>
      <c r="V27" s="128"/>
    </row>
    <row r="28" spans="1:22" ht="12.75" customHeight="1" x14ac:dyDescent="0.25">
      <c r="A28" s="30" t="s">
        <v>651</v>
      </c>
      <c r="B28" s="137"/>
      <c r="C28" s="130">
        <v>250000000</v>
      </c>
      <c r="D28" s="109">
        <v>250000000</v>
      </c>
      <c r="E28" s="109">
        <v>0</v>
      </c>
      <c r="F28" s="109">
        <v>0</v>
      </c>
      <c r="G28" s="109">
        <v>0</v>
      </c>
      <c r="H28" s="109">
        <v>0</v>
      </c>
      <c r="I28" s="109">
        <v>0</v>
      </c>
      <c r="J28" s="75">
        <f t="shared" si="3"/>
        <v>0</v>
      </c>
      <c r="K28" s="75">
        <f t="shared" si="4"/>
        <v>250000000</v>
      </c>
      <c r="L28" s="109">
        <v>300000000</v>
      </c>
      <c r="M28" s="110">
        <v>350000000</v>
      </c>
      <c r="N28" s="128"/>
      <c r="O28" s="128"/>
      <c r="P28" s="128"/>
      <c r="Q28" s="128"/>
      <c r="R28" s="128"/>
      <c r="S28" s="128"/>
      <c r="T28" s="128"/>
      <c r="U28" s="128"/>
      <c r="V28" s="128"/>
    </row>
    <row r="29" spans="1:22" ht="12.75" customHeight="1" x14ac:dyDescent="0.25">
      <c r="A29" s="30" t="s">
        <v>564</v>
      </c>
      <c r="B29" s="137"/>
      <c r="C29" s="131">
        <f>'SB1'!C84</f>
        <v>255000000</v>
      </c>
      <c r="D29" s="132">
        <f>'SB1'!D84</f>
        <v>255000000</v>
      </c>
      <c r="E29" s="132">
        <f>'SB1'!E84</f>
        <v>0</v>
      </c>
      <c r="F29" s="132">
        <f>'SB1'!F84</f>
        <v>0</v>
      </c>
      <c r="G29" s="132">
        <f>'SB1'!G84</f>
        <v>0</v>
      </c>
      <c r="H29" s="132">
        <f>'SB1'!H84</f>
        <v>0</v>
      </c>
      <c r="I29" s="132">
        <f>'SB1'!I84</f>
        <v>0</v>
      </c>
      <c r="J29" s="132">
        <f t="shared" si="3"/>
        <v>0</v>
      </c>
      <c r="K29" s="132">
        <f t="shared" si="4"/>
        <v>255000000</v>
      </c>
      <c r="L29" s="132">
        <f>'SB1'!L84</f>
        <v>285000000</v>
      </c>
      <c r="M29" s="133">
        <f>'SB1'!M84</f>
        <v>300000000</v>
      </c>
      <c r="N29" s="128"/>
      <c r="O29" s="128"/>
      <c r="P29" s="128"/>
      <c r="Q29" s="128"/>
      <c r="R29" s="128"/>
      <c r="S29" s="128"/>
      <c r="T29" s="128"/>
      <c r="U29" s="128"/>
      <c r="V29" s="128"/>
    </row>
    <row r="30" spans="1:22" ht="12.75" customHeight="1" x14ac:dyDescent="0.25">
      <c r="A30" s="30" t="s">
        <v>565</v>
      </c>
      <c r="B30" s="137"/>
      <c r="C30" s="130">
        <v>97987467</v>
      </c>
      <c r="D30" s="109">
        <v>97987467</v>
      </c>
      <c r="E30" s="109">
        <v>0</v>
      </c>
      <c r="F30" s="109">
        <v>0</v>
      </c>
      <c r="G30" s="109"/>
      <c r="H30" s="109">
        <v>0</v>
      </c>
      <c r="I30" s="109">
        <v>-15000000</v>
      </c>
      <c r="J30" s="75">
        <f t="shared" si="3"/>
        <v>-15000000</v>
      </c>
      <c r="K30" s="75">
        <f t="shared" si="4"/>
        <v>82987467</v>
      </c>
      <c r="L30" s="109">
        <v>118064572</v>
      </c>
      <c r="M30" s="110">
        <v>118064572</v>
      </c>
      <c r="N30" s="128"/>
      <c r="O30" s="128"/>
      <c r="P30" s="128"/>
      <c r="Q30" s="128"/>
      <c r="R30" s="128"/>
      <c r="S30" s="128"/>
      <c r="T30" s="128"/>
      <c r="U30" s="128"/>
      <c r="V30" s="128"/>
    </row>
    <row r="31" spans="1:22" ht="12.75" customHeight="1" x14ac:dyDescent="0.25">
      <c r="A31" s="30" t="s">
        <v>652</v>
      </c>
      <c r="B31" s="137"/>
      <c r="C31" s="131">
        <f>'SB1'!C89</f>
        <v>1051821725</v>
      </c>
      <c r="D31" s="132">
        <f>'SB1'!D89</f>
        <v>1051821725</v>
      </c>
      <c r="E31" s="132">
        <f>'SB1'!E89</f>
        <v>0</v>
      </c>
      <c r="F31" s="132">
        <f>'SB1'!F89</f>
        <v>0</v>
      </c>
      <c r="G31" s="132">
        <f>'SB1'!G89</f>
        <v>0</v>
      </c>
      <c r="H31" s="132">
        <f>'SB1'!H89</f>
        <v>0</v>
      </c>
      <c r="I31" s="132">
        <f>'SB1'!I89</f>
        <v>-78750000</v>
      </c>
      <c r="J31" s="138">
        <f t="shared" si="3"/>
        <v>-78750000</v>
      </c>
      <c r="K31" s="138">
        <f t="shared" si="4"/>
        <v>973071725</v>
      </c>
      <c r="L31" s="132">
        <f>'SB1'!L89</f>
        <v>1120190137.125</v>
      </c>
      <c r="M31" s="133">
        <f>'SB1'!M89</f>
        <v>1193002496.038125</v>
      </c>
      <c r="N31" s="128"/>
      <c r="O31" s="128"/>
      <c r="P31" s="128"/>
      <c r="Q31" s="128"/>
      <c r="R31" s="128"/>
      <c r="S31" s="128"/>
      <c r="T31" s="128"/>
      <c r="U31" s="128"/>
      <c r="V31" s="128"/>
    </row>
    <row r="32" spans="1:22" ht="12.75" customHeight="1" x14ac:dyDescent="0.25">
      <c r="A32" s="30" t="s">
        <v>653</v>
      </c>
      <c r="B32" s="137"/>
      <c r="C32" s="130">
        <v>89586798</v>
      </c>
      <c r="D32" s="109">
        <v>118586798</v>
      </c>
      <c r="E32" s="109">
        <v>0</v>
      </c>
      <c r="F32" s="109">
        <v>0</v>
      </c>
      <c r="G32" s="109">
        <v>0</v>
      </c>
      <c r="H32" s="109">
        <v>0</v>
      </c>
      <c r="I32" s="109">
        <v>-16603343</v>
      </c>
      <c r="J32" s="75">
        <f t="shared" si="3"/>
        <v>-16603343</v>
      </c>
      <c r="K32" s="75">
        <f t="shared" si="4"/>
        <v>101983455</v>
      </c>
      <c r="L32" s="109">
        <v>87378072</v>
      </c>
      <c r="M32" s="110">
        <v>91572171</v>
      </c>
      <c r="N32" s="128"/>
      <c r="O32" s="128"/>
      <c r="P32" s="128"/>
      <c r="Q32" s="128"/>
      <c r="R32" s="128"/>
      <c r="S32" s="128"/>
      <c r="T32" s="128"/>
      <c r="U32" s="128"/>
      <c r="V32" s="128"/>
    </row>
    <row r="33" spans="1:22" ht="12.75" customHeight="1" x14ac:dyDescent="0.25">
      <c r="A33" s="30" t="s">
        <v>654</v>
      </c>
      <c r="B33" s="137"/>
      <c r="C33" s="131">
        <f>'SB1'!C128</f>
        <v>682020582</v>
      </c>
      <c r="D33" s="131">
        <f>'SB1'!D128</f>
        <v>668520582</v>
      </c>
      <c r="E33" s="131">
        <f>'SB1'!E128</f>
        <v>0</v>
      </c>
      <c r="F33" s="131">
        <f>'SB1'!F128</f>
        <v>0</v>
      </c>
      <c r="G33" s="131">
        <f>'SB1'!G128</f>
        <v>0</v>
      </c>
      <c r="H33" s="131">
        <f>'SB1'!H128</f>
        <v>37920670</v>
      </c>
      <c r="I33" s="131">
        <f>'SB1'!I128</f>
        <v>216170428</v>
      </c>
      <c r="J33" s="132">
        <f t="shared" si="3"/>
        <v>254091098</v>
      </c>
      <c r="K33" s="132">
        <f t="shared" si="4"/>
        <v>922611680</v>
      </c>
      <c r="L33" s="132">
        <f>'SB1'!L128</f>
        <v>706201081</v>
      </c>
      <c r="M33" s="133">
        <f>'SB1'!M128</f>
        <v>740098728</v>
      </c>
      <c r="N33" s="128"/>
      <c r="O33" s="128"/>
      <c r="P33" s="128"/>
      <c r="Q33" s="128"/>
      <c r="R33" s="128"/>
      <c r="S33" s="128"/>
      <c r="T33" s="128"/>
      <c r="U33" s="128"/>
      <c r="V33" s="128"/>
    </row>
    <row r="34" spans="1:22" ht="12.75" customHeight="1" x14ac:dyDescent="0.25">
      <c r="A34" s="30" t="s">
        <v>1478</v>
      </c>
      <c r="B34" s="137"/>
      <c r="C34" s="130">
        <v>11500008</v>
      </c>
      <c r="D34" s="109">
        <v>11500008</v>
      </c>
      <c r="E34" s="109">
        <v>0</v>
      </c>
      <c r="F34" s="109">
        <v>0</v>
      </c>
      <c r="G34" s="109">
        <v>0</v>
      </c>
      <c r="H34" s="109">
        <v>0</v>
      </c>
      <c r="I34" s="109">
        <v>28000000</v>
      </c>
      <c r="J34" s="75">
        <f t="shared" si="3"/>
        <v>28000000</v>
      </c>
      <c r="K34" s="75">
        <f t="shared" si="4"/>
        <v>39500008</v>
      </c>
      <c r="L34" s="109">
        <v>11500000</v>
      </c>
      <c r="M34" s="110">
        <v>11500000</v>
      </c>
      <c r="N34" s="128"/>
      <c r="O34" s="128"/>
      <c r="P34" s="128"/>
      <c r="Q34" s="128"/>
      <c r="R34" s="128"/>
      <c r="S34" s="128"/>
      <c r="T34" s="128"/>
      <c r="U34" s="128"/>
      <c r="V34" s="128"/>
    </row>
    <row r="35" spans="1:22" ht="12.75" customHeight="1" x14ac:dyDescent="0.25">
      <c r="A35" s="30" t="s">
        <v>567</v>
      </c>
      <c r="B35" s="137"/>
      <c r="C35" s="131">
        <f>'SB1'!C158</f>
        <v>208986543</v>
      </c>
      <c r="D35" s="132">
        <f>'SB1'!D158</f>
        <v>217986543</v>
      </c>
      <c r="E35" s="132">
        <f>'SB1'!E158</f>
        <v>0</v>
      </c>
      <c r="F35" s="132">
        <f>'SB1'!F158</f>
        <v>0</v>
      </c>
      <c r="G35" s="132">
        <f>'SB1'!G158</f>
        <v>0</v>
      </c>
      <c r="H35" s="132">
        <f>'SB1'!H158</f>
        <v>0</v>
      </c>
      <c r="I35" s="132">
        <f>'SB1'!I158</f>
        <v>-4531594</v>
      </c>
      <c r="J35" s="75">
        <f t="shared" si="3"/>
        <v>-4531594</v>
      </c>
      <c r="K35" s="75">
        <f t="shared" si="4"/>
        <v>213454949</v>
      </c>
      <c r="L35" s="132">
        <f>'SB1'!L158</f>
        <v>212787899</v>
      </c>
      <c r="M35" s="133">
        <f>'SB1'!M158</f>
        <v>223001877</v>
      </c>
      <c r="N35" s="128"/>
      <c r="O35" s="128"/>
      <c r="P35" s="128"/>
      <c r="Q35" s="128"/>
      <c r="R35" s="128"/>
      <c r="S35" s="128"/>
      <c r="T35" s="128"/>
      <c r="U35" s="128"/>
      <c r="V35" s="128"/>
    </row>
    <row r="36" spans="1:22" ht="12.75" customHeight="1" x14ac:dyDescent="0.25">
      <c r="A36" s="1331" t="s">
        <v>1796</v>
      </c>
      <c r="B36" s="137"/>
      <c r="C36" s="130">
        <v>0</v>
      </c>
      <c r="D36" s="109">
        <v>0</v>
      </c>
      <c r="E36" s="109">
        <v>0</v>
      </c>
      <c r="F36" s="109">
        <v>0</v>
      </c>
      <c r="G36" s="109">
        <v>0</v>
      </c>
      <c r="H36" s="109">
        <v>0</v>
      </c>
      <c r="I36" s="109">
        <v>0</v>
      </c>
      <c r="J36" s="75">
        <f t="shared" si="3"/>
        <v>0</v>
      </c>
      <c r="K36" s="75">
        <f t="shared" si="4"/>
        <v>0</v>
      </c>
      <c r="L36" s="109">
        <v>0</v>
      </c>
      <c r="M36" s="110">
        <v>0</v>
      </c>
      <c r="N36" s="128"/>
      <c r="O36" s="128"/>
      <c r="P36" s="128"/>
      <c r="Q36" s="128"/>
      <c r="R36" s="128"/>
      <c r="S36" s="128"/>
      <c r="T36" s="128"/>
      <c r="U36" s="128"/>
      <c r="V36" s="128"/>
    </row>
    <row r="37" spans="1:22" ht="12.75" customHeight="1" x14ac:dyDescent="0.25">
      <c r="A37" s="162" t="s">
        <v>568</v>
      </c>
      <c r="B37" s="79"/>
      <c r="C37" s="80">
        <f t="shared" ref="C37:M37" si="5">SUM(C26:C36)</f>
        <v>3679467136</v>
      </c>
      <c r="D37" s="81">
        <f t="shared" si="5"/>
        <v>3703967136</v>
      </c>
      <c r="E37" s="81">
        <f t="shared" si="5"/>
        <v>0</v>
      </c>
      <c r="F37" s="81">
        <f t="shared" si="5"/>
        <v>0</v>
      </c>
      <c r="G37" s="81">
        <f t="shared" si="5"/>
        <v>0</v>
      </c>
      <c r="H37" s="81">
        <f t="shared" si="5"/>
        <v>37920670</v>
      </c>
      <c r="I37" s="81">
        <f t="shared" si="5"/>
        <v>171880391</v>
      </c>
      <c r="J37" s="81">
        <f t="shared" si="5"/>
        <v>209801061</v>
      </c>
      <c r="K37" s="81">
        <f t="shared" si="5"/>
        <v>3913768197</v>
      </c>
      <c r="L37" s="81">
        <f t="shared" si="5"/>
        <v>3931506797.7899141</v>
      </c>
      <c r="M37" s="82">
        <f t="shared" si="5"/>
        <v>4180867212.8296046</v>
      </c>
      <c r="N37" s="128"/>
      <c r="O37" s="128"/>
      <c r="P37" s="128"/>
      <c r="Q37" s="128"/>
      <c r="R37" s="128"/>
      <c r="S37" s="128"/>
      <c r="T37" s="128"/>
      <c r="U37" s="128"/>
      <c r="V37" s="128"/>
    </row>
    <row r="38" spans="1:22" ht="5.0999999999999996" customHeight="1" x14ac:dyDescent="0.25">
      <c r="A38" s="136"/>
      <c r="B38" s="73"/>
      <c r="C38" s="74"/>
      <c r="D38" s="75"/>
      <c r="E38" s="75"/>
      <c r="F38" s="75"/>
      <c r="G38" s="75"/>
      <c r="H38" s="75"/>
      <c r="I38" s="75"/>
      <c r="J38" s="75"/>
      <c r="K38" s="75"/>
      <c r="L38" s="75"/>
      <c r="M38" s="76"/>
      <c r="N38" s="128"/>
      <c r="O38" s="128"/>
      <c r="P38" s="128"/>
      <c r="Q38" s="128"/>
      <c r="R38" s="128"/>
      <c r="S38" s="128"/>
      <c r="T38" s="128"/>
      <c r="U38" s="128"/>
      <c r="V38" s="128"/>
    </row>
    <row r="39" spans="1:22" ht="12.75" customHeight="1" x14ac:dyDescent="0.25">
      <c r="A39" s="139" t="s">
        <v>569</v>
      </c>
      <c r="B39" s="73"/>
      <c r="C39" s="140">
        <f t="shared" ref="C39:M39" si="6">C23-C37</f>
        <v>127555941</v>
      </c>
      <c r="D39" s="141">
        <f t="shared" si="6"/>
        <v>258055941</v>
      </c>
      <c r="E39" s="141">
        <f t="shared" si="6"/>
        <v>0</v>
      </c>
      <c r="F39" s="141">
        <f t="shared" si="6"/>
        <v>0</v>
      </c>
      <c r="G39" s="141">
        <f t="shared" si="6"/>
        <v>0</v>
      </c>
      <c r="H39" s="141">
        <f t="shared" si="6"/>
        <v>0</v>
      </c>
      <c r="I39" s="141">
        <f t="shared" si="6"/>
        <v>-217384020</v>
      </c>
      <c r="J39" s="141">
        <f t="shared" si="6"/>
        <v>-217384020</v>
      </c>
      <c r="K39" s="141">
        <f t="shared" si="6"/>
        <v>40671921</v>
      </c>
      <c r="L39" s="141">
        <f t="shared" si="6"/>
        <v>180096207.23523617</v>
      </c>
      <c r="M39" s="142">
        <f t="shared" si="6"/>
        <v>261881267.87607336</v>
      </c>
      <c r="N39" s="128"/>
      <c r="O39" s="128"/>
      <c r="P39" s="128"/>
      <c r="Q39" s="128"/>
      <c r="R39" s="128"/>
      <c r="S39" s="128"/>
      <c r="T39" s="128"/>
      <c r="U39" s="128"/>
      <c r="V39" s="128"/>
    </row>
    <row r="40" spans="1:22" ht="23.45" customHeight="1" x14ac:dyDescent="0.25">
      <c r="A40" s="1223" t="s">
        <v>1475</v>
      </c>
      <c r="B40" s="73"/>
      <c r="C40" s="130">
        <v>874054850</v>
      </c>
      <c r="D40" s="109">
        <v>773197850</v>
      </c>
      <c r="E40" s="109">
        <v>0</v>
      </c>
      <c r="F40" s="109">
        <v>0</v>
      </c>
      <c r="G40" s="109">
        <v>0</v>
      </c>
      <c r="H40" s="109">
        <v>62291861</v>
      </c>
      <c r="I40" s="109">
        <v>-8282369</v>
      </c>
      <c r="J40" s="75">
        <f>SUM(E40:I40)</f>
        <v>54009492</v>
      </c>
      <c r="K40" s="75">
        <f>IF(D40=0,C40+J40,D40+J40)</f>
        <v>827207342</v>
      </c>
      <c r="L40" s="109">
        <v>623401750</v>
      </c>
      <c r="M40" s="110">
        <v>526841450</v>
      </c>
      <c r="N40" s="128"/>
      <c r="O40" s="128"/>
      <c r="P40" s="128"/>
      <c r="Q40" s="128"/>
      <c r="R40" s="128"/>
      <c r="S40" s="128"/>
      <c r="T40" s="128"/>
      <c r="U40" s="128"/>
      <c r="V40" s="128"/>
    </row>
    <row r="41" spans="1:22" ht="43.15" customHeight="1" x14ac:dyDescent="0.25">
      <c r="A41" s="1223" t="s">
        <v>1476</v>
      </c>
      <c r="B41" s="73"/>
      <c r="C41" s="130">
        <v>1500000</v>
      </c>
      <c r="D41" s="109">
        <v>1500000</v>
      </c>
      <c r="E41" s="109">
        <v>0</v>
      </c>
      <c r="F41" s="109">
        <v>0</v>
      </c>
      <c r="G41" s="109">
        <v>0</v>
      </c>
      <c r="H41" s="109">
        <v>0</v>
      </c>
      <c r="I41" s="109">
        <v>0</v>
      </c>
      <c r="J41" s="75">
        <f>SUM(E41:I41)</f>
        <v>0</v>
      </c>
      <c r="K41" s="75">
        <f>IF(D41=0,C41+J41,D41+J41)</f>
        <v>1500000</v>
      </c>
      <c r="L41" s="109">
        <v>4750000</v>
      </c>
      <c r="M41" s="110">
        <v>4750000</v>
      </c>
      <c r="N41" s="128"/>
      <c r="O41" s="128"/>
      <c r="P41" s="128"/>
      <c r="Q41" s="128"/>
      <c r="R41" s="128"/>
      <c r="S41" s="128"/>
      <c r="T41" s="128"/>
      <c r="U41" s="128"/>
      <c r="V41" s="128"/>
    </row>
    <row r="42" spans="1:22" ht="12.75" customHeight="1" x14ac:dyDescent="0.25">
      <c r="A42" s="588" t="s">
        <v>1477</v>
      </c>
      <c r="B42" s="73"/>
      <c r="C42" s="143">
        <v>0</v>
      </c>
      <c r="D42" s="144">
        <v>0</v>
      </c>
      <c r="E42" s="144">
        <v>0</v>
      </c>
      <c r="F42" s="144">
        <v>0</v>
      </c>
      <c r="G42" s="144">
        <v>0</v>
      </c>
      <c r="H42" s="144">
        <v>0</v>
      </c>
      <c r="I42" s="144">
        <v>0</v>
      </c>
      <c r="J42" s="145">
        <f>SUM(E42:I42)</f>
        <v>0</v>
      </c>
      <c r="K42" s="145">
        <f>IF(D42=0,C42+J42,D42+J42)</f>
        <v>0</v>
      </c>
      <c r="L42" s="144">
        <v>0</v>
      </c>
      <c r="M42" s="113">
        <v>0</v>
      </c>
      <c r="N42" s="128"/>
      <c r="O42" s="128"/>
      <c r="P42" s="128"/>
      <c r="Q42" s="128"/>
      <c r="R42" s="128"/>
      <c r="S42" s="128"/>
      <c r="T42" s="128"/>
      <c r="U42" s="128"/>
      <c r="V42" s="128"/>
    </row>
    <row r="43" spans="1:22" x14ac:dyDescent="0.25">
      <c r="A43" s="135" t="s">
        <v>656</v>
      </c>
      <c r="B43" s="73"/>
      <c r="C43" s="146">
        <f t="shared" ref="C43:M43" si="7">SUM(C39:C42)</f>
        <v>1003110791</v>
      </c>
      <c r="D43" s="147">
        <f t="shared" si="7"/>
        <v>1032753791</v>
      </c>
      <c r="E43" s="147">
        <f t="shared" si="7"/>
        <v>0</v>
      </c>
      <c r="F43" s="147">
        <f t="shared" si="7"/>
        <v>0</v>
      </c>
      <c r="G43" s="147">
        <f t="shared" si="7"/>
        <v>0</v>
      </c>
      <c r="H43" s="147">
        <f t="shared" si="7"/>
        <v>62291861</v>
      </c>
      <c r="I43" s="147">
        <f t="shared" si="7"/>
        <v>-225666389</v>
      </c>
      <c r="J43" s="147">
        <f t="shared" si="7"/>
        <v>-163374528</v>
      </c>
      <c r="K43" s="147">
        <f t="shared" si="7"/>
        <v>869379263</v>
      </c>
      <c r="L43" s="147">
        <f t="shared" si="7"/>
        <v>808247957.23523617</v>
      </c>
      <c r="M43" s="148">
        <f t="shared" si="7"/>
        <v>793472717.87607336</v>
      </c>
      <c r="N43" s="128"/>
      <c r="O43" s="128"/>
      <c r="P43" s="128"/>
      <c r="Q43" s="128"/>
      <c r="R43" s="128"/>
      <c r="S43" s="128"/>
      <c r="T43" s="128"/>
      <c r="U43" s="128"/>
      <c r="V43" s="128"/>
    </row>
    <row r="44" spans="1:22" ht="12.75" customHeight="1" x14ac:dyDescent="0.25">
      <c r="A44" s="129" t="s">
        <v>657</v>
      </c>
      <c r="B44" s="73"/>
      <c r="C44" s="130"/>
      <c r="D44" s="109"/>
      <c r="E44" s="109"/>
      <c r="F44" s="109"/>
      <c r="G44" s="109"/>
      <c r="H44" s="109"/>
      <c r="I44" s="109"/>
      <c r="J44" s="75">
        <f>SUM(E44:I44)</f>
        <v>0</v>
      </c>
      <c r="K44" s="75">
        <f>IF(D44=0,C44+J44,D44+J44)</f>
        <v>0</v>
      </c>
      <c r="L44" s="109"/>
      <c r="M44" s="110"/>
      <c r="N44" s="128"/>
      <c r="O44" s="128"/>
      <c r="P44" s="128"/>
      <c r="Q44" s="128"/>
      <c r="R44" s="128"/>
      <c r="S44" s="128"/>
      <c r="T44" s="128"/>
      <c r="U44" s="128"/>
      <c r="V44" s="128"/>
    </row>
    <row r="45" spans="1:22" ht="12.75" customHeight="1" x14ac:dyDescent="0.25">
      <c r="A45" s="139" t="s">
        <v>658</v>
      </c>
      <c r="B45" s="149"/>
      <c r="C45" s="150">
        <f t="shared" ref="C45:M45" si="8">C43-C44</f>
        <v>1003110791</v>
      </c>
      <c r="D45" s="151">
        <f t="shared" si="8"/>
        <v>1032753791</v>
      </c>
      <c r="E45" s="151">
        <f t="shared" si="8"/>
        <v>0</v>
      </c>
      <c r="F45" s="151">
        <f t="shared" si="8"/>
        <v>0</v>
      </c>
      <c r="G45" s="151">
        <f t="shared" si="8"/>
        <v>0</v>
      </c>
      <c r="H45" s="151">
        <f t="shared" si="8"/>
        <v>62291861</v>
      </c>
      <c r="I45" s="151">
        <f t="shared" si="8"/>
        <v>-225666389</v>
      </c>
      <c r="J45" s="151">
        <f t="shared" si="8"/>
        <v>-163374528</v>
      </c>
      <c r="K45" s="151">
        <f t="shared" si="8"/>
        <v>869379263</v>
      </c>
      <c r="L45" s="151">
        <f t="shared" si="8"/>
        <v>808247957.23523617</v>
      </c>
      <c r="M45" s="152">
        <f t="shared" si="8"/>
        <v>793472717.87607336</v>
      </c>
      <c r="N45" s="128"/>
      <c r="O45" s="128"/>
      <c r="P45" s="128"/>
      <c r="Q45" s="128"/>
      <c r="R45" s="128"/>
      <c r="S45" s="128"/>
      <c r="T45" s="128"/>
      <c r="U45" s="128"/>
      <c r="V45" s="128"/>
    </row>
    <row r="46" spans="1:22" ht="12.75" customHeight="1" x14ac:dyDescent="0.25">
      <c r="A46" s="129" t="s">
        <v>659</v>
      </c>
      <c r="B46" s="73"/>
      <c r="C46" s="143"/>
      <c r="D46" s="144"/>
      <c r="E46" s="144"/>
      <c r="F46" s="144"/>
      <c r="G46" s="144"/>
      <c r="H46" s="144"/>
      <c r="I46" s="144"/>
      <c r="J46" s="145">
        <f>SUM(E46:I46)</f>
        <v>0</v>
      </c>
      <c r="K46" s="145">
        <f>IF(D46=0,C46+J46,D46+J46)</f>
        <v>0</v>
      </c>
      <c r="L46" s="144"/>
      <c r="M46" s="113"/>
      <c r="N46" s="128"/>
      <c r="O46" s="128"/>
      <c r="P46" s="128"/>
      <c r="Q46" s="128"/>
      <c r="R46" s="128"/>
      <c r="S46" s="128"/>
      <c r="T46" s="128"/>
      <c r="U46" s="128"/>
      <c r="V46" s="128"/>
    </row>
    <row r="47" spans="1:22" x14ac:dyDescent="0.25">
      <c r="A47" s="135" t="s">
        <v>1037</v>
      </c>
      <c r="B47" s="73"/>
      <c r="C47" s="146">
        <f t="shared" ref="C47:M47" si="9">SUM(C45:C46)</f>
        <v>1003110791</v>
      </c>
      <c r="D47" s="147">
        <f t="shared" si="9"/>
        <v>1032753791</v>
      </c>
      <c r="E47" s="147">
        <f t="shared" si="9"/>
        <v>0</v>
      </c>
      <c r="F47" s="147">
        <f t="shared" si="9"/>
        <v>0</v>
      </c>
      <c r="G47" s="147">
        <f t="shared" si="9"/>
        <v>0</v>
      </c>
      <c r="H47" s="147">
        <f t="shared" si="9"/>
        <v>62291861</v>
      </c>
      <c r="I47" s="147">
        <f t="shared" si="9"/>
        <v>-225666389</v>
      </c>
      <c r="J47" s="147">
        <f t="shared" si="9"/>
        <v>-163374528</v>
      </c>
      <c r="K47" s="147">
        <f t="shared" si="9"/>
        <v>869379263</v>
      </c>
      <c r="L47" s="147">
        <f t="shared" si="9"/>
        <v>808247957.23523617</v>
      </c>
      <c r="M47" s="148">
        <f t="shared" si="9"/>
        <v>793472717.87607336</v>
      </c>
      <c r="N47" s="128"/>
      <c r="O47" s="128"/>
      <c r="P47" s="128"/>
      <c r="Q47" s="128"/>
      <c r="R47" s="128"/>
      <c r="S47" s="128"/>
      <c r="T47" s="128"/>
      <c r="U47" s="128"/>
      <c r="V47" s="128"/>
    </row>
    <row r="48" spans="1:22" ht="12.75" customHeight="1" x14ac:dyDescent="0.25">
      <c r="A48" s="153" t="s">
        <v>572</v>
      </c>
      <c r="B48" s="154"/>
      <c r="C48" s="130"/>
      <c r="D48" s="109"/>
      <c r="E48" s="109"/>
      <c r="F48" s="109"/>
      <c r="G48" s="109"/>
      <c r="H48" s="109"/>
      <c r="I48" s="109"/>
      <c r="J48" s="75">
        <f>SUM(E48:I48)</f>
        <v>0</v>
      </c>
      <c r="K48" s="75">
        <f>IF(D48=0,C48+J48,D48+J48)</f>
        <v>0</v>
      </c>
      <c r="L48" s="109"/>
      <c r="M48" s="110"/>
      <c r="N48" s="128"/>
      <c r="O48" s="128"/>
      <c r="P48" s="128"/>
      <c r="Q48" s="128"/>
      <c r="R48" s="128"/>
      <c r="S48" s="128"/>
      <c r="T48" s="128"/>
      <c r="U48" s="128"/>
      <c r="V48" s="128"/>
    </row>
    <row r="49" spans="1:22" ht="12.75" customHeight="1" x14ac:dyDescent="0.25">
      <c r="A49" s="155" t="s">
        <v>573</v>
      </c>
      <c r="B49" s="156"/>
      <c r="C49" s="157">
        <f t="shared" ref="C49:M49" si="10">C47+C48</f>
        <v>1003110791</v>
      </c>
      <c r="D49" s="117">
        <f t="shared" si="10"/>
        <v>1032753791</v>
      </c>
      <c r="E49" s="117">
        <f t="shared" si="10"/>
        <v>0</v>
      </c>
      <c r="F49" s="117">
        <f t="shared" si="10"/>
        <v>0</v>
      </c>
      <c r="G49" s="117">
        <f t="shared" si="10"/>
        <v>0</v>
      </c>
      <c r="H49" s="117">
        <f t="shared" si="10"/>
        <v>62291861</v>
      </c>
      <c r="I49" s="117">
        <f t="shared" si="10"/>
        <v>-225666389</v>
      </c>
      <c r="J49" s="117">
        <f t="shared" si="10"/>
        <v>-163374528</v>
      </c>
      <c r="K49" s="117">
        <f t="shared" si="10"/>
        <v>869379263</v>
      </c>
      <c r="L49" s="117">
        <f t="shared" si="10"/>
        <v>808247957.23523617</v>
      </c>
      <c r="M49" s="118">
        <f t="shared" si="10"/>
        <v>793472717.87607336</v>
      </c>
      <c r="N49" s="128"/>
      <c r="O49" s="128"/>
      <c r="P49" s="128"/>
      <c r="Q49" s="128"/>
      <c r="R49" s="128"/>
      <c r="S49" s="128"/>
      <c r="T49" s="128"/>
      <c r="U49" s="128"/>
      <c r="V49" s="128"/>
    </row>
    <row r="50" spans="1:22" ht="12.75" customHeight="1" x14ac:dyDescent="0.25">
      <c r="A50" s="158" t="str">
        <f>head27a</f>
        <v>References</v>
      </c>
      <c r="B50" s="93"/>
      <c r="C50" s="96"/>
      <c r="D50" s="96"/>
      <c r="E50" s="96"/>
      <c r="F50" s="96"/>
      <c r="G50" s="96"/>
      <c r="H50" s="96"/>
      <c r="I50" s="96"/>
      <c r="J50" s="96"/>
      <c r="K50" s="96"/>
      <c r="L50" s="96"/>
      <c r="M50" s="96"/>
      <c r="N50" s="128"/>
      <c r="O50" s="128"/>
      <c r="P50" s="128"/>
      <c r="Q50" s="128"/>
      <c r="R50" s="128"/>
      <c r="S50" s="128"/>
      <c r="T50" s="128"/>
      <c r="U50" s="128"/>
      <c r="V50" s="128"/>
    </row>
    <row r="51" spans="1:22" ht="12.75" customHeight="1" x14ac:dyDescent="0.25">
      <c r="A51" s="99" t="s">
        <v>660</v>
      </c>
      <c r="B51" s="93"/>
      <c r="C51" s="96"/>
      <c r="D51" s="96"/>
      <c r="E51" s="96"/>
      <c r="F51" s="96"/>
      <c r="G51" s="96"/>
      <c r="H51" s="96"/>
      <c r="I51" s="96"/>
      <c r="J51" s="96"/>
      <c r="K51" s="96"/>
      <c r="L51" s="96"/>
      <c r="M51" s="96"/>
      <c r="N51" s="128"/>
      <c r="O51" s="128"/>
      <c r="P51" s="128"/>
      <c r="Q51" s="128"/>
      <c r="R51" s="128"/>
      <c r="S51" s="128"/>
      <c r="T51" s="128"/>
      <c r="U51" s="128"/>
      <c r="V51" s="128"/>
    </row>
    <row r="52" spans="1:22" ht="12.75" customHeight="1" x14ac:dyDescent="0.25">
      <c r="A52" s="159" t="s">
        <v>1038</v>
      </c>
      <c r="B52" s="160"/>
      <c r="C52" s="94"/>
      <c r="D52" s="96"/>
      <c r="E52" s="96"/>
      <c r="F52" s="96"/>
      <c r="G52" s="96"/>
      <c r="H52" s="96"/>
      <c r="I52" s="96"/>
      <c r="J52" s="96"/>
      <c r="K52" s="96"/>
      <c r="L52" s="96"/>
      <c r="M52" s="96"/>
      <c r="N52" s="128"/>
      <c r="O52" s="128"/>
      <c r="P52" s="128"/>
      <c r="Q52" s="128"/>
      <c r="R52" s="128"/>
      <c r="S52" s="128"/>
      <c r="T52" s="128"/>
      <c r="U52" s="128"/>
      <c r="V52" s="128"/>
    </row>
    <row r="53" spans="1:22" ht="12.75" customHeight="1" x14ac:dyDescent="0.25">
      <c r="A53" s="1408" t="s">
        <v>986</v>
      </c>
      <c r="B53" s="1408"/>
      <c r="C53" s="1408"/>
      <c r="D53" s="1408"/>
      <c r="E53" s="1408"/>
      <c r="F53" s="1408"/>
      <c r="G53" s="1408"/>
      <c r="H53" s="1408"/>
      <c r="I53" s="1408"/>
      <c r="J53" s="1408"/>
      <c r="K53" s="1408"/>
      <c r="L53" s="1408"/>
      <c r="M53" s="1408"/>
      <c r="N53" s="128"/>
      <c r="O53" s="128"/>
      <c r="P53" s="128"/>
      <c r="Q53" s="128"/>
      <c r="R53" s="128"/>
      <c r="S53" s="128"/>
      <c r="T53" s="128"/>
      <c r="U53" s="128"/>
      <c r="V53" s="128"/>
    </row>
    <row r="54" spans="1:22" ht="27.75" customHeight="1" x14ac:dyDescent="0.25">
      <c r="A54" s="1408" t="s">
        <v>1030</v>
      </c>
      <c r="B54" s="1408"/>
      <c r="C54" s="1408"/>
      <c r="D54" s="1408"/>
      <c r="E54" s="1408"/>
      <c r="F54" s="1408"/>
      <c r="G54" s="1408"/>
      <c r="H54" s="1408"/>
      <c r="I54" s="1408"/>
      <c r="J54" s="1408"/>
      <c r="K54" s="1408"/>
      <c r="L54" s="1408"/>
      <c r="M54" s="1408"/>
      <c r="N54" s="128"/>
      <c r="O54" s="128"/>
      <c r="P54" s="128"/>
      <c r="Q54" s="128"/>
      <c r="R54" s="128"/>
      <c r="S54" s="128"/>
      <c r="T54" s="128"/>
      <c r="U54" s="128"/>
      <c r="V54" s="128"/>
    </row>
    <row r="55" spans="1:22" ht="12.75" customHeight="1" x14ac:dyDescent="0.25">
      <c r="A55" s="1402" t="s">
        <v>1031</v>
      </c>
      <c r="B55" s="1408"/>
      <c r="C55" s="1402"/>
      <c r="D55" s="1402"/>
      <c r="E55" s="1402"/>
      <c r="F55" s="1402"/>
      <c r="G55" s="1402"/>
      <c r="H55" s="1402"/>
      <c r="I55" s="1402"/>
      <c r="J55" s="1402"/>
      <c r="K55" s="1402"/>
      <c r="L55" s="1402"/>
      <c r="M55" s="1402"/>
      <c r="N55" s="128"/>
      <c r="O55" s="128"/>
      <c r="P55" s="128"/>
      <c r="Q55" s="128"/>
      <c r="R55" s="128"/>
      <c r="S55" s="128"/>
      <c r="T55" s="128"/>
      <c r="U55" s="128"/>
      <c r="V55" s="128"/>
    </row>
    <row r="56" spans="1:22" ht="12.75" customHeight="1" x14ac:dyDescent="0.25">
      <c r="A56" s="1402" t="s">
        <v>1032</v>
      </c>
      <c r="B56" s="1402"/>
      <c r="C56" s="1402"/>
      <c r="D56" s="1402"/>
      <c r="E56" s="1402"/>
      <c r="F56" s="1402"/>
      <c r="G56" s="1402"/>
      <c r="H56" s="1402"/>
      <c r="I56" s="1402"/>
      <c r="J56" s="1402"/>
      <c r="K56" s="1402"/>
      <c r="L56" s="1402"/>
      <c r="M56" s="1402"/>
      <c r="N56" s="128"/>
      <c r="O56" s="128"/>
      <c r="P56" s="128"/>
      <c r="Q56" s="128"/>
      <c r="R56" s="128"/>
      <c r="S56" s="128"/>
      <c r="T56" s="128"/>
      <c r="U56" s="128"/>
      <c r="V56" s="128"/>
    </row>
    <row r="57" spans="1:22" ht="12.75" customHeight="1" x14ac:dyDescent="0.25">
      <c r="A57" s="99" t="s">
        <v>1033</v>
      </c>
      <c r="B57" s="93"/>
      <c r="C57" s="96"/>
      <c r="D57" s="96"/>
      <c r="E57" s="96"/>
      <c r="F57" s="96"/>
      <c r="G57" s="96"/>
      <c r="H57" s="96"/>
      <c r="I57" s="96"/>
      <c r="J57" s="96"/>
      <c r="K57" s="96"/>
      <c r="L57" s="96"/>
      <c r="M57" s="96"/>
      <c r="N57" s="128"/>
      <c r="O57" s="128"/>
      <c r="P57" s="128"/>
      <c r="Q57" s="128"/>
      <c r="R57" s="128"/>
      <c r="S57" s="128"/>
      <c r="T57" s="128"/>
      <c r="U57" s="128"/>
      <c r="V57" s="128"/>
    </row>
    <row r="58" spans="1:22" ht="27" customHeight="1" x14ac:dyDescent="0.25">
      <c r="A58" s="1402" t="s">
        <v>1034</v>
      </c>
      <c r="B58" s="1402"/>
      <c r="C58" s="1402"/>
      <c r="D58" s="1402"/>
      <c r="E58" s="1402"/>
      <c r="F58" s="1402"/>
      <c r="G58" s="1402"/>
      <c r="H58" s="1402"/>
      <c r="I58" s="1402"/>
      <c r="J58" s="1402"/>
      <c r="K58" s="1402"/>
      <c r="L58" s="1402"/>
      <c r="M58" s="1402"/>
      <c r="N58" s="128"/>
      <c r="O58" s="128"/>
      <c r="P58" s="128"/>
      <c r="Q58" s="128"/>
      <c r="R58" s="128"/>
      <c r="S58" s="128"/>
      <c r="T58" s="128"/>
      <c r="U58" s="128"/>
      <c r="V58" s="128"/>
    </row>
    <row r="59" spans="1:22" ht="12.75" customHeight="1" x14ac:dyDescent="0.25">
      <c r="A59" s="99" t="s">
        <v>608</v>
      </c>
      <c r="B59" s="93"/>
      <c r="C59" s="96"/>
      <c r="D59" s="96"/>
      <c r="E59" s="96"/>
      <c r="F59" s="96"/>
      <c r="G59" s="96"/>
      <c r="H59" s="96"/>
      <c r="I59" s="96"/>
      <c r="J59" s="96"/>
      <c r="K59" s="96"/>
      <c r="L59" s="96"/>
      <c r="M59" s="96"/>
      <c r="N59" s="128"/>
      <c r="O59" s="128"/>
      <c r="P59" s="128"/>
      <c r="Q59" s="128"/>
      <c r="R59" s="128"/>
      <c r="S59" s="128"/>
      <c r="T59" s="128"/>
      <c r="U59" s="128"/>
      <c r="V59" s="128"/>
    </row>
    <row r="60" spans="1:22" ht="12.75" customHeight="1" x14ac:dyDescent="0.25">
      <c r="A60" s="1402" t="s">
        <v>609</v>
      </c>
      <c r="B60" s="1417"/>
      <c r="C60" s="1417"/>
      <c r="D60" s="1417"/>
      <c r="E60" s="1417"/>
      <c r="F60" s="1417"/>
      <c r="G60" s="1417"/>
      <c r="H60" s="1417"/>
      <c r="I60" s="1417"/>
      <c r="J60" s="1417"/>
      <c r="K60" s="1417"/>
      <c r="L60" s="1417"/>
      <c r="M60" s="1402"/>
      <c r="N60" s="128"/>
      <c r="O60" s="128"/>
      <c r="P60" s="128"/>
      <c r="Q60" s="128"/>
      <c r="R60" s="128"/>
      <c r="S60" s="128"/>
      <c r="T60" s="128"/>
      <c r="U60" s="128"/>
      <c r="V60" s="128"/>
    </row>
    <row r="61" spans="1:22" ht="11.25" customHeight="1" x14ac:dyDescent="0.25">
      <c r="A61" s="1418"/>
      <c r="B61" s="1418"/>
      <c r="C61" s="1418"/>
      <c r="D61" s="1418"/>
      <c r="E61" s="1418"/>
      <c r="F61" s="1418"/>
      <c r="G61" s="1418"/>
      <c r="H61" s="1418"/>
      <c r="I61" s="1418"/>
      <c r="J61" s="1418"/>
      <c r="K61" s="1418"/>
      <c r="L61" s="1418"/>
      <c r="M61" s="1418"/>
      <c r="N61" s="128"/>
      <c r="O61" s="128"/>
      <c r="P61" s="128"/>
      <c r="Q61" s="128"/>
      <c r="R61" s="128"/>
      <c r="S61" s="128"/>
      <c r="T61" s="128"/>
      <c r="U61" s="128"/>
      <c r="V61" s="128"/>
    </row>
    <row r="62" spans="1:22" ht="11.25" customHeight="1" x14ac:dyDescent="0.25">
      <c r="A62" s="122" t="s">
        <v>661</v>
      </c>
      <c r="B62" s="93"/>
      <c r="C62" s="102">
        <f t="shared" ref="C62:M62" si="11">C23+C40+C41+C42</f>
        <v>4682577927</v>
      </c>
      <c r="D62" s="102">
        <f t="shared" si="11"/>
        <v>4736720927</v>
      </c>
      <c r="E62" s="102">
        <f t="shared" si="11"/>
        <v>0</v>
      </c>
      <c r="F62" s="102">
        <f t="shared" si="11"/>
        <v>0</v>
      </c>
      <c r="G62" s="102">
        <f t="shared" si="11"/>
        <v>0</v>
      </c>
      <c r="H62" s="102">
        <f t="shared" si="11"/>
        <v>100212531</v>
      </c>
      <c r="I62" s="102">
        <f t="shared" si="11"/>
        <v>-53785998</v>
      </c>
      <c r="J62" s="102">
        <f t="shared" si="11"/>
        <v>46426533</v>
      </c>
      <c r="K62" s="102">
        <f t="shared" si="11"/>
        <v>4783147460</v>
      </c>
      <c r="L62" s="102">
        <f t="shared" si="11"/>
        <v>4739754755.0251503</v>
      </c>
      <c r="M62" s="102">
        <f t="shared" si="11"/>
        <v>4974339930.705678</v>
      </c>
      <c r="N62" s="128"/>
      <c r="O62" s="128"/>
      <c r="P62" s="128"/>
      <c r="Q62" s="128"/>
      <c r="R62" s="128"/>
      <c r="S62" s="128"/>
      <c r="T62" s="128"/>
      <c r="U62" s="128"/>
      <c r="V62" s="128"/>
    </row>
    <row r="63" spans="1:22" ht="11.25" customHeight="1" x14ac:dyDescent="0.25">
      <c r="A63" s="101"/>
      <c r="B63" s="93"/>
      <c r="C63" s="84"/>
      <c r="D63" s="84"/>
      <c r="E63" s="84"/>
      <c r="F63" s="84"/>
      <c r="G63" s="84"/>
      <c r="H63" s="84"/>
      <c r="I63" s="84"/>
      <c r="J63" s="84"/>
      <c r="K63" s="84"/>
      <c r="L63" s="84"/>
      <c r="M63" s="84"/>
      <c r="N63" s="128"/>
      <c r="O63" s="128"/>
      <c r="P63" s="128"/>
      <c r="Q63" s="128"/>
      <c r="R63" s="128"/>
      <c r="S63" s="128"/>
      <c r="T63" s="128"/>
      <c r="U63" s="128"/>
      <c r="V63" s="128"/>
    </row>
    <row r="64" spans="1:22" ht="11.25" customHeight="1" x14ac:dyDescent="0.25">
      <c r="A64" s="101"/>
      <c r="B64" s="93"/>
      <c r="C64" s="102"/>
      <c r="D64" s="102"/>
      <c r="E64" s="102"/>
      <c r="F64" s="102"/>
      <c r="G64" s="102"/>
      <c r="H64" s="102"/>
      <c r="I64" s="102"/>
      <c r="J64" s="102"/>
      <c r="K64" s="102"/>
      <c r="L64" s="102"/>
      <c r="M64" s="102"/>
      <c r="N64" s="128"/>
      <c r="O64" s="128"/>
      <c r="P64" s="128"/>
      <c r="Q64" s="128"/>
      <c r="R64" s="128"/>
      <c r="S64" s="128"/>
      <c r="T64" s="128"/>
      <c r="U64" s="128"/>
      <c r="V64" s="128"/>
    </row>
    <row r="65" spans="1:22" ht="11.25" customHeight="1" x14ac:dyDescent="0.25">
      <c r="A65" s="101"/>
      <c r="B65" s="93"/>
      <c r="C65" s="102"/>
      <c r="D65" s="102"/>
      <c r="E65" s="102"/>
      <c r="F65" s="102"/>
      <c r="G65" s="102"/>
      <c r="H65" s="102"/>
      <c r="I65" s="102"/>
      <c r="J65" s="102"/>
      <c r="K65" s="102"/>
      <c r="L65" s="102"/>
      <c r="M65" s="102"/>
      <c r="N65" s="128"/>
      <c r="O65" s="128"/>
      <c r="P65" s="128"/>
      <c r="Q65" s="128"/>
      <c r="R65" s="128"/>
      <c r="S65" s="128"/>
      <c r="T65" s="128"/>
      <c r="U65" s="128"/>
      <c r="V65" s="128"/>
    </row>
    <row r="66" spans="1:22" ht="11.25" customHeight="1" x14ac:dyDescent="0.25">
      <c r="A66" s="101"/>
      <c r="B66" s="93"/>
      <c r="C66" s="102"/>
      <c r="D66" s="102"/>
      <c r="E66" s="102"/>
      <c r="F66" s="102"/>
      <c r="G66" s="102"/>
      <c r="H66" s="102"/>
      <c r="I66" s="102"/>
      <c r="J66" s="102"/>
      <c r="K66" s="102"/>
      <c r="L66" s="102"/>
      <c r="M66" s="102"/>
      <c r="N66" s="128"/>
      <c r="O66" s="128"/>
      <c r="P66" s="128"/>
      <c r="Q66" s="128"/>
      <c r="R66" s="128"/>
      <c r="S66" s="128"/>
      <c r="T66" s="128"/>
      <c r="U66" s="128"/>
      <c r="V66" s="128"/>
    </row>
    <row r="67" spans="1:22" ht="11.25" customHeight="1" x14ac:dyDescent="0.25">
      <c r="B67" s="5"/>
      <c r="N67" s="128"/>
      <c r="O67" s="128"/>
      <c r="P67" s="128"/>
      <c r="Q67" s="128"/>
      <c r="R67" s="128"/>
      <c r="S67" s="128"/>
      <c r="T67" s="128"/>
      <c r="U67" s="128"/>
      <c r="V67" s="128"/>
    </row>
    <row r="68" spans="1:22" ht="11.25" customHeight="1" x14ac:dyDescent="0.25">
      <c r="B68" s="5"/>
      <c r="N68" s="128"/>
      <c r="O68" s="128"/>
      <c r="P68" s="128"/>
      <c r="Q68" s="128"/>
      <c r="R68" s="128"/>
      <c r="S68" s="128"/>
      <c r="T68" s="128"/>
      <c r="U68" s="128"/>
      <c r="V68" s="128"/>
    </row>
    <row r="69" spans="1:22" ht="11.25" customHeight="1" x14ac:dyDescent="0.25">
      <c r="B69" s="5"/>
      <c r="N69" s="128"/>
      <c r="O69" s="128"/>
      <c r="P69" s="128"/>
      <c r="Q69" s="128"/>
      <c r="R69" s="128"/>
      <c r="S69" s="128"/>
      <c r="T69" s="128"/>
      <c r="U69" s="128"/>
      <c r="V69" s="128"/>
    </row>
    <row r="70" spans="1:22" ht="11.25" customHeight="1" x14ac:dyDescent="0.25">
      <c r="B70" s="5"/>
      <c r="N70" s="128"/>
      <c r="O70" s="128"/>
      <c r="P70" s="128"/>
      <c r="Q70" s="128"/>
      <c r="R70" s="128"/>
      <c r="S70" s="128"/>
      <c r="T70" s="128"/>
      <c r="U70" s="128"/>
      <c r="V70" s="128"/>
    </row>
    <row r="71" spans="1:22" ht="11.25" customHeight="1" x14ac:dyDescent="0.25">
      <c r="B71" s="5"/>
      <c r="N71" s="128"/>
      <c r="O71" s="128"/>
      <c r="P71" s="128"/>
      <c r="Q71" s="128"/>
      <c r="R71" s="128"/>
      <c r="S71" s="128"/>
      <c r="T71" s="128"/>
      <c r="U71" s="128"/>
      <c r="V71" s="128"/>
    </row>
    <row r="72" spans="1:22" ht="11.25" customHeight="1" x14ac:dyDescent="0.25">
      <c r="B72" s="5"/>
    </row>
    <row r="73" spans="1:22" ht="11.25" customHeight="1" x14ac:dyDescent="0.25">
      <c r="B73" s="5"/>
    </row>
    <row r="74" spans="1:22" ht="11.25" customHeight="1" x14ac:dyDescent="0.25">
      <c r="B74" s="5"/>
    </row>
    <row r="75" spans="1:22" ht="11.25" customHeight="1" x14ac:dyDescent="0.25">
      <c r="B75" s="5"/>
    </row>
    <row r="76" spans="1:22" ht="11.25" customHeight="1" x14ac:dyDescent="0.25">
      <c r="B76" s="5"/>
    </row>
    <row r="77" spans="1:22" ht="11.25" customHeight="1" x14ac:dyDescent="0.25">
      <c r="B77" s="5"/>
    </row>
    <row r="78" spans="1:22" ht="11.25" customHeight="1" x14ac:dyDescent="0.25">
      <c r="B78" s="5"/>
    </row>
    <row r="79" spans="1:22" ht="11.25" customHeight="1" x14ac:dyDescent="0.25">
      <c r="B79" s="5"/>
    </row>
    <row r="80" spans="1:22" ht="11.25" customHeight="1" x14ac:dyDescent="0.25">
      <c r="B80" s="5"/>
    </row>
    <row r="81" spans="2:2" ht="11.25" customHeight="1" x14ac:dyDescent="0.25">
      <c r="B81" s="5"/>
    </row>
    <row r="82" spans="2:2" ht="11.25" customHeight="1" x14ac:dyDescent="0.25"/>
    <row r="83" spans="2:2" ht="11.25" customHeight="1" x14ac:dyDescent="0.25"/>
    <row r="84" spans="2:2" ht="11.25" customHeight="1" x14ac:dyDescent="0.25"/>
    <row r="85" spans="2:2" ht="11.25" customHeight="1" x14ac:dyDescent="0.25"/>
    <row r="86" spans="2:2" ht="11.25" customHeight="1" x14ac:dyDescent="0.25"/>
    <row r="87" spans="2:2" ht="11.25" customHeight="1" x14ac:dyDescent="0.25"/>
    <row r="88" spans="2:2" ht="11.25" customHeight="1" x14ac:dyDescent="0.25"/>
    <row r="89" spans="2:2" ht="11.25" customHeight="1" x14ac:dyDescent="0.25"/>
    <row r="90" spans="2:2" ht="11.25" customHeight="1" x14ac:dyDescent="0.25"/>
    <row r="91" spans="2:2" ht="11.25" customHeight="1" x14ac:dyDescent="0.25"/>
    <row r="92" spans="2:2" ht="11.25" customHeight="1" x14ac:dyDescent="0.25"/>
    <row r="93" spans="2:2" ht="11.25" customHeight="1" x14ac:dyDescent="0.25"/>
    <row r="94" spans="2:2" ht="11.25" customHeight="1" x14ac:dyDescent="0.25"/>
    <row r="95" spans="2:2" ht="11.25" customHeight="1" x14ac:dyDescent="0.25"/>
    <row r="96" spans="2:2" ht="11.25" customHeight="1" x14ac:dyDescent="0.25"/>
    <row r="97" ht="11.25" customHeight="1" x14ac:dyDescent="0.25"/>
    <row r="98" ht="11.25" customHeight="1" x14ac:dyDescent="0.25"/>
    <row r="99" ht="11.25" customHeight="1" x14ac:dyDescent="0.25"/>
    <row r="100" ht="11.25" customHeight="1" x14ac:dyDescent="0.25"/>
    <row r="101" ht="11.25" customHeight="1" x14ac:dyDescent="0.25"/>
  </sheetData>
  <sheetProtection password="C646" sheet="1" objects="1" scenarios="1"/>
  <mergeCells count="10">
    <mergeCell ref="C2:K2"/>
    <mergeCell ref="B2:B4"/>
    <mergeCell ref="A60:M60"/>
    <mergeCell ref="A61:M61"/>
    <mergeCell ref="A53:M53"/>
    <mergeCell ref="A54:M54"/>
    <mergeCell ref="A55:M55"/>
    <mergeCell ref="A56:M56"/>
    <mergeCell ref="A58:M58"/>
    <mergeCell ref="A2:A4"/>
  </mergeCells>
  <phoneticPr fontId="4" type="noConversion"/>
  <printOptions horizontalCentered="1"/>
  <pageMargins left="0.35433070866141736" right="0.15748031496062992" top="0.78740157480314965" bottom="0.59055118110236227" header="0.51181102362204722" footer="0.39370078740157483"/>
  <pageSetup paperSize="9" scale="76" orientation="portrait" r:id="rId1"/>
  <headerFooter alignWithMargins="0"/>
  <ignoredErrors>
    <ignoredError sqref="J43:K48"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5">
    <tabColor indexed="44"/>
    <pageSetUpPr fitToPage="1"/>
  </sheetPr>
  <dimension ref="A1:N126"/>
  <sheetViews>
    <sheetView showGridLines="0" zoomScaleNormal="100" workbookViewId="0">
      <pane xSplit="2" ySplit="5" topLeftCell="C6" activePane="bottomRight" state="frozen"/>
      <selection activeCell="C6" sqref="C6"/>
      <selection pane="topRight" activeCell="C6" sqref="C6"/>
      <selection pane="bottomLeft" activeCell="C6" sqref="C6"/>
      <selection pane="bottomRight" activeCell="M76" sqref="C26:M76"/>
    </sheetView>
  </sheetViews>
  <sheetFormatPr defaultColWidth="9.140625" defaultRowHeight="12.75" x14ac:dyDescent="0.25"/>
  <cols>
    <col min="1" max="1" width="35.140625" style="5" customWidth="1"/>
    <col min="2" max="2" width="3.140625" style="58" customWidth="1"/>
    <col min="3" max="14" width="8.7109375" style="5" customWidth="1"/>
    <col min="15" max="15" width="9.5703125" style="5" customWidth="1"/>
    <col min="16" max="16" width="9.85546875" style="5" customWidth="1"/>
    <col min="17" max="19" width="9.5703125" style="5" customWidth="1"/>
    <col min="20" max="20" width="9.85546875" style="5" customWidth="1"/>
    <col min="21" max="23" width="9.5703125" style="5" customWidth="1"/>
    <col min="24" max="25" width="9.85546875" style="5" customWidth="1"/>
    <col min="26" max="16384" width="9.140625" style="5"/>
  </cols>
  <sheetData>
    <row r="1" spans="1:14" ht="13.5" x14ac:dyDescent="0.25">
      <c r="A1" s="57" t="str">
        <f>muni&amp;" - "&amp;_ADJ5&amp;" - "&amp;Date</f>
        <v>LIM354 Polokwane - Table B5 Adjustments Capital Expenditure Budget by vote and funding - 2020</v>
      </c>
      <c r="B1" s="5"/>
      <c r="C1" s="58"/>
    </row>
    <row r="2" spans="1:14" ht="38.25" x14ac:dyDescent="0.25">
      <c r="A2" s="1409" t="str">
        <f>desc</f>
        <v>Description</v>
      </c>
      <c r="B2" s="1406" t="str">
        <f>head27</f>
        <v>Ref</v>
      </c>
      <c r="C2" s="1403" t="str">
        <f>Head2</f>
        <v>Budget Year 2020/21</v>
      </c>
      <c r="D2" s="1404"/>
      <c r="E2" s="1404"/>
      <c r="F2" s="1404"/>
      <c r="G2" s="1404"/>
      <c r="H2" s="1404"/>
      <c r="I2" s="1404"/>
      <c r="J2" s="1404"/>
      <c r="K2" s="1404"/>
      <c r="L2" s="103" t="str">
        <f>Head10</f>
        <v>Budget Year +1 2021/22</v>
      </c>
      <c r="M2" s="61" t="str">
        <f>Head11</f>
        <v>Budget Year +2 2022/23</v>
      </c>
    </row>
    <row r="3" spans="1:14" ht="25.5" x14ac:dyDescent="0.25">
      <c r="A3" s="1410"/>
      <c r="B3" s="1407"/>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x14ac:dyDescent="0.25">
      <c r="A4" s="64"/>
      <c r="B4" s="8"/>
      <c r="C4" s="65"/>
      <c r="D4" s="15">
        <v>5</v>
      </c>
      <c r="E4" s="15">
        <v>6</v>
      </c>
      <c r="F4" s="15">
        <v>7</v>
      </c>
      <c r="G4" s="15">
        <v>8</v>
      </c>
      <c r="H4" s="15">
        <v>9</v>
      </c>
      <c r="I4" s="15">
        <v>10</v>
      </c>
      <c r="J4" s="15">
        <v>11</v>
      </c>
      <c r="K4" s="15">
        <v>12</v>
      </c>
      <c r="L4" s="15"/>
      <c r="M4" s="17"/>
    </row>
    <row r="5" spans="1:14" x14ac:dyDescent="0.25">
      <c r="A5" s="66" t="s">
        <v>603</v>
      </c>
      <c r="B5" s="104"/>
      <c r="C5" s="67" t="s">
        <v>547</v>
      </c>
      <c r="D5" s="68" t="s">
        <v>548</v>
      </c>
      <c r="E5" s="68" t="s">
        <v>549</v>
      </c>
      <c r="F5" s="69" t="s">
        <v>550</v>
      </c>
      <c r="G5" s="69" t="s">
        <v>551</v>
      </c>
      <c r="H5" s="69" t="s">
        <v>552</v>
      </c>
      <c r="I5" s="70" t="s">
        <v>553</v>
      </c>
      <c r="J5" s="70" t="s">
        <v>554</v>
      </c>
      <c r="K5" s="70" t="s">
        <v>555</v>
      </c>
      <c r="L5" s="70"/>
      <c r="M5" s="71"/>
    </row>
    <row r="6" spans="1:14" ht="12.75" customHeight="1" x14ac:dyDescent="0.25">
      <c r="A6" s="52" t="s">
        <v>662</v>
      </c>
      <c r="B6" s="73"/>
      <c r="C6" s="74"/>
      <c r="D6" s="75"/>
      <c r="E6" s="75"/>
      <c r="F6" s="75"/>
      <c r="G6" s="75"/>
      <c r="H6" s="75"/>
      <c r="I6" s="75"/>
      <c r="J6" s="75"/>
      <c r="K6" s="75"/>
      <c r="L6" s="75"/>
      <c r="M6" s="76"/>
    </row>
    <row r="7" spans="1:14" ht="12.75" customHeight="1" x14ac:dyDescent="0.25">
      <c r="A7" s="126" t="s">
        <v>1133</v>
      </c>
      <c r="B7" s="73">
        <v>2</v>
      </c>
      <c r="C7" s="74"/>
      <c r="D7" s="171"/>
      <c r="E7" s="171"/>
      <c r="F7" s="171"/>
      <c r="G7" s="171"/>
      <c r="H7" s="171"/>
      <c r="I7" s="171"/>
      <c r="J7" s="171"/>
      <c r="K7" s="171"/>
      <c r="L7" s="171"/>
      <c r="M7" s="235"/>
      <c r="N7" s="128"/>
    </row>
    <row r="8" spans="1:14" ht="12.75" customHeight="1" x14ac:dyDescent="0.25">
      <c r="A8" s="926" t="str">
        <f>B5B!A8</f>
        <v>Vote 1 - CHIEF OPERATION OFFICE</v>
      </c>
      <c r="B8" s="73"/>
      <c r="C8" s="775">
        <f>B5B!C8</f>
        <v>0</v>
      </c>
      <c r="D8" s="171">
        <f>B5B!D8</f>
        <v>0</v>
      </c>
      <c r="E8" s="171">
        <f>B5B!E8</f>
        <v>0</v>
      </c>
      <c r="F8" s="171">
        <f>B5B!F8</f>
        <v>0</v>
      </c>
      <c r="G8" s="171">
        <f>B5B!G8</f>
        <v>0</v>
      </c>
      <c r="H8" s="171">
        <f>B5B!H8</f>
        <v>0</v>
      </c>
      <c r="I8" s="171">
        <f>B5B!I8</f>
        <v>0</v>
      </c>
      <c r="J8" s="171">
        <f>SUM(E8:I8)</f>
        <v>0</v>
      </c>
      <c r="K8" s="171">
        <f t="shared" ref="K8:K22" si="0">IF(D8=0,C8+J8,D8+J8)</f>
        <v>0</v>
      </c>
      <c r="L8" s="171">
        <f>B5B!L8</f>
        <v>0</v>
      </c>
      <c r="M8" s="235">
        <f>B5B!M8</f>
        <v>0</v>
      </c>
      <c r="N8" s="842"/>
    </row>
    <row r="9" spans="1:14" ht="12.75" customHeight="1" x14ac:dyDescent="0.25">
      <c r="A9" s="926" t="str">
        <f>B5B!A19</f>
        <v>Vote 2 - MUNICIPAL MANAGER'S OFFICE</v>
      </c>
      <c r="B9" s="73"/>
      <c r="C9" s="775">
        <f>B5B!C19</f>
        <v>0</v>
      </c>
      <c r="D9" s="171">
        <f>B5B!D19</f>
        <v>0</v>
      </c>
      <c r="E9" s="171">
        <f>B5B!E19</f>
        <v>0</v>
      </c>
      <c r="F9" s="171">
        <f>B5B!F19</f>
        <v>0</v>
      </c>
      <c r="G9" s="171">
        <f>B5B!G19</f>
        <v>0</v>
      </c>
      <c r="H9" s="171">
        <f>B5B!H19</f>
        <v>0</v>
      </c>
      <c r="I9" s="171">
        <f>B5B!I19</f>
        <v>0</v>
      </c>
      <c r="J9" s="171">
        <f t="shared" ref="J9:J22" si="1">SUM(E9:I9)</f>
        <v>0</v>
      </c>
      <c r="K9" s="171">
        <f t="shared" si="0"/>
        <v>0</v>
      </c>
      <c r="L9" s="171">
        <f>B5B!L19</f>
        <v>0</v>
      </c>
      <c r="M9" s="235">
        <f>B5B!M19</f>
        <v>0</v>
      </c>
      <c r="N9" s="842"/>
    </row>
    <row r="10" spans="1:14" ht="12.75" customHeight="1" x14ac:dyDescent="0.25">
      <c r="A10" s="926" t="str">
        <f>B5B!A30</f>
        <v>Vote 3 - WATER AND SANITATION</v>
      </c>
      <c r="B10" s="73"/>
      <c r="C10" s="775">
        <f>B5B!C30</f>
        <v>0</v>
      </c>
      <c r="D10" s="171">
        <f>B5B!D30</f>
        <v>0</v>
      </c>
      <c r="E10" s="171">
        <f>B5B!E30</f>
        <v>0</v>
      </c>
      <c r="F10" s="171">
        <f>B5B!F30</f>
        <v>0</v>
      </c>
      <c r="G10" s="171">
        <f>B5B!G30</f>
        <v>0</v>
      </c>
      <c r="H10" s="171">
        <f>B5B!H30</f>
        <v>0</v>
      </c>
      <c r="I10" s="171">
        <f>B5B!I30</f>
        <v>0</v>
      </c>
      <c r="J10" s="171">
        <f t="shared" si="1"/>
        <v>0</v>
      </c>
      <c r="K10" s="171">
        <f t="shared" si="0"/>
        <v>0</v>
      </c>
      <c r="L10" s="171">
        <f>B5B!L30</f>
        <v>0</v>
      </c>
      <c r="M10" s="235">
        <f>B5B!M30</f>
        <v>0</v>
      </c>
      <c r="N10" s="840"/>
    </row>
    <row r="11" spans="1:14" ht="12.75" customHeight="1" x14ac:dyDescent="0.25">
      <c r="A11" s="926" t="str">
        <f>B5B!A41</f>
        <v>Vote 4 - ENERGY</v>
      </c>
      <c r="B11" s="73"/>
      <c r="C11" s="775">
        <f>B5B!C41</f>
        <v>0</v>
      </c>
      <c r="D11" s="171">
        <f>B5B!D41</f>
        <v>0</v>
      </c>
      <c r="E11" s="171">
        <f>B5B!E41</f>
        <v>0</v>
      </c>
      <c r="F11" s="171">
        <f>B5B!F41</f>
        <v>0</v>
      </c>
      <c r="G11" s="171">
        <f>B5B!G41</f>
        <v>0</v>
      </c>
      <c r="H11" s="171">
        <f>B5B!H41</f>
        <v>0</v>
      </c>
      <c r="I11" s="171">
        <f>B5B!I41</f>
        <v>0</v>
      </c>
      <c r="J11" s="171">
        <f t="shared" si="1"/>
        <v>0</v>
      </c>
      <c r="K11" s="171">
        <f t="shared" si="0"/>
        <v>0</v>
      </c>
      <c r="L11" s="171">
        <f>B5B!L41</f>
        <v>0</v>
      </c>
      <c r="M11" s="235">
        <f>B5B!M41</f>
        <v>0</v>
      </c>
      <c r="N11" s="840"/>
    </row>
    <row r="12" spans="1:14" ht="12.75" customHeight="1" x14ac:dyDescent="0.25">
      <c r="A12" s="926" t="str">
        <f>B5B!A52</f>
        <v>Vote 5 - COMMUNITY SERVICES</v>
      </c>
      <c r="B12" s="73"/>
      <c r="C12" s="775">
        <f>B5B!C52</f>
        <v>0</v>
      </c>
      <c r="D12" s="171">
        <f>B5B!D52</f>
        <v>0</v>
      </c>
      <c r="E12" s="171">
        <f>B5B!E52</f>
        <v>0</v>
      </c>
      <c r="F12" s="171">
        <f>B5B!F52</f>
        <v>0</v>
      </c>
      <c r="G12" s="171">
        <f>B5B!G52</f>
        <v>0</v>
      </c>
      <c r="H12" s="171">
        <f>B5B!H52</f>
        <v>0</v>
      </c>
      <c r="I12" s="171">
        <f>B5B!I52</f>
        <v>0</v>
      </c>
      <c r="J12" s="171">
        <f t="shared" si="1"/>
        <v>0</v>
      </c>
      <c r="K12" s="171">
        <f t="shared" si="0"/>
        <v>0</v>
      </c>
      <c r="L12" s="171">
        <f>B5B!L52</f>
        <v>0</v>
      </c>
      <c r="M12" s="235">
        <f>B5B!M52</f>
        <v>0</v>
      </c>
      <c r="N12" s="840"/>
    </row>
    <row r="13" spans="1:14" ht="12.75" customHeight="1" x14ac:dyDescent="0.25">
      <c r="A13" s="926" t="str">
        <f>B5B!A63</f>
        <v>Vote 6 - PUBLIC SAFETY(ADMINISTRATION)</v>
      </c>
      <c r="B13" s="73"/>
      <c r="C13" s="775">
        <f>B5B!C63</f>
        <v>0</v>
      </c>
      <c r="D13" s="171">
        <f>B5B!D63</f>
        <v>0</v>
      </c>
      <c r="E13" s="171">
        <f>B5B!E63</f>
        <v>0</v>
      </c>
      <c r="F13" s="171">
        <f>B5B!F63</f>
        <v>0</v>
      </c>
      <c r="G13" s="171">
        <f>B5B!G63</f>
        <v>0</v>
      </c>
      <c r="H13" s="171">
        <f>B5B!H63</f>
        <v>0</v>
      </c>
      <c r="I13" s="171">
        <f>B5B!I63</f>
        <v>0</v>
      </c>
      <c r="J13" s="171">
        <f t="shared" si="1"/>
        <v>0</v>
      </c>
      <c r="K13" s="171">
        <f t="shared" si="0"/>
        <v>0</v>
      </c>
      <c r="L13" s="171">
        <f>B5B!L63</f>
        <v>0</v>
      </c>
      <c r="M13" s="235">
        <f>B5B!M63</f>
        <v>0</v>
      </c>
      <c r="N13" s="840"/>
    </row>
    <row r="14" spans="1:14" ht="12.75" customHeight="1" x14ac:dyDescent="0.25">
      <c r="A14" s="926" t="str">
        <f>B5B!A74</f>
        <v>Vote 7 - CORPORATE AND SHARED SERVICES</v>
      </c>
      <c r="B14" s="73"/>
      <c r="C14" s="775">
        <f>B5B!C74</f>
        <v>0</v>
      </c>
      <c r="D14" s="171">
        <f>B5B!D74</f>
        <v>0</v>
      </c>
      <c r="E14" s="171">
        <f>B5B!E74</f>
        <v>0</v>
      </c>
      <c r="F14" s="171">
        <f>B5B!F74</f>
        <v>0</v>
      </c>
      <c r="G14" s="171">
        <f>B5B!G74</f>
        <v>0</v>
      </c>
      <c r="H14" s="171">
        <f>B5B!H74</f>
        <v>0</v>
      </c>
      <c r="I14" s="171">
        <f>B5B!I74</f>
        <v>0</v>
      </c>
      <c r="J14" s="171">
        <f t="shared" si="1"/>
        <v>0</v>
      </c>
      <c r="K14" s="171">
        <f t="shared" si="0"/>
        <v>0</v>
      </c>
      <c r="L14" s="171">
        <f>B5B!L74</f>
        <v>0</v>
      </c>
      <c r="M14" s="235">
        <f>B5B!M74</f>
        <v>0</v>
      </c>
      <c r="N14" s="840"/>
    </row>
    <row r="15" spans="1:14" ht="12.75" customHeight="1" x14ac:dyDescent="0.25">
      <c r="A15" s="926" t="str">
        <f>B5B!A85</f>
        <v>Vote 8 - PLANNING AND ECONOMIC  DEVELOPMENT</v>
      </c>
      <c r="B15" s="73"/>
      <c r="C15" s="775">
        <f>B5B!C85</f>
        <v>0</v>
      </c>
      <c r="D15" s="171">
        <f>B5B!D85</f>
        <v>0</v>
      </c>
      <c r="E15" s="171">
        <f>B5B!E85</f>
        <v>0</v>
      </c>
      <c r="F15" s="171">
        <f>B5B!F85</f>
        <v>0</v>
      </c>
      <c r="G15" s="171">
        <f>B5B!G85</f>
        <v>0</v>
      </c>
      <c r="H15" s="171">
        <f>B5B!H85</f>
        <v>0</v>
      </c>
      <c r="I15" s="171">
        <f>B5B!I85</f>
        <v>0</v>
      </c>
      <c r="J15" s="171">
        <f t="shared" si="1"/>
        <v>0</v>
      </c>
      <c r="K15" s="171">
        <f t="shared" si="0"/>
        <v>0</v>
      </c>
      <c r="L15" s="171">
        <f>B5B!L85</f>
        <v>0</v>
      </c>
      <c r="M15" s="235">
        <f>B5B!M85</f>
        <v>0</v>
      </c>
      <c r="N15" s="840"/>
    </row>
    <row r="16" spans="1:14" ht="12.75" customHeight="1" x14ac:dyDescent="0.25">
      <c r="A16" s="926" t="str">
        <f>B5B!A96</f>
        <v>Vote 9 - BUDGET AND TREASURY OFFICE)</v>
      </c>
      <c r="B16" s="73"/>
      <c r="C16" s="775">
        <f>B5B!C96</f>
        <v>0</v>
      </c>
      <c r="D16" s="171">
        <f>B5B!D96</f>
        <v>0</v>
      </c>
      <c r="E16" s="171">
        <f>B5B!E96</f>
        <v>0</v>
      </c>
      <c r="F16" s="171">
        <f>B5B!F96</f>
        <v>0</v>
      </c>
      <c r="G16" s="171">
        <f>B5B!G96</f>
        <v>0</v>
      </c>
      <c r="H16" s="171">
        <f>B5B!H96</f>
        <v>0</v>
      </c>
      <c r="I16" s="171">
        <f>B5B!I96</f>
        <v>0</v>
      </c>
      <c r="J16" s="171">
        <f t="shared" si="1"/>
        <v>0</v>
      </c>
      <c r="K16" s="171">
        <f t="shared" si="0"/>
        <v>0</v>
      </c>
      <c r="L16" s="171">
        <f>B5B!L96</f>
        <v>0</v>
      </c>
      <c r="M16" s="235">
        <f>B5B!M96</f>
        <v>0</v>
      </c>
      <c r="N16" s="840"/>
    </row>
    <row r="17" spans="1:14" ht="12.75" customHeight="1" x14ac:dyDescent="0.25">
      <c r="A17" s="926" t="str">
        <f>B5B!A107</f>
        <v>Vote 10 - TRANSPORT SERVICES</v>
      </c>
      <c r="B17" s="73"/>
      <c r="C17" s="775">
        <f>B5B!C107</f>
        <v>0</v>
      </c>
      <c r="D17" s="171">
        <f>B5B!D107</f>
        <v>0</v>
      </c>
      <c r="E17" s="171">
        <f>B5B!E107</f>
        <v>0</v>
      </c>
      <c r="F17" s="171">
        <f>B5B!F107</f>
        <v>0</v>
      </c>
      <c r="G17" s="171">
        <f>B5B!G107</f>
        <v>0</v>
      </c>
      <c r="H17" s="171">
        <f>B5B!H107</f>
        <v>0</v>
      </c>
      <c r="I17" s="171">
        <f>B5B!I107</f>
        <v>0</v>
      </c>
      <c r="J17" s="171">
        <f t="shared" si="1"/>
        <v>0</v>
      </c>
      <c r="K17" s="171">
        <f t="shared" si="0"/>
        <v>0</v>
      </c>
      <c r="L17" s="171">
        <f>B5B!L107</f>
        <v>0</v>
      </c>
      <c r="M17" s="235">
        <f>B5B!M107</f>
        <v>0</v>
      </c>
      <c r="N17" s="840"/>
    </row>
    <row r="18" spans="1:14" ht="12.75" customHeight="1" x14ac:dyDescent="0.25">
      <c r="A18" s="926" t="str">
        <f>B5B!A118</f>
        <v>Vote 11 - HUMAN SETTLEMENT</v>
      </c>
      <c r="B18" s="73"/>
      <c r="C18" s="775">
        <f>B5B!C118</f>
        <v>0</v>
      </c>
      <c r="D18" s="171">
        <f>B5B!D118</f>
        <v>0</v>
      </c>
      <c r="E18" s="171">
        <f>B5B!E118</f>
        <v>0</v>
      </c>
      <c r="F18" s="171">
        <f>B5B!F118</f>
        <v>0</v>
      </c>
      <c r="G18" s="171">
        <f>B5B!G118</f>
        <v>0</v>
      </c>
      <c r="H18" s="171">
        <f>B5B!H118</f>
        <v>0</v>
      </c>
      <c r="I18" s="171">
        <f>B5B!I118</f>
        <v>0</v>
      </c>
      <c r="J18" s="171">
        <f t="shared" si="1"/>
        <v>0</v>
      </c>
      <c r="K18" s="171">
        <f t="shared" si="0"/>
        <v>0</v>
      </c>
      <c r="L18" s="171">
        <f>B5B!L118</f>
        <v>0</v>
      </c>
      <c r="M18" s="235">
        <f>B5B!M118</f>
        <v>0</v>
      </c>
      <c r="N18" s="840"/>
    </row>
    <row r="19" spans="1:14" ht="12.75" customHeight="1" x14ac:dyDescent="0.25">
      <c r="A19" s="926" t="str">
        <f>B5B!A129</f>
        <v>Vote 12 - [NAME OF VOTE 12]</v>
      </c>
      <c r="B19" s="73"/>
      <c r="C19" s="775">
        <f>B5B!C129</f>
        <v>0</v>
      </c>
      <c r="D19" s="171">
        <f>B5B!D129</f>
        <v>0</v>
      </c>
      <c r="E19" s="171">
        <f>B5B!E129</f>
        <v>0</v>
      </c>
      <c r="F19" s="171">
        <f>B5B!F129</f>
        <v>0</v>
      </c>
      <c r="G19" s="171">
        <f>B5B!G129</f>
        <v>0</v>
      </c>
      <c r="H19" s="171">
        <f>B5B!H129</f>
        <v>0</v>
      </c>
      <c r="I19" s="171">
        <f>B5B!I129</f>
        <v>0</v>
      </c>
      <c r="J19" s="171">
        <f t="shared" si="1"/>
        <v>0</v>
      </c>
      <c r="K19" s="171">
        <f t="shared" si="0"/>
        <v>0</v>
      </c>
      <c r="L19" s="171">
        <f>B5B!L129</f>
        <v>0</v>
      </c>
      <c r="M19" s="235">
        <f>B5B!M129</f>
        <v>0</v>
      </c>
      <c r="N19" s="840"/>
    </row>
    <row r="20" spans="1:14" ht="12.75" customHeight="1" x14ac:dyDescent="0.25">
      <c r="A20" s="926" t="str">
        <f>B5B!A140</f>
        <v>Vote 13 - [NAME OF VOTE 13]</v>
      </c>
      <c r="B20" s="73"/>
      <c r="C20" s="775">
        <f>B5B!C140</f>
        <v>0</v>
      </c>
      <c r="D20" s="171">
        <f>B5B!D140</f>
        <v>0</v>
      </c>
      <c r="E20" s="171">
        <f>B5B!E140</f>
        <v>0</v>
      </c>
      <c r="F20" s="171">
        <f>B5B!F140</f>
        <v>0</v>
      </c>
      <c r="G20" s="171">
        <f>B5B!G140</f>
        <v>0</v>
      </c>
      <c r="H20" s="171">
        <f>B5B!H140</f>
        <v>0</v>
      </c>
      <c r="I20" s="171">
        <f>B5B!I140</f>
        <v>0</v>
      </c>
      <c r="J20" s="171">
        <f t="shared" si="1"/>
        <v>0</v>
      </c>
      <c r="K20" s="171">
        <f t="shared" si="0"/>
        <v>0</v>
      </c>
      <c r="L20" s="171">
        <f>B5B!L140</f>
        <v>0</v>
      </c>
      <c r="M20" s="235">
        <f>B5B!M140</f>
        <v>0</v>
      </c>
      <c r="N20" s="840"/>
    </row>
    <row r="21" spans="1:14" ht="12.75" customHeight="1" x14ac:dyDescent="0.25">
      <c r="A21" s="926" t="str">
        <f>B5B!A151</f>
        <v>Vote 14 - [NAME OF VOTE 14]</v>
      </c>
      <c r="B21" s="73"/>
      <c r="C21" s="775">
        <f>B5B!C151</f>
        <v>0</v>
      </c>
      <c r="D21" s="171">
        <f>B5B!D151</f>
        <v>0</v>
      </c>
      <c r="E21" s="171">
        <f>B5B!E151</f>
        <v>0</v>
      </c>
      <c r="F21" s="171">
        <f>B5B!F151</f>
        <v>0</v>
      </c>
      <c r="G21" s="171">
        <f>B5B!G151</f>
        <v>0</v>
      </c>
      <c r="H21" s="171">
        <f>B5B!H151</f>
        <v>0</v>
      </c>
      <c r="I21" s="171">
        <f>B5B!I151</f>
        <v>0</v>
      </c>
      <c r="J21" s="171">
        <f t="shared" si="1"/>
        <v>0</v>
      </c>
      <c r="K21" s="171">
        <f t="shared" si="0"/>
        <v>0</v>
      </c>
      <c r="L21" s="171">
        <f>B5B!L151</f>
        <v>0</v>
      </c>
      <c r="M21" s="235">
        <f>B5B!M151</f>
        <v>0</v>
      </c>
      <c r="N21" s="840"/>
    </row>
    <row r="22" spans="1:14" ht="12.75" customHeight="1" x14ac:dyDescent="0.25">
      <c r="A22" s="926" t="str">
        <f>B5B!A162</f>
        <v>Vote 15 - [NAME OF VOTE 15]</v>
      </c>
      <c r="B22" s="73"/>
      <c r="C22" s="775">
        <f>B5B!C162</f>
        <v>0</v>
      </c>
      <c r="D22" s="171">
        <f>B5B!D162</f>
        <v>0</v>
      </c>
      <c r="E22" s="171">
        <f>B5B!E162</f>
        <v>0</v>
      </c>
      <c r="F22" s="171">
        <f>B5B!F162</f>
        <v>0</v>
      </c>
      <c r="G22" s="171">
        <f>B5B!G162</f>
        <v>0</v>
      </c>
      <c r="H22" s="171">
        <f>B5B!H162</f>
        <v>0</v>
      </c>
      <c r="I22" s="171">
        <f>B5B!I162</f>
        <v>0</v>
      </c>
      <c r="J22" s="171">
        <f t="shared" si="1"/>
        <v>0</v>
      </c>
      <c r="K22" s="171">
        <f t="shared" si="0"/>
        <v>0</v>
      </c>
      <c r="L22" s="171">
        <f>B5B!L162</f>
        <v>0</v>
      </c>
      <c r="M22" s="235">
        <f>B5B!M162</f>
        <v>0</v>
      </c>
      <c r="N22" s="840"/>
    </row>
    <row r="23" spans="1:14" ht="12.75" customHeight="1" x14ac:dyDescent="0.25">
      <c r="A23" s="750" t="s">
        <v>663</v>
      </c>
      <c r="B23" s="73">
        <v>3</v>
      </c>
      <c r="C23" s="776">
        <f>SUM(C8:C22)</f>
        <v>0</v>
      </c>
      <c r="D23" s="574">
        <f t="shared" ref="D23:I23" si="2">SUM(D8:D22)</f>
        <v>0</v>
      </c>
      <c r="E23" s="574">
        <f t="shared" si="2"/>
        <v>0</v>
      </c>
      <c r="F23" s="574">
        <f t="shared" si="2"/>
        <v>0</v>
      </c>
      <c r="G23" s="574">
        <f t="shared" si="2"/>
        <v>0</v>
      </c>
      <c r="H23" s="574">
        <f t="shared" si="2"/>
        <v>0</v>
      </c>
      <c r="I23" s="574">
        <f t="shared" si="2"/>
        <v>0</v>
      </c>
      <c r="J23" s="574">
        <f>SUM(J8:J22)</f>
        <v>0</v>
      </c>
      <c r="K23" s="574">
        <f>SUM(K8:K22)</f>
        <v>0</v>
      </c>
      <c r="L23" s="574">
        <f>SUM(L8:L22)</f>
        <v>0</v>
      </c>
      <c r="M23" s="712">
        <f>SUM(M8:M22)</f>
        <v>0</v>
      </c>
      <c r="N23" s="545"/>
    </row>
    <row r="24" spans="1:14" ht="5.0999999999999996" customHeight="1" x14ac:dyDescent="0.25">
      <c r="A24" s="136"/>
      <c r="B24" s="73"/>
      <c r="C24" s="75"/>
      <c r="D24" s="171"/>
      <c r="E24" s="171"/>
      <c r="F24" s="171"/>
      <c r="G24" s="171"/>
      <c r="H24" s="171"/>
      <c r="I24" s="171"/>
      <c r="J24" s="171"/>
      <c r="K24" s="171"/>
      <c r="L24" s="171"/>
      <c r="M24" s="235"/>
      <c r="N24" s="128"/>
    </row>
    <row r="25" spans="1:14" ht="12.75" customHeight="1" x14ac:dyDescent="0.25">
      <c r="A25" s="52" t="s">
        <v>1134</v>
      </c>
      <c r="B25" s="137">
        <v>2</v>
      </c>
      <c r="C25" s="777"/>
      <c r="D25" s="171"/>
      <c r="E25" s="171"/>
      <c r="F25" s="171"/>
      <c r="G25" s="171"/>
      <c r="H25" s="171"/>
      <c r="I25" s="171"/>
      <c r="J25" s="171"/>
      <c r="K25" s="171"/>
      <c r="L25" s="171"/>
      <c r="M25" s="235"/>
      <c r="N25" s="128"/>
    </row>
    <row r="26" spans="1:14" ht="12.75" customHeight="1" x14ac:dyDescent="0.25">
      <c r="A26" s="926" t="str">
        <f>B5B!A177</f>
        <v>Vote 1 - CHIEF OPERATIONS OFFICE</v>
      </c>
      <c r="B26" s="137"/>
      <c r="C26" s="777">
        <f>B5B!C177</f>
        <v>2796088</v>
      </c>
      <c r="D26" s="132">
        <f>B5B!D177</f>
        <v>2796088</v>
      </c>
      <c r="E26" s="132">
        <f>B5B!E177</f>
        <v>0</v>
      </c>
      <c r="F26" s="132">
        <f>B5B!F177</f>
        <v>0</v>
      </c>
      <c r="G26" s="132">
        <f>B5B!G177</f>
        <v>0</v>
      </c>
      <c r="H26" s="132">
        <f>B5B!H177</f>
        <v>0</v>
      </c>
      <c r="I26" s="132">
        <f>B5B!I177</f>
        <v>7400000</v>
      </c>
      <c r="J26" s="171">
        <f t="shared" ref="J26:J40" si="3">SUM(E26:I26)</f>
        <v>7400000</v>
      </c>
      <c r="K26" s="171">
        <f t="shared" ref="K26:K40" si="4">IF(D26=0,C26+J26,D26+J26)</f>
        <v>10196088</v>
      </c>
      <c r="L26" s="132">
        <f>B5B!L177</f>
        <v>3470601</v>
      </c>
      <c r="M26" s="133">
        <f>B5B!M177</f>
        <v>4452949</v>
      </c>
      <c r="N26" s="842"/>
    </row>
    <row r="27" spans="1:14" ht="12.75" customHeight="1" x14ac:dyDescent="0.25">
      <c r="A27" s="926" t="str">
        <f>B5B!A188</f>
        <v>Vote 2 - MUNICIPAL MANAGER'S OFFICE</v>
      </c>
      <c r="B27" s="137"/>
      <c r="C27" s="777">
        <f>B5B!C188</f>
        <v>0</v>
      </c>
      <c r="D27" s="132">
        <f>B5B!D188</f>
        <v>0</v>
      </c>
      <c r="E27" s="132">
        <f>B5B!E188</f>
        <v>0</v>
      </c>
      <c r="F27" s="132">
        <f>B5B!F188</f>
        <v>0</v>
      </c>
      <c r="G27" s="132">
        <f>B5B!G188</f>
        <v>0</v>
      </c>
      <c r="H27" s="132">
        <f>B5B!H188</f>
        <v>0</v>
      </c>
      <c r="I27" s="132">
        <f>B5B!I188</f>
        <v>0</v>
      </c>
      <c r="J27" s="171">
        <f t="shared" si="3"/>
        <v>0</v>
      </c>
      <c r="K27" s="171">
        <f t="shared" si="4"/>
        <v>0</v>
      </c>
      <c r="L27" s="132">
        <f>B5B!L188</f>
        <v>0</v>
      </c>
      <c r="M27" s="133">
        <f>B5B!M188</f>
        <v>0</v>
      </c>
      <c r="N27" s="842"/>
    </row>
    <row r="28" spans="1:14" ht="12.75" customHeight="1" x14ac:dyDescent="0.25">
      <c r="A28" s="926" t="str">
        <f>B5B!A199</f>
        <v>Vote 3 - WATER AND SANITATION</v>
      </c>
      <c r="B28" s="137"/>
      <c r="C28" s="777">
        <f>B5B!C199</f>
        <v>536244332</v>
      </c>
      <c r="D28" s="132">
        <f>B5B!D199</f>
        <v>459933332</v>
      </c>
      <c r="E28" s="132">
        <f>B5B!E199</f>
        <v>0</v>
      </c>
      <c r="F28" s="132">
        <f>B5B!F199</f>
        <v>0</v>
      </c>
      <c r="G28" s="132">
        <f>B5B!G199</f>
        <v>0</v>
      </c>
      <c r="H28" s="132">
        <f>B5B!H199</f>
        <v>23580066</v>
      </c>
      <c r="I28" s="132">
        <f>B5B!I199</f>
        <v>-24460987</v>
      </c>
      <c r="J28" s="171">
        <f t="shared" si="3"/>
        <v>-880921</v>
      </c>
      <c r="K28" s="171">
        <f t="shared" si="4"/>
        <v>459052411</v>
      </c>
      <c r="L28" s="132">
        <f>B5B!L199</f>
        <v>288617785</v>
      </c>
      <c r="M28" s="133">
        <f>B5B!M199</f>
        <v>192611701</v>
      </c>
      <c r="N28" s="840"/>
    </row>
    <row r="29" spans="1:14" ht="12.75" customHeight="1" x14ac:dyDescent="0.25">
      <c r="A29" s="926" t="str">
        <f>B5B!A210</f>
        <v>Vote 4 - ENERGY</v>
      </c>
      <c r="B29" s="137"/>
      <c r="C29" s="777">
        <f>B5B!C210</f>
        <v>20200867</v>
      </c>
      <c r="D29" s="132">
        <f>B5B!D210</f>
        <v>81200867</v>
      </c>
      <c r="E29" s="132">
        <f>B5B!E210</f>
        <v>0</v>
      </c>
      <c r="F29" s="132">
        <f>B5B!F210</f>
        <v>0</v>
      </c>
      <c r="G29" s="132">
        <f>B5B!G210</f>
        <v>0</v>
      </c>
      <c r="H29" s="132">
        <f>B5B!H210</f>
        <v>7337770.8600000003</v>
      </c>
      <c r="I29" s="132">
        <f>B5B!I210</f>
        <v>-9499999.8599999994</v>
      </c>
      <c r="J29" s="171">
        <f t="shared" si="3"/>
        <v>-2162228.9999999991</v>
      </c>
      <c r="K29" s="171">
        <f t="shared" si="4"/>
        <v>79038638</v>
      </c>
      <c r="L29" s="132">
        <f>B5B!L210</f>
        <v>28631053</v>
      </c>
      <c r="M29" s="133">
        <f>B5B!M210</f>
        <v>36942500</v>
      </c>
      <c r="N29" s="840"/>
    </row>
    <row r="30" spans="1:14" ht="12.75" customHeight="1" x14ac:dyDescent="0.25">
      <c r="A30" s="926" t="str">
        <f>B5B!A221</f>
        <v>Vote 5 - COMMUNITY SERVICES</v>
      </c>
      <c r="B30" s="137"/>
      <c r="C30" s="777">
        <f>B5B!C221</f>
        <v>67311585</v>
      </c>
      <c r="D30" s="132">
        <f>B5B!D221</f>
        <v>70311585</v>
      </c>
      <c r="E30" s="132">
        <f>B5B!E221</f>
        <v>0</v>
      </c>
      <c r="F30" s="132">
        <f>B5B!F221</f>
        <v>0</v>
      </c>
      <c r="G30" s="132">
        <f>B5B!G221</f>
        <v>0</v>
      </c>
      <c r="H30" s="132">
        <f>B5B!H221</f>
        <v>0</v>
      </c>
      <c r="I30" s="132">
        <f>B5B!I221</f>
        <v>-4989204</v>
      </c>
      <c r="J30" s="171">
        <f t="shared" si="3"/>
        <v>-4989204</v>
      </c>
      <c r="K30" s="171">
        <f t="shared" si="4"/>
        <v>65322381</v>
      </c>
      <c r="L30" s="132">
        <f>B5B!L221</f>
        <v>52270647</v>
      </c>
      <c r="M30" s="133">
        <f>B5B!M221</f>
        <v>43924532</v>
      </c>
      <c r="N30" s="840"/>
    </row>
    <row r="31" spans="1:14" ht="12.75" customHeight="1" x14ac:dyDescent="0.25">
      <c r="A31" s="926" t="str">
        <f>B5B!A241</f>
        <v>Vote 6 - PUBLIC SAFETY</v>
      </c>
      <c r="B31" s="137"/>
      <c r="C31" s="777">
        <f>B5B!C241</f>
        <v>2526661</v>
      </c>
      <c r="D31" s="132">
        <f>B5B!D241</f>
        <v>2526661</v>
      </c>
      <c r="E31" s="132">
        <f>B5B!E241</f>
        <v>0</v>
      </c>
      <c r="F31" s="132">
        <f>B5B!F241</f>
        <v>0</v>
      </c>
      <c r="G31" s="132">
        <f>B5B!G241</f>
        <v>0</v>
      </c>
      <c r="H31" s="132">
        <f>B5B!H241</f>
        <v>0</v>
      </c>
      <c r="I31" s="132">
        <f>B5B!I241</f>
        <v>-825309</v>
      </c>
      <c r="J31" s="171">
        <f t="shared" si="3"/>
        <v>-825309</v>
      </c>
      <c r="K31" s="171">
        <f t="shared" si="4"/>
        <v>1701352</v>
      </c>
      <c r="L31" s="132">
        <f>B5B!L241</f>
        <v>2516348</v>
      </c>
      <c r="M31" s="133">
        <f>B5B!M241</f>
        <v>8384004</v>
      </c>
      <c r="N31" s="840"/>
    </row>
    <row r="32" spans="1:14" ht="12.75" customHeight="1" x14ac:dyDescent="0.25">
      <c r="A32" s="926" t="str">
        <f>B5B!A254</f>
        <v>Vote 7 - CORPORATE AND SHARED SERVICES</v>
      </c>
      <c r="B32" s="137"/>
      <c r="C32" s="777">
        <f>B5B!C254</f>
        <v>31043486</v>
      </c>
      <c r="D32" s="132">
        <f>B5B!D254</f>
        <v>107543486</v>
      </c>
      <c r="E32" s="132">
        <f>B5B!E254</f>
        <v>0</v>
      </c>
      <c r="F32" s="132">
        <f>B5B!F254</f>
        <v>0</v>
      </c>
      <c r="G32" s="132">
        <f>B5B!G254</f>
        <v>0</v>
      </c>
      <c r="H32" s="132">
        <f>B5B!H254</f>
        <v>0</v>
      </c>
      <c r="I32" s="132">
        <f>B5B!I254</f>
        <v>-58685000</v>
      </c>
      <c r="J32" s="171">
        <f t="shared" si="3"/>
        <v>-58685000</v>
      </c>
      <c r="K32" s="171">
        <f t="shared" si="4"/>
        <v>48858486</v>
      </c>
      <c r="L32" s="132">
        <f>B5B!L254</f>
        <v>24459609</v>
      </c>
      <c r="M32" s="133">
        <f>B5B!M254</f>
        <v>20406914</v>
      </c>
      <c r="N32" s="840"/>
    </row>
    <row r="33" spans="1:14" ht="12.75" customHeight="1" x14ac:dyDescent="0.25">
      <c r="A33" s="926" t="str">
        <f>B5B!A271</f>
        <v xml:space="preserve">Vote 8 - PLANNING AND ECONOMIC DEVELOPMENT </v>
      </c>
      <c r="B33" s="137"/>
      <c r="C33" s="777">
        <f>B5B!C271</f>
        <v>5805203</v>
      </c>
      <c r="D33" s="132">
        <f>B5B!D271</f>
        <v>5805203</v>
      </c>
      <c r="E33" s="132">
        <f>B5B!E271</f>
        <v>0</v>
      </c>
      <c r="F33" s="132">
        <f>B5B!F271</f>
        <v>0</v>
      </c>
      <c r="G33" s="132">
        <f>B5B!G271</f>
        <v>0</v>
      </c>
      <c r="H33" s="132">
        <f>B5B!H271</f>
        <v>0</v>
      </c>
      <c r="I33" s="132">
        <f>B5B!I271</f>
        <v>1631482</v>
      </c>
      <c r="J33" s="171">
        <f t="shared" si="3"/>
        <v>1631482</v>
      </c>
      <c r="K33" s="171">
        <f t="shared" si="4"/>
        <v>7436685</v>
      </c>
      <c r="L33" s="132">
        <f>B5B!L271</f>
        <v>7771868</v>
      </c>
      <c r="M33" s="133">
        <f>B5B!M271</f>
        <v>7657123</v>
      </c>
      <c r="N33" s="840"/>
    </row>
    <row r="34" spans="1:14" ht="12.75" customHeight="1" x14ac:dyDescent="0.25">
      <c r="A34" s="926" t="str">
        <f>B5B!A286</f>
        <v>Vote 9 - BUDGET AND TREASURY OFFICE</v>
      </c>
      <c r="B34" s="137"/>
      <c r="C34" s="777">
        <f>B5B!C286</f>
        <v>1000398</v>
      </c>
      <c r="D34" s="132">
        <f>B5B!D286</f>
        <v>1000398</v>
      </c>
      <c r="E34" s="132">
        <f>B5B!E286</f>
        <v>0</v>
      </c>
      <c r="F34" s="132">
        <f>B5B!F286</f>
        <v>0</v>
      </c>
      <c r="G34" s="132">
        <f>B5B!G286</f>
        <v>0</v>
      </c>
      <c r="H34" s="132">
        <f>B5B!H286</f>
        <v>0</v>
      </c>
      <c r="I34" s="132">
        <f>B5B!I286</f>
        <v>30684686</v>
      </c>
      <c r="J34" s="171">
        <f t="shared" si="3"/>
        <v>30684686</v>
      </c>
      <c r="K34" s="171">
        <f t="shared" si="4"/>
        <v>31685084</v>
      </c>
      <c r="L34" s="132">
        <f>B5B!L286</f>
        <v>0</v>
      </c>
      <c r="M34" s="133">
        <f>B5B!M286</f>
        <v>0</v>
      </c>
      <c r="N34" s="840"/>
    </row>
    <row r="35" spans="1:14" ht="12.75" customHeight="1" x14ac:dyDescent="0.25">
      <c r="A35" s="926" t="str">
        <f>B5B!A297</f>
        <v xml:space="preserve">Vote 10 - TRANSPORT SERVICES </v>
      </c>
      <c r="B35" s="137"/>
      <c r="C35" s="777">
        <f>B5B!C297</f>
        <v>534570062</v>
      </c>
      <c r="D35" s="132">
        <f>B5B!D297</f>
        <v>500024062</v>
      </c>
      <c r="E35" s="132">
        <f>B5B!E297</f>
        <v>0</v>
      </c>
      <c r="F35" s="132">
        <f>B5B!F297</f>
        <v>0</v>
      </c>
      <c r="G35" s="132">
        <f>B5B!G297</f>
        <v>0</v>
      </c>
      <c r="H35" s="132">
        <f>B5B!H297</f>
        <v>31374025</v>
      </c>
      <c r="I35" s="132">
        <f>B5B!I297</f>
        <v>-197658567</v>
      </c>
      <c r="J35" s="171">
        <f t="shared" si="3"/>
        <v>-166284542</v>
      </c>
      <c r="K35" s="171">
        <f t="shared" si="4"/>
        <v>333739520</v>
      </c>
      <c r="L35" s="132">
        <f>B5B!L297</f>
        <v>320413839</v>
      </c>
      <c r="M35" s="133">
        <f>B5B!M297</f>
        <v>327433714</v>
      </c>
      <c r="N35" s="840"/>
    </row>
    <row r="36" spans="1:14" ht="12.75" customHeight="1" x14ac:dyDescent="0.25">
      <c r="A36" s="926" t="str">
        <f>B5B!A308</f>
        <v>Vote 11 - HUMAN SETTLEMENT</v>
      </c>
      <c r="B36" s="137"/>
      <c r="C36" s="777">
        <f>B5B!C308</f>
        <v>0</v>
      </c>
      <c r="D36" s="132">
        <f>B5B!D308</f>
        <v>0</v>
      </c>
      <c r="E36" s="132">
        <f>B5B!E308</f>
        <v>0</v>
      </c>
      <c r="F36" s="132">
        <f>B5B!F308</f>
        <v>0</v>
      </c>
      <c r="G36" s="132">
        <f>B5B!G308</f>
        <v>0</v>
      </c>
      <c r="H36" s="132">
        <f>B5B!H308</f>
        <v>0</v>
      </c>
      <c r="I36" s="132">
        <f>B5B!I308</f>
        <v>0</v>
      </c>
      <c r="J36" s="171">
        <f t="shared" si="3"/>
        <v>0</v>
      </c>
      <c r="K36" s="171">
        <f t="shared" si="4"/>
        <v>0</v>
      </c>
      <c r="L36" s="132">
        <f>B5B!L308</f>
        <v>0</v>
      </c>
      <c r="M36" s="133">
        <f>B5B!M308</f>
        <v>0</v>
      </c>
      <c r="N36" s="840"/>
    </row>
    <row r="37" spans="1:14" ht="12.75" customHeight="1" x14ac:dyDescent="0.25">
      <c r="A37" s="926" t="str">
        <f>B5B!A319</f>
        <v>Vote 12 - [NAME OF VOTE 12]</v>
      </c>
      <c r="B37" s="137"/>
      <c r="C37" s="777">
        <f>B5B!C319</f>
        <v>0</v>
      </c>
      <c r="D37" s="132">
        <f>B5B!D319</f>
        <v>0</v>
      </c>
      <c r="E37" s="132">
        <f>B5B!E319</f>
        <v>0</v>
      </c>
      <c r="F37" s="132">
        <f>B5B!F319</f>
        <v>0</v>
      </c>
      <c r="G37" s="132">
        <f>B5B!G319</f>
        <v>0</v>
      </c>
      <c r="H37" s="132">
        <f>B5B!H319</f>
        <v>0</v>
      </c>
      <c r="I37" s="132">
        <f>B5B!I319</f>
        <v>0</v>
      </c>
      <c r="J37" s="171">
        <f t="shared" si="3"/>
        <v>0</v>
      </c>
      <c r="K37" s="171">
        <f>IF(D37=0,C37+J37,D37+J37)</f>
        <v>0</v>
      </c>
      <c r="L37" s="132">
        <f>B5B!L319</f>
        <v>0</v>
      </c>
      <c r="M37" s="133">
        <f>B5B!M319</f>
        <v>0</v>
      </c>
      <c r="N37" s="840"/>
    </row>
    <row r="38" spans="1:14" x14ac:dyDescent="0.25">
      <c r="A38" s="926" t="str">
        <f>B5B!A330</f>
        <v>Vote 13 - [NAME OF VOTE 13]</v>
      </c>
      <c r="B38" s="137"/>
      <c r="C38" s="778">
        <f>B5B!C330</f>
        <v>0</v>
      </c>
      <c r="D38" s="132">
        <f>B5B!D330</f>
        <v>0</v>
      </c>
      <c r="E38" s="132">
        <f>B5B!E330</f>
        <v>0</v>
      </c>
      <c r="F38" s="132">
        <f>B5B!F330</f>
        <v>0</v>
      </c>
      <c r="G38" s="132">
        <f>B5B!G330</f>
        <v>0</v>
      </c>
      <c r="H38" s="132">
        <f>B5B!H330</f>
        <v>0</v>
      </c>
      <c r="I38" s="132">
        <f>B5B!I330</f>
        <v>0</v>
      </c>
      <c r="J38" s="171">
        <f t="shared" si="3"/>
        <v>0</v>
      </c>
      <c r="K38" s="171">
        <f t="shared" si="4"/>
        <v>0</v>
      </c>
      <c r="L38" s="132">
        <f>B5B!L330</f>
        <v>0</v>
      </c>
      <c r="M38" s="133">
        <f>B5B!M330</f>
        <v>0</v>
      </c>
      <c r="N38" s="840"/>
    </row>
    <row r="39" spans="1:14" ht="12.75" customHeight="1" x14ac:dyDescent="0.25">
      <c r="A39" s="926" t="str">
        <f>B5B!A341</f>
        <v>Vote 14 - [NAME OF VOTE 14]</v>
      </c>
      <c r="B39" s="137"/>
      <c r="C39" s="778">
        <f>B5B!C341</f>
        <v>0</v>
      </c>
      <c r="D39" s="132">
        <f>B5B!D341</f>
        <v>0</v>
      </c>
      <c r="E39" s="132">
        <f>B5B!E341</f>
        <v>0</v>
      </c>
      <c r="F39" s="132">
        <f>B5B!F341</f>
        <v>0</v>
      </c>
      <c r="G39" s="132">
        <f>B5B!G341</f>
        <v>0</v>
      </c>
      <c r="H39" s="132">
        <f>B5B!H341</f>
        <v>0</v>
      </c>
      <c r="I39" s="132">
        <f>B5B!I341</f>
        <v>0</v>
      </c>
      <c r="J39" s="171">
        <f t="shared" si="3"/>
        <v>0</v>
      </c>
      <c r="K39" s="171">
        <f t="shared" si="4"/>
        <v>0</v>
      </c>
      <c r="L39" s="132">
        <f>B5B!L341</f>
        <v>0</v>
      </c>
      <c r="M39" s="133">
        <f>B5B!M341</f>
        <v>0</v>
      </c>
      <c r="N39" s="840"/>
    </row>
    <row r="40" spans="1:14" ht="12.75" customHeight="1" x14ac:dyDescent="0.25">
      <c r="A40" s="926" t="str">
        <f>B5B!A352</f>
        <v>Vote 15 - [NAME OF VOTE 15]</v>
      </c>
      <c r="B40" s="137"/>
      <c r="C40" s="778">
        <f>B5B!C352</f>
        <v>0</v>
      </c>
      <c r="D40" s="132">
        <f>B5B!D352</f>
        <v>0</v>
      </c>
      <c r="E40" s="132">
        <f>B5B!E352</f>
        <v>0</v>
      </c>
      <c r="F40" s="132">
        <f>B5B!F352</f>
        <v>0</v>
      </c>
      <c r="G40" s="132">
        <f>B5B!G352</f>
        <v>0</v>
      </c>
      <c r="H40" s="132">
        <f>B5B!H352</f>
        <v>0</v>
      </c>
      <c r="I40" s="132">
        <f>B5B!I352</f>
        <v>0</v>
      </c>
      <c r="J40" s="171">
        <f t="shared" si="3"/>
        <v>0</v>
      </c>
      <c r="K40" s="171">
        <f t="shared" si="4"/>
        <v>0</v>
      </c>
      <c r="L40" s="132">
        <f>B5B!L352</f>
        <v>0</v>
      </c>
      <c r="M40" s="133">
        <f>B5B!M352</f>
        <v>0</v>
      </c>
      <c r="N40" s="840"/>
    </row>
    <row r="41" spans="1:14" ht="12.75" customHeight="1" x14ac:dyDescent="0.25">
      <c r="A41" s="161" t="s">
        <v>664</v>
      </c>
      <c r="B41" s="154"/>
      <c r="C41" s="779">
        <f>SUM(C26:C40)</f>
        <v>1201498682</v>
      </c>
      <c r="D41" s="81">
        <f t="shared" ref="D41:I41" si="5">SUM(D26:D40)</f>
        <v>1231141682</v>
      </c>
      <c r="E41" s="81">
        <f t="shared" si="5"/>
        <v>0</v>
      </c>
      <c r="F41" s="81">
        <f t="shared" si="5"/>
        <v>0</v>
      </c>
      <c r="G41" s="81">
        <f t="shared" si="5"/>
        <v>0</v>
      </c>
      <c r="H41" s="81">
        <f t="shared" si="5"/>
        <v>62291861.859999999</v>
      </c>
      <c r="I41" s="81">
        <f t="shared" si="5"/>
        <v>-256402898.86000001</v>
      </c>
      <c r="J41" s="81">
        <f>SUM(J26:J40)</f>
        <v>-194111037</v>
      </c>
      <c r="K41" s="81">
        <f>SUM(K26:K40)</f>
        <v>1037030645</v>
      </c>
      <c r="L41" s="81">
        <f>SUM(L26:L40)</f>
        <v>728151750</v>
      </c>
      <c r="M41" s="82">
        <f>SUM(M26:M40)</f>
        <v>641813437</v>
      </c>
      <c r="N41" s="545"/>
    </row>
    <row r="42" spans="1:14" ht="12.75" customHeight="1" x14ac:dyDescent="0.25">
      <c r="A42" s="162" t="s">
        <v>1135</v>
      </c>
      <c r="B42" s="79"/>
      <c r="C42" s="850">
        <f>C41+C23</f>
        <v>1201498682</v>
      </c>
      <c r="D42" s="81">
        <f t="shared" ref="D42:I42" si="6">D41+D23</f>
        <v>1231141682</v>
      </c>
      <c r="E42" s="81">
        <f t="shared" si="6"/>
        <v>0</v>
      </c>
      <c r="F42" s="81">
        <f t="shared" si="6"/>
        <v>0</v>
      </c>
      <c r="G42" s="81">
        <f t="shared" si="6"/>
        <v>0</v>
      </c>
      <c r="H42" s="81">
        <f t="shared" si="6"/>
        <v>62291861.859999999</v>
      </c>
      <c r="I42" s="81">
        <f t="shared" si="6"/>
        <v>-256402898.86000001</v>
      </c>
      <c r="J42" s="81">
        <f>J23+J41</f>
        <v>-194111037</v>
      </c>
      <c r="K42" s="81">
        <f>K23+K41</f>
        <v>1037030645</v>
      </c>
      <c r="L42" s="81">
        <f>L41+L23</f>
        <v>728151750</v>
      </c>
      <c r="M42" s="82">
        <f>M41+M23</f>
        <v>641813437</v>
      </c>
      <c r="N42" s="128"/>
    </row>
    <row r="43" spans="1:14" ht="5.0999999999999996" customHeight="1" x14ac:dyDescent="0.25">
      <c r="A43" s="136"/>
      <c r="B43" s="73"/>
      <c r="C43" s="74"/>
      <c r="D43" s="75"/>
      <c r="E43" s="75"/>
      <c r="F43" s="75"/>
      <c r="G43" s="75"/>
      <c r="H43" s="75"/>
      <c r="I43" s="75"/>
      <c r="J43" s="75"/>
      <c r="K43" s="75"/>
      <c r="L43" s="75"/>
      <c r="M43" s="76"/>
      <c r="N43" s="128"/>
    </row>
    <row r="44" spans="1:14" ht="12.75" customHeight="1" x14ac:dyDescent="0.25">
      <c r="A44" s="126" t="s">
        <v>1480</v>
      </c>
      <c r="B44" s="73"/>
      <c r="C44" s="74"/>
      <c r="D44" s="75"/>
      <c r="E44" s="75"/>
      <c r="F44" s="75"/>
      <c r="G44" s="75"/>
      <c r="H44" s="75"/>
      <c r="I44" s="75"/>
      <c r="J44" s="75"/>
      <c r="K44" s="75"/>
      <c r="L44" s="75"/>
      <c r="M44" s="76"/>
      <c r="N44" s="128"/>
    </row>
    <row r="45" spans="1:14" ht="12.75" customHeight="1" x14ac:dyDescent="0.25">
      <c r="A45" s="107" t="s">
        <v>613</v>
      </c>
      <c r="B45" s="73"/>
      <c r="C45" s="257">
        <f t="shared" ref="C45:M45" si="7">SUM(C46:C48)</f>
        <v>32679133</v>
      </c>
      <c r="D45" s="257">
        <f t="shared" si="7"/>
        <v>83179133</v>
      </c>
      <c r="E45" s="257">
        <f t="shared" si="7"/>
        <v>0</v>
      </c>
      <c r="F45" s="257">
        <f t="shared" si="7"/>
        <v>0</v>
      </c>
      <c r="G45" s="257">
        <f t="shared" si="7"/>
        <v>0</v>
      </c>
      <c r="H45" s="257">
        <f t="shared" si="7"/>
        <v>0</v>
      </c>
      <c r="I45" s="257">
        <f t="shared" si="7"/>
        <v>-2000314</v>
      </c>
      <c r="J45" s="257">
        <f>SUM(J46:J48)</f>
        <v>-2000314</v>
      </c>
      <c r="K45" s="257">
        <f t="shared" si="7"/>
        <v>81178819</v>
      </c>
      <c r="L45" s="257">
        <f t="shared" si="7"/>
        <v>25207278</v>
      </c>
      <c r="M45" s="699">
        <f t="shared" si="7"/>
        <v>21318920</v>
      </c>
      <c r="N45" s="128"/>
    </row>
    <row r="46" spans="1:14" ht="12.75" customHeight="1" x14ac:dyDescent="0.25">
      <c r="A46" s="108" t="s">
        <v>614</v>
      </c>
      <c r="B46" s="73"/>
      <c r="C46" s="109">
        <v>0</v>
      </c>
      <c r="D46" s="109">
        <v>0</v>
      </c>
      <c r="E46" s="109">
        <v>0</v>
      </c>
      <c r="F46" s="109">
        <v>0</v>
      </c>
      <c r="G46" s="109">
        <v>0</v>
      </c>
      <c r="H46" s="109">
        <v>0</v>
      </c>
      <c r="I46" s="109">
        <v>0</v>
      </c>
      <c r="J46" s="171">
        <f>SUM(E46:I46)</f>
        <v>0</v>
      </c>
      <c r="K46" s="171">
        <f>IF(D46=0,C46+J46,D46+J46)</f>
        <v>0</v>
      </c>
      <c r="L46" s="109">
        <v>0</v>
      </c>
      <c r="M46" s="110">
        <v>0</v>
      </c>
      <c r="N46" s="128"/>
    </row>
    <row r="47" spans="1:14" ht="12.75" customHeight="1" x14ac:dyDescent="0.25">
      <c r="A47" s="108" t="s">
        <v>1481</v>
      </c>
      <c r="B47" s="73"/>
      <c r="C47" s="111">
        <v>32679133</v>
      </c>
      <c r="D47" s="111">
        <v>83179133</v>
      </c>
      <c r="E47" s="111">
        <v>0</v>
      </c>
      <c r="F47" s="111">
        <v>0</v>
      </c>
      <c r="G47" s="111">
        <v>0</v>
      </c>
      <c r="H47" s="111">
        <v>0</v>
      </c>
      <c r="I47" s="111">
        <v>-2000314</v>
      </c>
      <c r="J47" s="171">
        <f>SUM(E47:I47)</f>
        <v>-2000314</v>
      </c>
      <c r="K47" s="171">
        <f>IF(D47=0,C47+J47,D47+J47)</f>
        <v>81178819</v>
      </c>
      <c r="L47" s="111">
        <v>25207278</v>
      </c>
      <c r="M47" s="112">
        <v>21318920</v>
      </c>
      <c r="N47" s="128"/>
    </row>
    <row r="48" spans="1:14" ht="12.75" customHeight="1" x14ac:dyDescent="0.25">
      <c r="A48" s="108" t="s">
        <v>1482</v>
      </c>
      <c r="B48" s="73"/>
      <c r="C48" s="109">
        <v>0</v>
      </c>
      <c r="D48" s="109">
        <v>0</v>
      </c>
      <c r="E48" s="109">
        <v>0</v>
      </c>
      <c r="F48" s="109">
        <v>0</v>
      </c>
      <c r="G48" s="109">
        <v>0</v>
      </c>
      <c r="H48" s="109">
        <v>0</v>
      </c>
      <c r="I48" s="109">
        <v>0</v>
      </c>
      <c r="J48" s="171">
        <f>SUM(E48:I48)</f>
        <v>0</v>
      </c>
      <c r="K48" s="171">
        <f>IF(D48=0,C48+J48,D48+J48)</f>
        <v>0</v>
      </c>
      <c r="L48" s="109">
        <v>0</v>
      </c>
      <c r="M48" s="110">
        <v>0</v>
      </c>
      <c r="N48" s="128"/>
    </row>
    <row r="49" spans="1:14" ht="12.75" customHeight="1" x14ac:dyDescent="0.25">
      <c r="A49" s="107" t="s">
        <v>615</v>
      </c>
      <c r="B49" s="73"/>
      <c r="C49" s="257">
        <f t="shared" ref="C49:M49" si="8">SUM(C50:C54)</f>
        <v>62860932</v>
      </c>
      <c r="D49" s="257">
        <f t="shared" si="8"/>
        <v>64360932</v>
      </c>
      <c r="E49" s="257">
        <f t="shared" si="8"/>
        <v>0</v>
      </c>
      <c r="F49" s="257">
        <f t="shared" si="8"/>
        <v>0</v>
      </c>
      <c r="G49" s="257">
        <f t="shared" si="8"/>
        <v>0</v>
      </c>
      <c r="H49" s="257">
        <f t="shared" si="8"/>
        <v>0</v>
      </c>
      <c r="I49" s="257">
        <f t="shared" si="8"/>
        <v>-3769204</v>
      </c>
      <c r="J49" s="257">
        <f>SUM(J50:J54)</f>
        <v>-3769204</v>
      </c>
      <c r="K49" s="257">
        <f t="shared" si="8"/>
        <v>60591728</v>
      </c>
      <c r="L49" s="257">
        <f t="shared" si="8"/>
        <v>53188812</v>
      </c>
      <c r="M49" s="699">
        <f t="shared" si="8"/>
        <v>48262488</v>
      </c>
      <c r="N49" s="128"/>
    </row>
    <row r="50" spans="1:14" ht="12.75" customHeight="1" x14ac:dyDescent="0.25">
      <c r="A50" s="108" t="s">
        <v>616</v>
      </c>
      <c r="B50" s="73"/>
      <c r="C50" s="109">
        <v>4421675</v>
      </c>
      <c r="D50" s="109">
        <v>5921675</v>
      </c>
      <c r="E50" s="109">
        <v>0</v>
      </c>
      <c r="F50" s="109">
        <v>0</v>
      </c>
      <c r="G50" s="109">
        <v>0</v>
      </c>
      <c r="H50" s="109">
        <v>0</v>
      </c>
      <c r="I50" s="109">
        <v>-206000</v>
      </c>
      <c r="J50" s="171">
        <f>SUM(E50:I50)</f>
        <v>-206000</v>
      </c>
      <c r="K50" s="171">
        <f>IF(D50=0,C50+J50,D50+J50)</f>
        <v>5715675</v>
      </c>
      <c r="L50" s="109">
        <v>4868282</v>
      </c>
      <c r="M50" s="110">
        <v>8937030</v>
      </c>
      <c r="N50" s="128"/>
    </row>
    <row r="51" spans="1:14" ht="12.75" customHeight="1" x14ac:dyDescent="0.25">
      <c r="A51" s="108" t="s">
        <v>617</v>
      </c>
      <c r="B51" s="73"/>
      <c r="C51" s="109">
        <v>58439257</v>
      </c>
      <c r="D51" s="109">
        <v>58439257</v>
      </c>
      <c r="E51" s="109">
        <v>0</v>
      </c>
      <c r="F51" s="109">
        <v>0</v>
      </c>
      <c r="G51" s="109">
        <v>0</v>
      </c>
      <c r="H51" s="109">
        <v>0</v>
      </c>
      <c r="I51" s="109">
        <v>-3563204</v>
      </c>
      <c r="J51" s="171">
        <f>SUM(E51:I51)</f>
        <v>-3563204</v>
      </c>
      <c r="K51" s="171">
        <f>IF(D51=0,C51+J51,D51+J51)</f>
        <v>54876053</v>
      </c>
      <c r="L51" s="109">
        <v>48320530</v>
      </c>
      <c r="M51" s="110">
        <v>39325458</v>
      </c>
      <c r="N51" s="128"/>
    </row>
    <row r="52" spans="1:14" ht="12.75" customHeight="1" x14ac:dyDescent="0.25">
      <c r="A52" s="108" t="s">
        <v>618</v>
      </c>
      <c r="B52" s="73"/>
      <c r="C52" s="109">
        <v>0</v>
      </c>
      <c r="D52" s="109">
        <v>0</v>
      </c>
      <c r="E52" s="109">
        <v>0</v>
      </c>
      <c r="F52" s="109">
        <v>0</v>
      </c>
      <c r="G52" s="109">
        <v>0</v>
      </c>
      <c r="H52" s="109">
        <v>0</v>
      </c>
      <c r="I52" s="109">
        <v>0</v>
      </c>
      <c r="J52" s="171">
        <f>SUM(E52:I52)</f>
        <v>0</v>
      </c>
      <c r="K52" s="171">
        <f>IF(D52=0,C52+J52,D52+J52)</f>
        <v>0</v>
      </c>
      <c r="L52" s="109">
        <v>0</v>
      </c>
      <c r="M52" s="110">
        <v>0</v>
      </c>
      <c r="N52" s="128"/>
    </row>
    <row r="53" spans="1:14" ht="12.75" customHeight="1" x14ac:dyDescent="0.25">
      <c r="A53" s="108" t="s">
        <v>619</v>
      </c>
      <c r="B53" s="73"/>
      <c r="C53" s="109">
        <v>0</v>
      </c>
      <c r="D53" s="109">
        <v>0</v>
      </c>
      <c r="E53" s="109">
        <v>0</v>
      </c>
      <c r="F53" s="109">
        <v>0</v>
      </c>
      <c r="G53" s="109">
        <v>0</v>
      </c>
      <c r="H53" s="109">
        <v>0</v>
      </c>
      <c r="I53" s="109">
        <v>0</v>
      </c>
      <c r="J53" s="171">
        <f>SUM(E53:I53)</f>
        <v>0</v>
      </c>
      <c r="K53" s="171">
        <f>IF(D53=0,C53+J53,D53+J53)</f>
        <v>0</v>
      </c>
      <c r="L53" s="109">
        <v>0</v>
      </c>
      <c r="M53" s="110">
        <v>0</v>
      </c>
      <c r="N53" s="128"/>
    </row>
    <row r="54" spans="1:14" ht="12.75" customHeight="1" x14ac:dyDescent="0.25">
      <c r="A54" s="108" t="s">
        <v>620</v>
      </c>
      <c r="B54" s="73"/>
      <c r="C54" s="111">
        <v>0</v>
      </c>
      <c r="D54" s="111">
        <v>0</v>
      </c>
      <c r="E54" s="111">
        <v>0</v>
      </c>
      <c r="F54" s="111">
        <v>0</v>
      </c>
      <c r="G54" s="111">
        <v>0</v>
      </c>
      <c r="H54" s="111">
        <v>0</v>
      </c>
      <c r="I54" s="111">
        <v>0</v>
      </c>
      <c r="J54" s="171">
        <f>SUM(E54:I54)</f>
        <v>0</v>
      </c>
      <c r="K54" s="171">
        <f>IF(D54=0,C54+J54,D54+J54)</f>
        <v>0</v>
      </c>
      <c r="L54" s="111">
        <v>0</v>
      </c>
      <c r="M54" s="112">
        <v>0</v>
      </c>
      <c r="N54" s="128"/>
    </row>
    <row r="55" spans="1:14" ht="12.75" customHeight="1" x14ac:dyDescent="0.25">
      <c r="A55" s="107" t="s">
        <v>621</v>
      </c>
      <c r="B55" s="73"/>
      <c r="C55" s="257">
        <f t="shared" ref="C55:M55" si="9">SUM(C56:C58)</f>
        <v>541248068</v>
      </c>
      <c r="D55" s="257">
        <f t="shared" si="9"/>
        <v>506702068</v>
      </c>
      <c r="E55" s="257">
        <f t="shared" si="9"/>
        <v>0</v>
      </c>
      <c r="F55" s="257">
        <f t="shared" si="9"/>
        <v>0</v>
      </c>
      <c r="G55" s="257">
        <f t="shared" si="9"/>
        <v>0</v>
      </c>
      <c r="H55" s="257">
        <f t="shared" si="9"/>
        <v>31374024</v>
      </c>
      <c r="I55" s="257">
        <f t="shared" si="9"/>
        <v>-196852393</v>
      </c>
      <c r="J55" s="257">
        <f t="shared" si="9"/>
        <v>-165478369</v>
      </c>
      <c r="K55" s="257">
        <f t="shared" si="9"/>
        <v>341223699</v>
      </c>
      <c r="L55" s="257">
        <f t="shared" si="9"/>
        <v>328925091</v>
      </c>
      <c r="M55" s="699">
        <f t="shared" si="9"/>
        <v>339204266</v>
      </c>
      <c r="N55" s="128"/>
    </row>
    <row r="56" spans="1:14" ht="12.75" customHeight="1" x14ac:dyDescent="0.25">
      <c r="A56" s="108" t="s">
        <v>622</v>
      </c>
      <c r="B56" s="137"/>
      <c r="C56" s="109">
        <v>5805203</v>
      </c>
      <c r="D56" s="109">
        <v>5805203</v>
      </c>
      <c r="E56" s="109">
        <v>0</v>
      </c>
      <c r="F56" s="109">
        <v>0</v>
      </c>
      <c r="G56" s="109">
        <v>0</v>
      </c>
      <c r="H56" s="109"/>
      <c r="I56" s="109">
        <v>1631482</v>
      </c>
      <c r="J56" s="171">
        <f>SUM(E56:I56)</f>
        <v>1631482</v>
      </c>
      <c r="K56" s="171">
        <f>IF(D56=0,C56+J56,D56+J56)</f>
        <v>7436685</v>
      </c>
      <c r="L56" s="109">
        <v>7771868</v>
      </c>
      <c r="M56" s="110">
        <v>7657123</v>
      </c>
      <c r="N56" s="128"/>
    </row>
    <row r="57" spans="1:14" ht="12.75" customHeight="1" x14ac:dyDescent="0.25">
      <c r="A57" s="108" t="s">
        <v>623</v>
      </c>
      <c r="B57" s="73"/>
      <c r="C57" s="109">
        <v>535442865</v>
      </c>
      <c r="D57" s="109">
        <v>500896865</v>
      </c>
      <c r="E57" s="109">
        <v>0</v>
      </c>
      <c r="F57" s="109">
        <v>0</v>
      </c>
      <c r="G57" s="109"/>
      <c r="H57" s="109">
        <v>31374024</v>
      </c>
      <c r="I57" s="109">
        <v>-198483875</v>
      </c>
      <c r="J57" s="171">
        <f>SUM(E57:I57)</f>
        <v>-167109851</v>
      </c>
      <c r="K57" s="171">
        <f>IF(D57=0,C57+J57,D57+J57)</f>
        <v>333787014</v>
      </c>
      <c r="L57" s="109">
        <v>321153223</v>
      </c>
      <c r="M57" s="110">
        <v>331547143</v>
      </c>
      <c r="N57" s="128"/>
    </row>
    <row r="58" spans="1:14" ht="12.75" customHeight="1" x14ac:dyDescent="0.25">
      <c r="A58" s="108" t="s">
        <v>624</v>
      </c>
      <c r="B58" s="73"/>
      <c r="C58" s="109"/>
      <c r="D58" s="109">
        <v>0</v>
      </c>
      <c r="E58" s="109">
        <v>0</v>
      </c>
      <c r="F58" s="109">
        <v>0</v>
      </c>
      <c r="G58" s="109">
        <v>0</v>
      </c>
      <c r="H58" s="109"/>
      <c r="I58" s="109"/>
      <c r="J58" s="171">
        <f>SUM(E58:I58)</f>
        <v>0</v>
      </c>
      <c r="K58" s="171">
        <f>IF(D58=0,C58+J58,D58+J58)</f>
        <v>0</v>
      </c>
      <c r="L58" s="109">
        <v>0</v>
      </c>
      <c r="M58" s="110">
        <v>0</v>
      </c>
      <c r="N58" s="128"/>
    </row>
    <row r="59" spans="1:14" ht="12.75" customHeight="1" x14ac:dyDescent="0.25">
      <c r="A59" s="107" t="s">
        <v>625</v>
      </c>
      <c r="B59" s="73"/>
      <c r="C59" s="257">
        <f>SUM(C60:C63)</f>
        <v>564710549</v>
      </c>
      <c r="D59" s="257">
        <f t="shared" ref="D59:M59" si="10">SUM(D60:D63)</f>
        <v>576899549</v>
      </c>
      <c r="E59" s="257">
        <f t="shared" si="10"/>
        <v>0</v>
      </c>
      <c r="F59" s="257">
        <f t="shared" si="10"/>
        <v>0</v>
      </c>
      <c r="G59" s="257">
        <f t="shared" si="10"/>
        <v>0</v>
      </c>
      <c r="H59" s="257">
        <f t="shared" si="10"/>
        <v>30917837</v>
      </c>
      <c r="I59" s="257">
        <f>SUM(I60:I63)</f>
        <v>-53780987</v>
      </c>
      <c r="J59" s="257">
        <f>SUM(J60:J63)</f>
        <v>-22863150</v>
      </c>
      <c r="K59" s="257">
        <f t="shared" si="10"/>
        <v>554036399</v>
      </c>
      <c r="L59" s="257">
        <f t="shared" si="10"/>
        <v>320830569</v>
      </c>
      <c r="M59" s="699">
        <f t="shared" si="10"/>
        <v>233027763</v>
      </c>
      <c r="N59" s="128"/>
    </row>
    <row r="60" spans="1:14" ht="12.75" customHeight="1" x14ac:dyDescent="0.25">
      <c r="A60" s="108" t="s">
        <v>1483</v>
      </c>
      <c r="B60" s="73"/>
      <c r="C60" s="109">
        <v>20200867</v>
      </c>
      <c r="D60" s="109">
        <v>85700867</v>
      </c>
      <c r="E60" s="109">
        <v>0</v>
      </c>
      <c r="F60" s="109">
        <v>0</v>
      </c>
      <c r="G60" s="109"/>
      <c r="H60" s="109">
        <v>7337771</v>
      </c>
      <c r="I60" s="109">
        <v>-6600000</v>
      </c>
      <c r="J60" s="171">
        <f>SUM(E60:I60)</f>
        <v>737771</v>
      </c>
      <c r="K60" s="75">
        <f>IF(D60=0,C60+J60,D60+J60)</f>
        <v>86438638</v>
      </c>
      <c r="L60" s="109">
        <v>28631053</v>
      </c>
      <c r="M60" s="110">
        <v>36942500</v>
      </c>
      <c r="N60" s="128"/>
    </row>
    <row r="61" spans="1:14" ht="12.75" customHeight="1" x14ac:dyDescent="0.25">
      <c r="A61" s="108" t="s">
        <v>1484</v>
      </c>
      <c r="B61" s="73"/>
      <c r="C61" s="109">
        <v>250087332</v>
      </c>
      <c r="D61" s="109">
        <v>250087332</v>
      </c>
      <c r="E61" s="109">
        <v>0</v>
      </c>
      <c r="F61" s="109">
        <v>0</v>
      </c>
      <c r="G61" s="109"/>
      <c r="H61" s="109">
        <v>23324013</v>
      </c>
      <c r="I61" s="109">
        <v>-27885311</v>
      </c>
      <c r="J61" s="171">
        <f>SUM(E61:I61)</f>
        <v>-4561298</v>
      </c>
      <c r="K61" s="75">
        <f>IF(D61=0,C61+J61,D61+J61)</f>
        <v>245526034</v>
      </c>
      <c r="L61" s="109">
        <v>226047583</v>
      </c>
      <c r="M61" s="110">
        <v>192611701</v>
      </c>
      <c r="N61" s="128"/>
    </row>
    <row r="62" spans="1:14" ht="12.75" customHeight="1" x14ac:dyDescent="0.25">
      <c r="A62" s="108" t="s">
        <v>628</v>
      </c>
      <c r="B62" s="73"/>
      <c r="C62" s="111">
        <v>286157000</v>
      </c>
      <c r="D62" s="111">
        <v>209846000</v>
      </c>
      <c r="E62" s="109">
        <v>0</v>
      </c>
      <c r="F62" s="109">
        <v>0</v>
      </c>
      <c r="G62" s="109"/>
      <c r="H62" s="111">
        <v>256053</v>
      </c>
      <c r="I62" s="111">
        <v>3424324</v>
      </c>
      <c r="J62" s="171">
        <f>SUM(E62:I62)</f>
        <v>3680377</v>
      </c>
      <c r="K62" s="75">
        <f>IF(D62=0,C62+J62,D62+J62)</f>
        <v>213526377</v>
      </c>
      <c r="L62" s="111">
        <v>62570202</v>
      </c>
      <c r="M62" s="112">
        <v>0</v>
      </c>
      <c r="N62" s="128"/>
    </row>
    <row r="63" spans="1:14" ht="12.75" customHeight="1" x14ac:dyDescent="0.25">
      <c r="A63" s="108" t="s">
        <v>629</v>
      </c>
      <c r="B63" s="73"/>
      <c r="C63" s="109">
        <v>8265350</v>
      </c>
      <c r="D63" s="109">
        <v>31265350</v>
      </c>
      <c r="E63" s="109">
        <v>0</v>
      </c>
      <c r="F63" s="109">
        <v>0</v>
      </c>
      <c r="G63" s="109">
        <v>0</v>
      </c>
      <c r="H63" s="109">
        <v>0</v>
      </c>
      <c r="I63" s="109">
        <v>-22720000</v>
      </c>
      <c r="J63" s="171">
        <f>SUM(E63:I63)</f>
        <v>-22720000</v>
      </c>
      <c r="K63" s="75">
        <f>IF(D63=0,C63+J63,D63+J63)</f>
        <v>8545350</v>
      </c>
      <c r="L63" s="109">
        <v>3581731</v>
      </c>
      <c r="M63" s="110">
        <v>3473562</v>
      </c>
      <c r="N63" s="128"/>
    </row>
    <row r="64" spans="1:14" ht="12.75" customHeight="1" x14ac:dyDescent="0.25">
      <c r="A64" s="107" t="s">
        <v>630</v>
      </c>
      <c r="B64" s="73"/>
      <c r="C64" s="109">
        <v>0</v>
      </c>
      <c r="D64" s="109">
        <v>0</v>
      </c>
      <c r="E64" s="109">
        <v>0</v>
      </c>
      <c r="F64" s="109">
        <v>0</v>
      </c>
      <c r="G64" s="109">
        <v>0</v>
      </c>
      <c r="H64" s="109"/>
      <c r="I64" s="109">
        <v>0</v>
      </c>
      <c r="J64" s="171">
        <f>SUM(E64:I64)</f>
        <v>0</v>
      </c>
      <c r="K64" s="75">
        <f>IF(D64=0,C64+J64,D64+J64)</f>
        <v>0</v>
      </c>
      <c r="L64" s="109">
        <v>0</v>
      </c>
      <c r="M64" s="113">
        <v>0</v>
      </c>
      <c r="N64" s="128"/>
    </row>
    <row r="65" spans="1:14" ht="12.75" customHeight="1" x14ac:dyDescent="0.25">
      <c r="A65" s="1224" t="s">
        <v>1485</v>
      </c>
      <c r="B65" s="79">
        <v>3</v>
      </c>
      <c r="C65" s="680">
        <f>C45+C49+C55+C59+C64</f>
        <v>1201498682</v>
      </c>
      <c r="D65" s="678">
        <f t="shared" ref="D65:M65" si="11">D45+D49+D55+D59+D64</f>
        <v>1231141682</v>
      </c>
      <c r="E65" s="678">
        <f t="shared" si="11"/>
        <v>0</v>
      </c>
      <c r="F65" s="678">
        <f t="shared" si="11"/>
        <v>0</v>
      </c>
      <c r="G65" s="678">
        <f t="shared" si="11"/>
        <v>0</v>
      </c>
      <c r="H65" s="678">
        <f t="shared" si="11"/>
        <v>62291861</v>
      </c>
      <c r="I65" s="678">
        <f>I45+I49+I55+I59+I64</f>
        <v>-256402898</v>
      </c>
      <c r="J65" s="678">
        <f t="shared" si="11"/>
        <v>-194111037</v>
      </c>
      <c r="K65" s="678">
        <f t="shared" si="11"/>
        <v>1037030645</v>
      </c>
      <c r="L65" s="678">
        <f t="shared" si="11"/>
        <v>728151750</v>
      </c>
      <c r="M65" s="679">
        <f t="shared" si="11"/>
        <v>641813437</v>
      </c>
      <c r="N65" s="128"/>
    </row>
    <row r="66" spans="1:14" ht="5.0999999999999996" customHeight="1" x14ac:dyDescent="0.25">
      <c r="A66" s="750"/>
      <c r="B66" s="73"/>
      <c r="C66" s="74"/>
      <c r="D66" s="75"/>
      <c r="E66" s="75"/>
      <c r="F66" s="75"/>
      <c r="G66" s="75"/>
      <c r="H66" s="75"/>
      <c r="I66" s="75"/>
      <c r="J66" s="75"/>
      <c r="K66" s="75"/>
      <c r="L66" s="75"/>
      <c r="M66" s="76"/>
      <c r="N66" s="128"/>
    </row>
    <row r="67" spans="1:14" ht="12.75" customHeight="1" x14ac:dyDescent="0.25">
      <c r="A67" s="126" t="s">
        <v>665</v>
      </c>
      <c r="B67" s="73"/>
      <c r="C67" s="74"/>
      <c r="D67" s="75"/>
      <c r="E67" s="75"/>
      <c r="F67" s="75"/>
      <c r="G67" s="75"/>
      <c r="H67" s="75"/>
      <c r="I67" s="75"/>
      <c r="J67" s="75"/>
      <c r="K67" s="75"/>
      <c r="L67" s="75"/>
      <c r="M67" s="76"/>
      <c r="N67" s="128"/>
    </row>
    <row r="68" spans="1:14" ht="12.75" customHeight="1" x14ac:dyDescent="0.25">
      <c r="A68" s="163" t="s">
        <v>666</v>
      </c>
      <c r="B68" s="73"/>
      <c r="C68" s="130">
        <f>'B4-FinPerf RE'!C40</f>
        <v>874054850</v>
      </c>
      <c r="D68" s="109">
        <f>'B4-FinPerf RE'!D40</f>
        <v>773197850</v>
      </c>
      <c r="E68" s="109">
        <f>'B4-FinPerf RE'!E40</f>
        <v>0</v>
      </c>
      <c r="F68" s="109">
        <f>'B4-FinPerf RE'!F40</f>
        <v>0</v>
      </c>
      <c r="G68" s="109">
        <f>'B4-FinPerf RE'!G40</f>
        <v>0</v>
      </c>
      <c r="H68" s="109">
        <f>'B4-FinPerf RE'!H40</f>
        <v>62291861</v>
      </c>
      <c r="I68" s="109">
        <v>-8282371</v>
      </c>
      <c r="J68" s="171">
        <f>SUM(E68:I68)</f>
        <v>54009490</v>
      </c>
      <c r="K68" s="75">
        <f>IF(D68=0,C68+J68,D68+J68)</f>
        <v>827207340</v>
      </c>
      <c r="L68" s="109">
        <v>623401750</v>
      </c>
      <c r="M68" s="110">
        <v>526841450</v>
      </c>
      <c r="N68" s="128"/>
    </row>
    <row r="69" spans="1:14" ht="12.75" customHeight="1" x14ac:dyDescent="0.25">
      <c r="A69" s="163" t="s">
        <v>667</v>
      </c>
      <c r="B69" s="73"/>
      <c r="C69" s="130">
        <v>0</v>
      </c>
      <c r="D69" s="109">
        <v>0</v>
      </c>
      <c r="E69" s="109">
        <v>0</v>
      </c>
      <c r="F69" s="109">
        <v>0</v>
      </c>
      <c r="G69" s="109">
        <v>0</v>
      </c>
      <c r="H69" s="109">
        <v>0</v>
      </c>
      <c r="I69" s="109">
        <v>0</v>
      </c>
      <c r="J69" s="171">
        <f>SUM(E69:I69)</f>
        <v>0</v>
      </c>
      <c r="K69" s="75">
        <f>IF(D69=0,C69+J69,D69+J69)</f>
        <v>0</v>
      </c>
      <c r="L69" s="109">
        <v>0</v>
      </c>
      <c r="M69" s="110">
        <v>0</v>
      </c>
      <c r="N69" s="128"/>
    </row>
    <row r="70" spans="1:14" ht="12.75" customHeight="1" x14ac:dyDescent="0.25">
      <c r="A70" s="163" t="s">
        <v>668</v>
      </c>
      <c r="B70" s="73"/>
      <c r="C70" s="130">
        <v>0</v>
      </c>
      <c r="D70" s="109">
        <v>0</v>
      </c>
      <c r="E70" s="109">
        <v>0</v>
      </c>
      <c r="F70" s="109">
        <v>0</v>
      </c>
      <c r="G70" s="109">
        <v>0</v>
      </c>
      <c r="H70" s="109">
        <v>0</v>
      </c>
      <c r="I70" s="109">
        <v>0</v>
      </c>
      <c r="J70" s="171">
        <f>SUM(E70:I70)</f>
        <v>0</v>
      </c>
      <c r="K70" s="75">
        <f>IF(D70=0,C70+J70,D70+J70)</f>
        <v>0</v>
      </c>
      <c r="L70" s="109">
        <v>0</v>
      </c>
      <c r="M70" s="110">
        <v>0</v>
      </c>
      <c r="N70" s="128"/>
    </row>
    <row r="71" spans="1:14" ht="43.15" customHeight="1" x14ac:dyDescent="0.25">
      <c r="A71" s="1333" t="str">
        <f>'B4-FinPerf RE'!A41</f>
        <v>Transfers and subsidies - capital (monetary allocations) (National / Provincial Departmental Agencies, Households, Non-profit Institutions, Private Enterprises, Public Corporatons, Higher Educational Institutions)</v>
      </c>
      <c r="B71" s="73"/>
      <c r="C71" s="130">
        <v>1500000</v>
      </c>
      <c r="D71" s="109">
        <v>1500000</v>
      </c>
      <c r="E71" s="109">
        <v>0</v>
      </c>
      <c r="F71" s="109">
        <v>0</v>
      </c>
      <c r="G71" s="109">
        <v>0</v>
      </c>
      <c r="H71" s="109">
        <v>0</v>
      </c>
      <c r="I71" s="109">
        <v>0</v>
      </c>
      <c r="J71" s="171">
        <f>SUM(E71:I71)</f>
        <v>0</v>
      </c>
      <c r="K71" s="75">
        <f>IF(D71=0,C71+J71,D71+J71)</f>
        <v>1500000</v>
      </c>
      <c r="L71" s="109">
        <v>4750000</v>
      </c>
      <c r="M71" s="110">
        <v>4750000</v>
      </c>
      <c r="N71" s="128"/>
    </row>
    <row r="72" spans="1:14" ht="12.75" customHeight="1" x14ac:dyDescent="0.25">
      <c r="A72" s="164" t="s">
        <v>570</v>
      </c>
      <c r="B72" s="73">
        <v>4</v>
      </c>
      <c r="C72" s="150">
        <f t="shared" ref="C72:M72" si="12">SUM(C68:C71)</f>
        <v>875554850</v>
      </c>
      <c r="D72" s="151">
        <f t="shared" si="12"/>
        <v>774697850</v>
      </c>
      <c r="E72" s="151">
        <f t="shared" si="12"/>
        <v>0</v>
      </c>
      <c r="F72" s="151">
        <f t="shared" si="12"/>
        <v>0</v>
      </c>
      <c r="G72" s="151">
        <f t="shared" si="12"/>
        <v>0</v>
      </c>
      <c r="H72" s="151">
        <f t="shared" si="12"/>
        <v>62291861</v>
      </c>
      <c r="I72" s="151">
        <f t="shared" si="12"/>
        <v>-8282371</v>
      </c>
      <c r="J72" s="151">
        <f t="shared" si="12"/>
        <v>54009490</v>
      </c>
      <c r="K72" s="151">
        <f t="shared" si="12"/>
        <v>828707340</v>
      </c>
      <c r="L72" s="151">
        <f t="shared" si="12"/>
        <v>628151750</v>
      </c>
      <c r="M72" s="152">
        <f t="shared" si="12"/>
        <v>531591450</v>
      </c>
      <c r="N72" s="128"/>
    </row>
    <row r="73" spans="1:14" ht="0.95" customHeight="1" x14ac:dyDescent="0.25">
      <c r="A73" s="165"/>
      <c r="B73" s="73"/>
      <c r="C73" s="131"/>
      <c r="D73" s="132"/>
      <c r="E73" s="132"/>
      <c r="F73" s="132"/>
      <c r="G73" s="132"/>
      <c r="H73" s="132"/>
      <c r="I73" s="132"/>
      <c r="J73" s="132"/>
      <c r="K73" s="132"/>
      <c r="L73" s="132"/>
      <c r="M73" s="133"/>
    </row>
    <row r="74" spans="1:14" ht="12.75" customHeight="1" x14ac:dyDescent="0.25">
      <c r="A74" s="165" t="s">
        <v>576</v>
      </c>
      <c r="B74" s="73"/>
      <c r="C74" s="130">
        <v>234922529</v>
      </c>
      <c r="D74" s="109">
        <v>234922529</v>
      </c>
      <c r="E74" s="109">
        <v>0</v>
      </c>
      <c r="F74" s="109">
        <v>0</v>
      </c>
      <c r="G74" s="109">
        <v>0</v>
      </c>
      <c r="H74" s="109">
        <v>0</v>
      </c>
      <c r="I74" s="109">
        <v>-234922529</v>
      </c>
      <c r="J74" s="171">
        <f>SUM(E74:I74)</f>
        <v>-234922529</v>
      </c>
      <c r="K74" s="75">
        <f>IF(D74=0,C74+J74,D74+J74)</f>
        <v>0</v>
      </c>
      <c r="L74" s="109">
        <v>0</v>
      </c>
      <c r="M74" s="110">
        <v>0</v>
      </c>
    </row>
    <row r="75" spans="1:14" ht="12.75" customHeight="1" x14ac:dyDescent="0.25">
      <c r="A75" s="165" t="s">
        <v>577</v>
      </c>
      <c r="B75" s="73"/>
      <c r="C75" s="130">
        <f>91021295+8</f>
        <v>91021303</v>
      </c>
      <c r="D75" s="109">
        <v>221521303</v>
      </c>
      <c r="E75" s="109">
        <v>0</v>
      </c>
      <c r="F75" s="109">
        <v>0</v>
      </c>
      <c r="G75" s="109">
        <v>0</v>
      </c>
      <c r="H75" s="109">
        <v>0</v>
      </c>
      <c r="I75" s="109">
        <v>-13197998</v>
      </c>
      <c r="J75" s="171">
        <f>SUM(E75:I75)</f>
        <v>-13197998</v>
      </c>
      <c r="K75" s="75">
        <f>IF(D75=0,C75+J75,D75+J75)</f>
        <v>208323305</v>
      </c>
      <c r="L75" s="109">
        <v>100000000.00000004</v>
      </c>
      <c r="M75" s="110">
        <v>110221987</v>
      </c>
    </row>
    <row r="76" spans="1:14" ht="12.75" customHeight="1" x14ac:dyDescent="0.25">
      <c r="A76" s="155" t="s">
        <v>669</v>
      </c>
      <c r="B76" s="156"/>
      <c r="C76" s="157">
        <f>+C72+C74+C75</f>
        <v>1201498682</v>
      </c>
      <c r="D76" s="117">
        <f t="shared" ref="D76:M76" si="13">+D72+D74+D75</f>
        <v>1231141682</v>
      </c>
      <c r="E76" s="117">
        <f t="shared" si="13"/>
        <v>0</v>
      </c>
      <c r="F76" s="117">
        <f t="shared" si="13"/>
        <v>0</v>
      </c>
      <c r="G76" s="117">
        <f t="shared" si="13"/>
        <v>0</v>
      </c>
      <c r="H76" s="117">
        <f t="shared" si="13"/>
        <v>62291861</v>
      </c>
      <c r="I76" s="117">
        <f t="shared" si="13"/>
        <v>-256402898</v>
      </c>
      <c r="J76" s="117">
        <f t="shared" si="13"/>
        <v>-194111037</v>
      </c>
      <c r="K76" s="117">
        <f t="shared" si="13"/>
        <v>1037030645</v>
      </c>
      <c r="L76" s="117">
        <f t="shared" si="13"/>
        <v>728151750</v>
      </c>
      <c r="M76" s="118">
        <f t="shared" si="13"/>
        <v>641813437</v>
      </c>
    </row>
    <row r="77" spans="1:14" ht="12.75" customHeight="1" x14ac:dyDescent="0.25">
      <c r="A77" s="158" t="str">
        <f>head27a</f>
        <v>References</v>
      </c>
      <c r="B77" s="93"/>
      <c r="C77" s="96"/>
      <c r="D77" s="96"/>
      <c r="E77" s="96"/>
      <c r="F77" s="96"/>
      <c r="G77" s="96"/>
      <c r="H77" s="96"/>
      <c r="I77" s="96"/>
      <c r="J77" s="96"/>
      <c r="K77" s="96"/>
      <c r="L77" s="96"/>
      <c r="M77" s="96"/>
    </row>
    <row r="78" spans="1:14" ht="12.75" customHeight="1" x14ac:dyDescent="0.25">
      <c r="A78" s="120" t="s">
        <v>1039</v>
      </c>
      <c r="B78" s="93"/>
      <c r="C78" s="96"/>
      <c r="D78" s="96"/>
      <c r="E78" s="96"/>
      <c r="F78" s="96"/>
      <c r="G78" s="96"/>
      <c r="H78" s="96"/>
      <c r="I78" s="96"/>
      <c r="J78" s="96"/>
      <c r="K78" s="96"/>
      <c r="L78" s="96"/>
      <c r="M78" s="96"/>
    </row>
    <row r="79" spans="1:14" ht="13.5" customHeight="1" x14ac:dyDescent="0.25">
      <c r="A79" s="1419" t="s">
        <v>1040</v>
      </c>
      <c r="B79" s="1419"/>
      <c r="C79" s="1419"/>
      <c r="D79" s="1419"/>
      <c r="E79" s="1419"/>
      <c r="F79" s="1419"/>
      <c r="G79" s="1419"/>
      <c r="H79" s="1419"/>
      <c r="I79" s="1419"/>
      <c r="J79" s="1419"/>
      <c r="K79" s="1419"/>
      <c r="L79" s="1419"/>
      <c r="M79" s="1419"/>
    </row>
    <row r="80" spans="1:14" ht="12.75" customHeight="1" x14ac:dyDescent="0.25">
      <c r="A80" s="1420" t="s">
        <v>1136</v>
      </c>
      <c r="B80" s="1420"/>
      <c r="C80" s="1420"/>
      <c r="D80" s="1420"/>
      <c r="E80" s="1420"/>
      <c r="F80" s="1420"/>
      <c r="G80" s="1420"/>
      <c r="H80" s="1420"/>
      <c r="I80" s="1420"/>
      <c r="J80" s="1420"/>
      <c r="K80" s="1420"/>
      <c r="L80" s="1420"/>
      <c r="M80" s="166"/>
    </row>
    <row r="81" spans="1:13" ht="12.75" customHeight="1" x14ac:dyDescent="0.25">
      <c r="A81" s="1421" t="s">
        <v>1137</v>
      </c>
      <c r="B81" s="1421"/>
      <c r="C81" s="1421"/>
      <c r="D81" s="1421"/>
      <c r="E81" s="1421"/>
      <c r="F81" s="1421"/>
      <c r="G81" s="1421"/>
      <c r="H81" s="1421"/>
      <c r="I81" s="1421"/>
      <c r="J81" s="1421"/>
      <c r="K81" s="1421"/>
      <c r="L81" s="1421"/>
      <c r="M81" s="166"/>
    </row>
    <row r="82" spans="1:13" ht="12.75" customHeight="1" x14ac:dyDescent="0.25">
      <c r="A82" s="1408" t="s">
        <v>987</v>
      </c>
      <c r="B82" s="1408"/>
      <c r="C82" s="1408"/>
      <c r="D82" s="1408"/>
      <c r="E82" s="1408"/>
      <c r="F82" s="1408"/>
      <c r="G82" s="1408"/>
      <c r="H82" s="1408"/>
      <c r="I82" s="1408"/>
      <c r="J82" s="1408"/>
      <c r="K82" s="1408"/>
      <c r="L82" s="1408"/>
      <c r="M82" s="1408"/>
    </row>
    <row r="83" spans="1:13" ht="12.75" customHeight="1" x14ac:dyDescent="0.25">
      <c r="A83" s="1408" t="s">
        <v>1027</v>
      </c>
      <c r="B83" s="1408"/>
      <c r="C83" s="1408"/>
      <c r="D83" s="1408"/>
      <c r="E83" s="1408"/>
      <c r="F83" s="1408"/>
      <c r="G83" s="1408"/>
      <c r="H83" s="1408"/>
      <c r="I83" s="1408"/>
      <c r="J83" s="1408"/>
      <c r="K83" s="1408"/>
      <c r="L83" s="1408"/>
      <c r="M83" s="1408"/>
    </row>
    <row r="84" spans="1:13" ht="12.75" customHeight="1" x14ac:dyDescent="0.25">
      <c r="A84" s="1402" t="s">
        <v>1028</v>
      </c>
      <c r="B84" s="1402"/>
      <c r="C84" s="1402"/>
      <c r="D84" s="1402"/>
      <c r="E84" s="1402"/>
      <c r="F84" s="1402"/>
      <c r="G84" s="1402"/>
      <c r="H84" s="1402"/>
      <c r="I84" s="1402"/>
      <c r="J84" s="1402"/>
      <c r="K84" s="1402"/>
      <c r="L84" s="1402"/>
      <c r="M84" s="1402"/>
    </row>
    <row r="85" spans="1:13" ht="12.75" customHeight="1" x14ac:dyDescent="0.25">
      <c r="A85" s="1402" t="s">
        <v>1029</v>
      </c>
      <c r="B85" s="1402"/>
      <c r="C85" s="1402"/>
      <c r="D85" s="1402"/>
      <c r="E85" s="1402"/>
      <c r="F85" s="1402"/>
      <c r="G85" s="1402"/>
      <c r="H85" s="1402"/>
      <c r="I85" s="1402"/>
      <c r="J85" s="1402"/>
      <c r="K85" s="1402"/>
      <c r="L85" s="1402"/>
      <c r="M85" s="1402"/>
    </row>
    <row r="86" spans="1:13" ht="12.75" customHeight="1" x14ac:dyDescent="0.25">
      <c r="A86" s="99" t="s">
        <v>1025</v>
      </c>
      <c r="B86" s="93"/>
      <c r="C86" s="96"/>
      <c r="D86" s="96"/>
      <c r="E86" s="96"/>
      <c r="F86" s="96"/>
      <c r="G86" s="96"/>
      <c r="H86" s="96"/>
      <c r="I86" s="96"/>
      <c r="J86" s="96"/>
      <c r="K86" s="96"/>
      <c r="L86" s="96"/>
      <c r="M86" s="96"/>
    </row>
    <row r="87" spans="1:13" ht="26.25" customHeight="1" x14ac:dyDescent="0.25">
      <c r="A87" s="1402" t="s">
        <v>1026</v>
      </c>
      <c r="B87" s="1402"/>
      <c r="C87" s="1402"/>
      <c r="D87" s="1402"/>
      <c r="E87" s="1402"/>
      <c r="F87" s="1402"/>
      <c r="G87" s="1402"/>
      <c r="H87" s="1402"/>
      <c r="I87" s="1402"/>
      <c r="J87" s="1402"/>
      <c r="K87" s="1402"/>
      <c r="L87" s="1402"/>
      <c r="M87" s="1402"/>
    </row>
    <row r="88" spans="1:13" ht="12.75" customHeight="1" x14ac:dyDescent="0.25">
      <c r="A88" s="99" t="s">
        <v>636</v>
      </c>
      <c r="B88" s="93"/>
      <c r="C88" s="96"/>
      <c r="D88" s="96"/>
      <c r="E88" s="96"/>
      <c r="F88" s="96"/>
      <c r="G88" s="96"/>
      <c r="H88" s="96"/>
      <c r="I88" s="96"/>
      <c r="J88" s="96"/>
      <c r="K88" s="96"/>
      <c r="L88" s="96"/>
      <c r="M88" s="96"/>
    </row>
    <row r="89" spans="1:13" ht="12.75" customHeight="1" x14ac:dyDescent="0.25">
      <c r="A89" s="1402" t="s">
        <v>637</v>
      </c>
      <c r="B89" s="1402"/>
      <c r="C89" s="1402"/>
      <c r="D89" s="1402"/>
      <c r="E89" s="1402"/>
      <c r="F89" s="1402"/>
      <c r="G89" s="1402"/>
      <c r="H89" s="1402"/>
      <c r="I89" s="1402"/>
      <c r="J89" s="1402"/>
      <c r="K89" s="1402"/>
      <c r="L89" s="1402"/>
      <c r="M89" s="1402"/>
    </row>
    <row r="90" spans="1:13" ht="11.25" customHeight="1" x14ac:dyDescent="0.25">
      <c r="A90" s="48"/>
      <c r="B90" s="121"/>
      <c r="C90" s="53"/>
      <c r="D90" s="53"/>
      <c r="E90" s="53"/>
      <c r="F90" s="53"/>
      <c r="G90" s="53"/>
      <c r="H90" s="53"/>
      <c r="I90" s="53"/>
      <c r="J90" s="53"/>
      <c r="K90" s="53"/>
      <c r="L90" s="53"/>
      <c r="M90" s="53"/>
    </row>
    <row r="91" spans="1:13" ht="11.25" customHeight="1" x14ac:dyDescent="0.25">
      <c r="A91" s="122" t="s">
        <v>671</v>
      </c>
      <c r="B91" s="93"/>
      <c r="C91" s="167">
        <f>C65-C76</f>
        <v>0</v>
      </c>
      <c r="D91" s="102">
        <f>D65-D76</f>
        <v>0</v>
      </c>
      <c r="E91" s="102">
        <f>E65-E76</f>
        <v>0</v>
      </c>
      <c r="F91" s="102"/>
      <c r="G91" s="102"/>
      <c r="H91" s="102">
        <f>H65-H76</f>
        <v>0</v>
      </c>
      <c r="I91" s="102">
        <f>I65-I76</f>
        <v>0</v>
      </c>
      <c r="J91" s="102">
        <f>J65-J76</f>
        <v>0</v>
      </c>
      <c r="K91" s="102">
        <f>K65-K76</f>
        <v>0</v>
      </c>
      <c r="L91" s="102">
        <f>L65-L76</f>
        <v>0</v>
      </c>
      <c r="M91" s="167">
        <f>K23-K76</f>
        <v>-1037030645</v>
      </c>
    </row>
    <row r="92" spans="1:13" ht="11.25" customHeight="1" x14ac:dyDescent="0.25">
      <c r="C92" s="167"/>
      <c r="D92" s="168"/>
      <c r="E92" s="168"/>
      <c r="F92" s="168"/>
      <c r="G92" s="168"/>
      <c r="H92" s="168"/>
      <c r="I92" s="168"/>
      <c r="J92" s="168"/>
      <c r="K92" s="168"/>
      <c r="L92" s="168"/>
      <c r="M92" s="167"/>
    </row>
    <row r="93" spans="1:13" ht="11.25" customHeight="1" x14ac:dyDescent="0.25"/>
    <row r="94" spans="1:13" ht="11.25" customHeight="1" x14ac:dyDescent="0.25"/>
    <row r="95" spans="1:13" ht="11.25" customHeight="1" x14ac:dyDescent="0.25"/>
    <row r="96" spans="1:13" ht="11.25" customHeight="1" x14ac:dyDescent="0.25"/>
    <row r="97" ht="11.25" customHeight="1" x14ac:dyDescent="0.25"/>
    <row r="98" ht="11.25" customHeight="1" x14ac:dyDescent="0.25"/>
    <row r="99" ht="11.25" customHeight="1" x14ac:dyDescent="0.25"/>
    <row r="100" ht="11.25" customHeight="1" x14ac:dyDescent="0.25"/>
    <row r="101" ht="11.25" customHeight="1" x14ac:dyDescent="0.25"/>
    <row r="102" ht="11.25" customHeight="1" x14ac:dyDescent="0.25"/>
    <row r="103" ht="11.25" customHeight="1" x14ac:dyDescent="0.25"/>
    <row r="104" ht="11.25" customHeight="1" x14ac:dyDescent="0.25"/>
    <row r="105" ht="11.25" customHeight="1" x14ac:dyDescent="0.25"/>
    <row r="106" ht="11.25" customHeight="1" x14ac:dyDescent="0.25"/>
    <row r="107" ht="11.25" customHeight="1" x14ac:dyDescent="0.25"/>
    <row r="108" ht="11.25" customHeight="1" x14ac:dyDescent="0.25"/>
    <row r="109" ht="11.25" customHeight="1" x14ac:dyDescent="0.25"/>
    <row r="110" ht="11.25" customHeight="1" x14ac:dyDescent="0.25"/>
    <row r="111" ht="11.25" customHeight="1" x14ac:dyDescent="0.25"/>
    <row r="112" ht="11.25" customHeight="1" x14ac:dyDescent="0.25"/>
    <row r="113" ht="11.25" customHeight="1" x14ac:dyDescent="0.25"/>
    <row r="114" ht="11.25" customHeight="1" x14ac:dyDescent="0.25"/>
    <row r="115" ht="11.25" customHeight="1" x14ac:dyDescent="0.25"/>
    <row r="116" ht="11.25" customHeight="1" x14ac:dyDescent="0.25"/>
    <row r="117" ht="11.25" customHeight="1" x14ac:dyDescent="0.25"/>
    <row r="118" ht="11.25" customHeight="1" x14ac:dyDescent="0.25"/>
    <row r="119" ht="11.25" customHeight="1" x14ac:dyDescent="0.25"/>
    <row r="120" ht="11.25" customHeight="1" x14ac:dyDescent="0.25"/>
    <row r="121" ht="11.25" customHeight="1" x14ac:dyDescent="0.25"/>
    <row r="122" ht="11.25" customHeight="1" x14ac:dyDescent="0.25"/>
    <row r="123" ht="11.25" customHeight="1" x14ac:dyDescent="0.25"/>
    <row r="124" ht="11.25" customHeight="1" x14ac:dyDescent="0.25"/>
    <row r="125" ht="11.25" customHeight="1" x14ac:dyDescent="0.25"/>
    <row r="126" ht="11.25" customHeight="1" x14ac:dyDescent="0.25"/>
  </sheetData>
  <sheetProtection password="C646" sheet="1" objects="1" scenarios="1"/>
  <mergeCells count="12">
    <mergeCell ref="A89:M89"/>
    <mergeCell ref="A2:A3"/>
    <mergeCell ref="B2:B3"/>
    <mergeCell ref="A79:M79"/>
    <mergeCell ref="C2:K2"/>
    <mergeCell ref="A80:L80"/>
    <mergeCell ref="A81:L81"/>
    <mergeCell ref="A82:M82"/>
    <mergeCell ref="A83:M83"/>
    <mergeCell ref="A84:M84"/>
    <mergeCell ref="A85:M85"/>
    <mergeCell ref="A87:M87"/>
  </mergeCells>
  <phoneticPr fontId="4" type="noConversion"/>
  <printOptions horizontalCentered="1"/>
  <pageMargins left="0.35433070866141736" right="0.15748031496062992" top="0.78740157480314965" bottom="0.59055118110236227" header="0.51181102362204722" footer="0.39370078740157483"/>
  <pageSetup paperSize="9" scale="69" orientation="portrait" r:id="rId1"/>
  <headerFooter alignWithMargins="0"/>
  <ignoredErrors>
    <ignoredError sqref="J55 K66:K72 J66:J67 K60:K64 K49 K51:K58 J72"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44"/>
  </sheetPr>
  <dimension ref="A1:R370"/>
  <sheetViews>
    <sheetView showGridLines="0" showZeros="0" zoomScaleNormal="100" workbookViewId="0">
      <pane ySplit="5" topLeftCell="A349" activePane="bottomLeft" state="frozen"/>
      <selection pane="bottomLeft" activeCell="Q296" sqref="Q296"/>
    </sheetView>
  </sheetViews>
  <sheetFormatPr defaultRowHeight="12.75" x14ac:dyDescent="0.2"/>
  <cols>
    <col min="1" max="1" width="27.42578125" style="868" customWidth="1"/>
    <col min="2" max="2" width="5.28515625" style="868" customWidth="1"/>
    <col min="3" max="13" width="10.140625" customWidth="1"/>
  </cols>
  <sheetData>
    <row r="1" spans="1:13" ht="13.5" x14ac:dyDescent="0.25">
      <c r="A1" s="851" t="str">
        <f>muni&amp;" - "&amp;_ADJ5&amp;" - B"&amp;" - "&amp;Date</f>
        <v>LIM354 Polokwane - Table B5 Adjustments Capital Expenditure Budget by vote and funding - B - 2020</v>
      </c>
      <c r="B1" s="852"/>
      <c r="C1" s="58"/>
      <c r="D1" s="5"/>
      <c r="E1" s="5"/>
      <c r="F1" s="5"/>
      <c r="G1" s="5"/>
      <c r="H1" s="5"/>
      <c r="I1" s="5"/>
      <c r="J1" s="5"/>
      <c r="K1" s="5"/>
      <c r="L1" s="5"/>
      <c r="M1" s="5"/>
    </row>
    <row r="2" spans="1:13" ht="25.5" x14ac:dyDescent="0.2">
      <c r="A2" s="1422" t="str">
        <f>Vdesc</f>
        <v>Vote Description</v>
      </c>
      <c r="B2" s="1424" t="str">
        <f>head27</f>
        <v>Ref</v>
      </c>
      <c r="C2" s="1403" t="str">
        <f>Head2</f>
        <v>Budget Year 2020/21</v>
      </c>
      <c r="D2" s="1404"/>
      <c r="E2" s="1404"/>
      <c r="F2" s="1404"/>
      <c r="G2" s="1404"/>
      <c r="H2" s="1404"/>
      <c r="I2" s="1404"/>
      <c r="J2" s="1404"/>
      <c r="K2" s="1404"/>
      <c r="L2" s="60" t="str">
        <f>Head10</f>
        <v>Budget Year +1 2021/22</v>
      </c>
      <c r="M2" s="61" t="str">
        <f>Head11</f>
        <v>Budget Year +2 2022/23</v>
      </c>
    </row>
    <row r="3" spans="1:13" ht="25.5" x14ac:dyDescent="0.2">
      <c r="A3" s="1423"/>
      <c r="B3" s="1425"/>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63" t="str">
        <f>Head7</f>
        <v>Adjusted Budget</v>
      </c>
    </row>
    <row r="4" spans="1:13" x14ac:dyDescent="0.2">
      <c r="A4" s="853" t="s">
        <v>602</v>
      </c>
      <c r="B4" s="1425"/>
      <c r="C4" s="65"/>
      <c r="D4" s="15">
        <v>3</v>
      </c>
      <c r="E4" s="15">
        <v>4</v>
      </c>
      <c r="F4" s="15">
        <v>5</v>
      </c>
      <c r="G4" s="15">
        <v>6</v>
      </c>
      <c r="H4" s="15">
        <v>7</v>
      </c>
      <c r="I4" s="15">
        <v>8</v>
      </c>
      <c r="J4" s="15">
        <v>9</v>
      </c>
      <c r="K4" s="15">
        <v>10</v>
      </c>
      <c r="L4" s="15"/>
      <c r="M4" s="17"/>
    </row>
    <row r="5" spans="1:13" ht="13.5" x14ac:dyDescent="0.25">
      <c r="A5" s="854" t="s">
        <v>603</v>
      </c>
      <c r="B5" s="1426"/>
      <c r="C5" s="67" t="s">
        <v>547</v>
      </c>
      <c r="D5" s="68" t="s">
        <v>548</v>
      </c>
      <c r="E5" s="68" t="s">
        <v>549</v>
      </c>
      <c r="F5" s="69" t="s">
        <v>550</v>
      </c>
      <c r="G5" s="69" t="s">
        <v>551</v>
      </c>
      <c r="H5" s="69" t="s">
        <v>552</v>
      </c>
      <c r="I5" s="70" t="s">
        <v>553</v>
      </c>
      <c r="J5" s="70" t="s">
        <v>554</v>
      </c>
      <c r="K5" s="70" t="s">
        <v>555</v>
      </c>
      <c r="L5" s="70"/>
      <c r="M5" s="71"/>
    </row>
    <row r="6" spans="1:13" ht="13.5" x14ac:dyDescent="0.25">
      <c r="A6" s="855" t="s">
        <v>1013</v>
      </c>
      <c r="B6" s="856"/>
      <c r="C6" s="731"/>
      <c r="D6" s="730"/>
      <c r="E6" s="730"/>
      <c r="F6" s="730"/>
      <c r="G6" s="730"/>
      <c r="H6" s="730"/>
      <c r="I6" s="730"/>
      <c r="J6" s="730"/>
      <c r="K6" s="730"/>
      <c r="L6" s="730"/>
      <c r="M6" s="759"/>
    </row>
    <row r="7" spans="1:13" ht="13.5" x14ac:dyDescent="0.25">
      <c r="A7" s="855" t="s">
        <v>1094</v>
      </c>
      <c r="B7" s="857">
        <v>2</v>
      </c>
      <c r="C7" s="767"/>
      <c r="D7" s="768"/>
      <c r="E7" s="768"/>
      <c r="F7" s="768"/>
      <c r="G7" s="768"/>
      <c r="H7" s="768"/>
      <c r="I7" s="768"/>
      <c r="J7" s="768"/>
      <c r="K7" s="768"/>
      <c r="L7" s="768"/>
      <c r="M7" s="769"/>
    </row>
    <row r="8" spans="1:13" ht="13.5" x14ac:dyDescent="0.25">
      <c r="A8" s="858" t="str">
        <f>'Org structure'!A2</f>
        <v>Vote 1 - CHIEF OPERATION OFFICE</v>
      </c>
      <c r="B8" s="859"/>
      <c r="C8" s="733">
        <f>SUM(C9:C18)</f>
        <v>0</v>
      </c>
      <c r="D8" s="732">
        <f t="shared" ref="D8:I8" si="0">SUM(D9:D18)</f>
        <v>0</v>
      </c>
      <c r="E8" s="732">
        <f t="shared" si="0"/>
        <v>0</v>
      </c>
      <c r="F8" s="732">
        <f t="shared" si="0"/>
        <v>0</v>
      </c>
      <c r="G8" s="732">
        <f t="shared" si="0"/>
        <v>0</v>
      </c>
      <c r="H8" s="732">
        <f t="shared" si="0"/>
        <v>0</v>
      </c>
      <c r="I8" s="732">
        <f t="shared" si="0"/>
        <v>0</v>
      </c>
      <c r="J8" s="75">
        <f t="shared" ref="J8:J71" si="1">SUM(E8:I8)</f>
        <v>0</v>
      </c>
      <c r="K8" s="75">
        <f t="shared" ref="K8:K71" si="2">IF(D8=0,C8+J8,D8+J8)</f>
        <v>0</v>
      </c>
      <c r="L8" s="732">
        <f>SUM(L9:L18)</f>
        <v>0</v>
      </c>
      <c r="M8" s="760">
        <f>SUM(M9:M18)</f>
        <v>0</v>
      </c>
    </row>
    <row r="9" spans="1:13" ht="13.5" x14ac:dyDescent="0.25">
      <c r="A9" s="860" t="str">
        <f>'Org structure'!E3</f>
        <v>1.1 - [Name of sub-vote]</v>
      </c>
      <c r="B9" s="857"/>
      <c r="C9" s="735"/>
      <c r="D9" s="734"/>
      <c r="E9" s="734"/>
      <c r="F9" s="734"/>
      <c r="G9" s="734"/>
      <c r="H9" s="734"/>
      <c r="I9" s="734"/>
      <c r="J9" s="75">
        <f t="shared" si="1"/>
        <v>0</v>
      </c>
      <c r="K9" s="75">
        <f t="shared" si="2"/>
        <v>0</v>
      </c>
      <c r="L9" s="734"/>
      <c r="M9" s="736"/>
    </row>
    <row r="10" spans="1:13" ht="13.5" x14ac:dyDescent="0.25">
      <c r="A10" s="860">
        <f>'Org structure'!E4</f>
        <v>0</v>
      </c>
      <c r="B10" s="857"/>
      <c r="C10" s="735"/>
      <c r="D10" s="734"/>
      <c r="E10" s="734"/>
      <c r="F10" s="734"/>
      <c r="G10" s="734"/>
      <c r="H10" s="734"/>
      <c r="I10" s="734"/>
      <c r="J10" s="75">
        <f t="shared" si="1"/>
        <v>0</v>
      </c>
      <c r="K10" s="75">
        <f t="shared" si="2"/>
        <v>0</v>
      </c>
      <c r="L10" s="734"/>
      <c r="M10" s="736"/>
    </row>
    <row r="11" spans="1:13" ht="13.5" x14ac:dyDescent="0.25">
      <c r="A11" s="860">
        <f>'Org structure'!E5</f>
        <v>0</v>
      </c>
      <c r="B11" s="857"/>
      <c r="C11" s="735"/>
      <c r="D11" s="734"/>
      <c r="E11" s="734"/>
      <c r="F11" s="734"/>
      <c r="G11" s="734"/>
      <c r="H11" s="734"/>
      <c r="I11" s="734"/>
      <c r="J11" s="75">
        <f t="shared" si="1"/>
        <v>0</v>
      </c>
      <c r="K11" s="75">
        <f t="shared" si="2"/>
        <v>0</v>
      </c>
      <c r="L11" s="734"/>
      <c r="M11" s="736"/>
    </row>
    <row r="12" spans="1:13" ht="13.5" x14ac:dyDescent="0.25">
      <c r="A12" s="860">
        <f>'Org structure'!E6</f>
        <v>0</v>
      </c>
      <c r="B12" s="857"/>
      <c r="C12" s="735"/>
      <c r="D12" s="734"/>
      <c r="E12" s="734"/>
      <c r="F12" s="734"/>
      <c r="G12" s="734"/>
      <c r="H12" s="734"/>
      <c r="I12" s="734"/>
      <c r="J12" s="75">
        <f t="shared" si="1"/>
        <v>0</v>
      </c>
      <c r="K12" s="75">
        <f t="shared" si="2"/>
        <v>0</v>
      </c>
      <c r="L12" s="734"/>
      <c r="M12" s="736"/>
    </row>
    <row r="13" spans="1:13" ht="13.5" x14ac:dyDescent="0.25">
      <c r="A13" s="860">
        <f>'Org structure'!E7</f>
        <v>0</v>
      </c>
      <c r="B13" s="857"/>
      <c r="C13" s="735"/>
      <c r="D13" s="734"/>
      <c r="E13" s="734"/>
      <c r="F13" s="734"/>
      <c r="G13" s="734"/>
      <c r="H13" s="734"/>
      <c r="I13" s="734"/>
      <c r="J13" s="75">
        <f t="shared" si="1"/>
        <v>0</v>
      </c>
      <c r="K13" s="75">
        <f t="shared" si="2"/>
        <v>0</v>
      </c>
      <c r="L13" s="734"/>
      <c r="M13" s="736"/>
    </row>
    <row r="14" spans="1:13" ht="13.5" x14ac:dyDescent="0.25">
      <c r="A14" s="860">
        <f>'Org structure'!E8</f>
        <v>0</v>
      </c>
      <c r="B14" s="857"/>
      <c r="C14" s="735"/>
      <c r="D14" s="734"/>
      <c r="E14" s="734"/>
      <c r="F14" s="734"/>
      <c r="G14" s="734"/>
      <c r="H14" s="734"/>
      <c r="I14" s="734"/>
      <c r="J14" s="75">
        <f t="shared" si="1"/>
        <v>0</v>
      </c>
      <c r="K14" s="75">
        <f t="shared" si="2"/>
        <v>0</v>
      </c>
      <c r="L14" s="734"/>
      <c r="M14" s="736"/>
    </row>
    <row r="15" spans="1:13" ht="13.5" x14ac:dyDescent="0.25">
      <c r="A15" s="860">
        <f>'Org structure'!E9</f>
        <v>0</v>
      </c>
      <c r="B15" s="857"/>
      <c r="C15" s="735"/>
      <c r="D15" s="734"/>
      <c r="E15" s="734"/>
      <c r="F15" s="734"/>
      <c r="G15" s="734"/>
      <c r="H15" s="734"/>
      <c r="I15" s="734"/>
      <c r="J15" s="75">
        <f t="shared" si="1"/>
        <v>0</v>
      </c>
      <c r="K15" s="75">
        <f t="shared" si="2"/>
        <v>0</v>
      </c>
      <c r="L15" s="734"/>
      <c r="M15" s="736"/>
    </row>
    <row r="16" spans="1:13" ht="13.5" x14ac:dyDescent="0.25">
      <c r="A16" s="860">
        <f>'Org structure'!E10</f>
        <v>0</v>
      </c>
      <c r="B16" s="857"/>
      <c r="C16" s="735"/>
      <c r="D16" s="734"/>
      <c r="E16" s="734"/>
      <c r="F16" s="734"/>
      <c r="G16" s="734"/>
      <c r="H16" s="734"/>
      <c r="I16" s="734"/>
      <c r="J16" s="75">
        <f t="shared" si="1"/>
        <v>0</v>
      </c>
      <c r="K16" s="75">
        <f t="shared" si="2"/>
        <v>0</v>
      </c>
      <c r="L16" s="734"/>
      <c r="M16" s="736"/>
    </row>
    <row r="17" spans="1:13" ht="13.5" x14ac:dyDescent="0.25">
      <c r="A17" s="860">
        <f>'Org structure'!E11</f>
        <v>0</v>
      </c>
      <c r="B17" s="857"/>
      <c r="C17" s="735"/>
      <c r="D17" s="734"/>
      <c r="E17" s="734"/>
      <c r="F17" s="734"/>
      <c r="G17" s="734"/>
      <c r="H17" s="734"/>
      <c r="I17" s="734"/>
      <c r="J17" s="75">
        <f t="shared" si="1"/>
        <v>0</v>
      </c>
      <c r="K17" s="75">
        <f t="shared" si="2"/>
        <v>0</v>
      </c>
      <c r="L17" s="734"/>
      <c r="M17" s="736"/>
    </row>
    <row r="18" spans="1:13" ht="13.5" x14ac:dyDescent="0.25">
      <c r="A18" s="860">
        <f>'Org structure'!E12</f>
        <v>0</v>
      </c>
      <c r="B18" s="857"/>
      <c r="C18" s="735"/>
      <c r="D18" s="734"/>
      <c r="E18" s="734"/>
      <c r="F18" s="734"/>
      <c r="G18" s="734"/>
      <c r="H18" s="734"/>
      <c r="I18" s="734"/>
      <c r="J18" s="75">
        <f t="shared" si="1"/>
        <v>0</v>
      </c>
      <c r="K18" s="75">
        <f t="shared" si="2"/>
        <v>0</v>
      </c>
      <c r="L18" s="734"/>
      <c r="M18" s="736"/>
    </row>
    <row r="19" spans="1:13" ht="13.5" x14ac:dyDescent="0.25">
      <c r="A19" s="858" t="str">
        <f>'Org structure'!A3</f>
        <v>Vote 2 - MUNICIPAL MANAGER'S OFFICE</v>
      </c>
      <c r="B19" s="859"/>
      <c r="C19" s="733">
        <f>SUM(C20:C29)</f>
        <v>0</v>
      </c>
      <c r="D19" s="732">
        <f t="shared" ref="D19:I19" si="3">SUM(D20:D29)</f>
        <v>0</v>
      </c>
      <c r="E19" s="732">
        <f t="shared" si="3"/>
        <v>0</v>
      </c>
      <c r="F19" s="732">
        <f t="shared" si="3"/>
        <v>0</v>
      </c>
      <c r="G19" s="732">
        <f t="shared" si="3"/>
        <v>0</v>
      </c>
      <c r="H19" s="732">
        <f t="shared" si="3"/>
        <v>0</v>
      </c>
      <c r="I19" s="732">
        <f t="shared" si="3"/>
        <v>0</v>
      </c>
      <c r="J19" s="75">
        <f t="shared" si="1"/>
        <v>0</v>
      </c>
      <c r="K19" s="75">
        <f t="shared" si="2"/>
        <v>0</v>
      </c>
      <c r="L19" s="732">
        <f>SUM(L20:L29)</f>
        <v>0</v>
      </c>
      <c r="M19" s="760">
        <f>SUM(M20:M29)</f>
        <v>0</v>
      </c>
    </row>
    <row r="20" spans="1:13" ht="13.5" x14ac:dyDescent="0.25">
      <c r="A20" s="860" t="str">
        <f>'Org structure'!E14</f>
        <v>2.1 - [Name of sub-vote]</v>
      </c>
      <c r="B20" s="857"/>
      <c r="C20" s="735"/>
      <c r="D20" s="734"/>
      <c r="E20" s="734"/>
      <c r="F20" s="734"/>
      <c r="G20" s="734"/>
      <c r="H20" s="734"/>
      <c r="I20" s="734"/>
      <c r="J20" s="75">
        <f t="shared" si="1"/>
        <v>0</v>
      </c>
      <c r="K20" s="75">
        <f t="shared" si="2"/>
        <v>0</v>
      </c>
      <c r="L20" s="734"/>
      <c r="M20" s="736"/>
    </row>
    <row r="21" spans="1:13" ht="13.5" x14ac:dyDescent="0.25">
      <c r="A21" s="860">
        <f>'Org structure'!E15</f>
        <v>0</v>
      </c>
      <c r="B21" s="857"/>
      <c r="C21" s="735"/>
      <c r="D21" s="734"/>
      <c r="E21" s="734"/>
      <c r="F21" s="734"/>
      <c r="G21" s="734"/>
      <c r="H21" s="734"/>
      <c r="I21" s="734"/>
      <c r="J21" s="75">
        <f t="shared" si="1"/>
        <v>0</v>
      </c>
      <c r="K21" s="75">
        <f t="shared" si="2"/>
        <v>0</v>
      </c>
      <c r="L21" s="734"/>
      <c r="M21" s="736"/>
    </row>
    <row r="22" spans="1:13" ht="13.5" x14ac:dyDescent="0.25">
      <c r="A22" s="860">
        <f>'Org structure'!E16</f>
        <v>0</v>
      </c>
      <c r="B22" s="857"/>
      <c r="C22" s="735"/>
      <c r="D22" s="734"/>
      <c r="E22" s="734"/>
      <c r="F22" s="734"/>
      <c r="G22" s="734"/>
      <c r="H22" s="734"/>
      <c r="I22" s="734"/>
      <c r="J22" s="75">
        <f t="shared" si="1"/>
        <v>0</v>
      </c>
      <c r="K22" s="75">
        <f t="shared" si="2"/>
        <v>0</v>
      </c>
      <c r="L22" s="734"/>
      <c r="M22" s="736"/>
    </row>
    <row r="23" spans="1:13" ht="13.5" x14ac:dyDescent="0.25">
      <c r="A23" s="860">
        <f>'Org structure'!E17</f>
        <v>0</v>
      </c>
      <c r="B23" s="857"/>
      <c r="C23" s="735"/>
      <c r="D23" s="734"/>
      <c r="E23" s="734"/>
      <c r="F23" s="734"/>
      <c r="G23" s="734"/>
      <c r="H23" s="734"/>
      <c r="I23" s="734"/>
      <c r="J23" s="75">
        <f t="shared" si="1"/>
        <v>0</v>
      </c>
      <c r="K23" s="75">
        <f t="shared" si="2"/>
        <v>0</v>
      </c>
      <c r="L23" s="734"/>
      <c r="M23" s="736"/>
    </row>
    <row r="24" spans="1:13" ht="13.5" x14ac:dyDescent="0.25">
      <c r="A24" s="860">
        <f>'Org structure'!E18</f>
        <v>0</v>
      </c>
      <c r="B24" s="857"/>
      <c r="C24" s="735"/>
      <c r="D24" s="734"/>
      <c r="E24" s="734"/>
      <c r="F24" s="734"/>
      <c r="G24" s="734"/>
      <c r="H24" s="734"/>
      <c r="I24" s="734"/>
      <c r="J24" s="75">
        <f t="shared" si="1"/>
        <v>0</v>
      </c>
      <c r="K24" s="75">
        <f t="shared" si="2"/>
        <v>0</v>
      </c>
      <c r="L24" s="734"/>
      <c r="M24" s="736"/>
    </row>
    <row r="25" spans="1:13" ht="13.5" x14ac:dyDescent="0.25">
      <c r="A25" s="860">
        <f>'Org structure'!E19</f>
        <v>0</v>
      </c>
      <c r="B25" s="857"/>
      <c r="C25" s="735"/>
      <c r="D25" s="734"/>
      <c r="E25" s="734"/>
      <c r="F25" s="734"/>
      <c r="G25" s="734"/>
      <c r="H25" s="734"/>
      <c r="I25" s="734"/>
      <c r="J25" s="75">
        <f t="shared" si="1"/>
        <v>0</v>
      </c>
      <c r="K25" s="75">
        <f t="shared" si="2"/>
        <v>0</v>
      </c>
      <c r="L25" s="734"/>
      <c r="M25" s="736"/>
    </row>
    <row r="26" spans="1:13" ht="13.5" x14ac:dyDescent="0.25">
      <c r="A26" s="860">
        <f>'Org structure'!E20</f>
        <v>0</v>
      </c>
      <c r="B26" s="857"/>
      <c r="C26" s="735"/>
      <c r="D26" s="734"/>
      <c r="E26" s="734"/>
      <c r="F26" s="734"/>
      <c r="G26" s="734"/>
      <c r="H26" s="734"/>
      <c r="I26" s="734"/>
      <c r="J26" s="75">
        <f t="shared" si="1"/>
        <v>0</v>
      </c>
      <c r="K26" s="75">
        <f t="shared" si="2"/>
        <v>0</v>
      </c>
      <c r="L26" s="734"/>
      <c r="M26" s="736"/>
    </row>
    <row r="27" spans="1:13" ht="13.5" x14ac:dyDescent="0.25">
      <c r="A27" s="860">
        <f>'Org structure'!E21</f>
        <v>0</v>
      </c>
      <c r="B27" s="857"/>
      <c r="C27" s="735"/>
      <c r="D27" s="734"/>
      <c r="E27" s="734"/>
      <c r="F27" s="734"/>
      <c r="G27" s="734"/>
      <c r="H27" s="734"/>
      <c r="I27" s="734"/>
      <c r="J27" s="75">
        <f t="shared" si="1"/>
        <v>0</v>
      </c>
      <c r="K27" s="75">
        <f t="shared" si="2"/>
        <v>0</v>
      </c>
      <c r="L27" s="734"/>
      <c r="M27" s="736"/>
    </row>
    <row r="28" spans="1:13" ht="13.5" x14ac:dyDescent="0.25">
      <c r="A28" s="860">
        <f>'Org structure'!E22</f>
        <v>0</v>
      </c>
      <c r="B28" s="857"/>
      <c r="C28" s="735"/>
      <c r="D28" s="734"/>
      <c r="E28" s="734"/>
      <c r="F28" s="734"/>
      <c r="G28" s="734"/>
      <c r="H28" s="734"/>
      <c r="I28" s="734"/>
      <c r="J28" s="75">
        <f t="shared" si="1"/>
        <v>0</v>
      </c>
      <c r="K28" s="75">
        <f t="shared" si="2"/>
        <v>0</v>
      </c>
      <c r="L28" s="734"/>
      <c r="M28" s="736"/>
    </row>
    <row r="29" spans="1:13" ht="13.5" x14ac:dyDescent="0.25">
      <c r="A29" s="860">
        <f>'Org structure'!E23</f>
        <v>0</v>
      </c>
      <c r="B29" s="857"/>
      <c r="C29" s="735"/>
      <c r="D29" s="734"/>
      <c r="E29" s="734"/>
      <c r="F29" s="734"/>
      <c r="G29" s="734"/>
      <c r="H29" s="734"/>
      <c r="I29" s="734"/>
      <c r="J29" s="75">
        <f t="shared" si="1"/>
        <v>0</v>
      </c>
      <c r="K29" s="75">
        <f t="shared" si="2"/>
        <v>0</v>
      </c>
      <c r="L29" s="734"/>
      <c r="M29" s="736"/>
    </row>
    <row r="30" spans="1:13" ht="13.5" x14ac:dyDescent="0.25">
      <c r="A30" s="858" t="str">
        <f>'Org structure'!A4</f>
        <v>Vote 3 - WATER AND SANITATION</v>
      </c>
      <c r="B30" s="859"/>
      <c r="C30" s="733">
        <f>SUM(C31:C40)</f>
        <v>0</v>
      </c>
      <c r="D30" s="732">
        <f t="shared" ref="D30:I30" si="4">SUM(D31:D40)</f>
        <v>0</v>
      </c>
      <c r="E30" s="732">
        <f t="shared" si="4"/>
        <v>0</v>
      </c>
      <c r="F30" s="732">
        <f t="shared" si="4"/>
        <v>0</v>
      </c>
      <c r="G30" s="732">
        <f t="shared" si="4"/>
        <v>0</v>
      </c>
      <c r="H30" s="732">
        <f t="shared" si="4"/>
        <v>0</v>
      </c>
      <c r="I30" s="732">
        <f t="shared" si="4"/>
        <v>0</v>
      </c>
      <c r="J30" s="75">
        <f t="shared" si="1"/>
        <v>0</v>
      </c>
      <c r="K30" s="75">
        <f t="shared" si="2"/>
        <v>0</v>
      </c>
      <c r="L30" s="732">
        <f>SUM(L31:L40)</f>
        <v>0</v>
      </c>
      <c r="M30" s="760">
        <f>SUM(M31:M40)</f>
        <v>0</v>
      </c>
    </row>
    <row r="31" spans="1:13" ht="13.5" x14ac:dyDescent="0.25">
      <c r="A31" s="860" t="str">
        <f>'Org structure'!E25</f>
        <v>3.1 - [Name of sub-vote]</v>
      </c>
      <c r="B31" s="857"/>
      <c r="C31" s="735"/>
      <c r="D31" s="734"/>
      <c r="E31" s="734"/>
      <c r="F31" s="734"/>
      <c r="G31" s="734"/>
      <c r="H31" s="734"/>
      <c r="I31" s="734"/>
      <c r="J31" s="75">
        <f t="shared" si="1"/>
        <v>0</v>
      </c>
      <c r="K31" s="75">
        <f t="shared" si="2"/>
        <v>0</v>
      </c>
      <c r="L31" s="734"/>
      <c r="M31" s="736"/>
    </row>
    <row r="32" spans="1:13" ht="13.5" x14ac:dyDescent="0.25">
      <c r="A32" s="860">
        <f>'Org structure'!E26</f>
        <v>0</v>
      </c>
      <c r="B32" s="857"/>
      <c r="C32" s="735"/>
      <c r="D32" s="734"/>
      <c r="E32" s="734"/>
      <c r="F32" s="734"/>
      <c r="G32" s="734"/>
      <c r="H32" s="734"/>
      <c r="I32" s="734"/>
      <c r="J32" s="75">
        <f t="shared" si="1"/>
        <v>0</v>
      </c>
      <c r="K32" s="75">
        <f t="shared" si="2"/>
        <v>0</v>
      </c>
      <c r="L32" s="734"/>
      <c r="M32" s="736"/>
    </row>
    <row r="33" spans="1:13" ht="13.5" x14ac:dyDescent="0.25">
      <c r="A33" s="860">
        <f>'Org structure'!E27</f>
        <v>0</v>
      </c>
      <c r="B33" s="857"/>
      <c r="C33" s="735"/>
      <c r="D33" s="734"/>
      <c r="E33" s="734"/>
      <c r="F33" s="734"/>
      <c r="G33" s="734"/>
      <c r="H33" s="734"/>
      <c r="I33" s="734"/>
      <c r="J33" s="75">
        <f t="shared" si="1"/>
        <v>0</v>
      </c>
      <c r="K33" s="75">
        <f t="shared" si="2"/>
        <v>0</v>
      </c>
      <c r="L33" s="734"/>
      <c r="M33" s="736"/>
    </row>
    <row r="34" spans="1:13" ht="13.5" x14ac:dyDescent="0.25">
      <c r="A34" s="860">
        <f>'Org structure'!E28</f>
        <v>0</v>
      </c>
      <c r="B34" s="857"/>
      <c r="C34" s="735"/>
      <c r="D34" s="734"/>
      <c r="E34" s="734"/>
      <c r="F34" s="734"/>
      <c r="G34" s="734"/>
      <c r="H34" s="734"/>
      <c r="I34" s="734"/>
      <c r="J34" s="75">
        <f t="shared" si="1"/>
        <v>0</v>
      </c>
      <c r="K34" s="75">
        <f t="shared" si="2"/>
        <v>0</v>
      </c>
      <c r="L34" s="734"/>
      <c r="M34" s="736"/>
    </row>
    <row r="35" spans="1:13" ht="13.5" x14ac:dyDescent="0.25">
      <c r="A35" s="860">
        <f>'Org structure'!E29</f>
        <v>0</v>
      </c>
      <c r="B35" s="857"/>
      <c r="C35" s="735"/>
      <c r="D35" s="734"/>
      <c r="E35" s="734"/>
      <c r="F35" s="734"/>
      <c r="G35" s="734"/>
      <c r="H35" s="734"/>
      <c r="I35" s="734"/>
      <c r="J35" s="75">
        <f t="shared" si="1"/>
        <v>0</v>
      </c>
      <c r="K35" s="75">
        <f t="shared" si="2"/>
        <v>0</v>
      </c>
      <c r="L35" s="734"/>
      <c r="M35" s="736"/>
    </row>
    <row r="36" spans="1:13" ht="13.5" x14ac:dyDescent="0.25">
      <c r="A36" s="860">
        <f>'Org structure'!E30</f>
        <v>0</v>
      </c>
      <c r="B36" s="857"/>
      <c r="C36" s="735"/>
      <c r="D36" s="734"/>
      <c r="E36" s="734"/>
      <c r="F36" s="734"/>
      <c r="G36" s="734"/>
      <c r="H36" s="734"/>
      <c r="I36" s="734"/>
      <c r="J36" s="75">
        <f t="shared" si="1"/>
        <v>0</v>
      </c>
      <c r="K36" s="75">
        <f t="shared" si="2"/>
        <v>0</v>
      </c>
      <c r="L36" s="734"/>
      <c r="M36" s="736"/>
    </row>
    <row r="37" spans="1:13" ht="13.5" x14ac:dyDescent="0.25">
      <c r="A37" s="860">
        <f>'Org structure'!E31</f>
        <v>0</v>
      </c>
      <c r="B37" s="857"/>
      <c r="C37" s="735"/>
      <c r="D37" s="734"/>
      <c r="E37" s="734"/>
      <c r="F37" s="734"/>
      <c r="G37" s="734"/>
      <c r="H37" s="734"/>
      <c r="I37" s="734"/>
      <c r="J37" s="75">
        <f t="shared" si="1"/>
        <v>0</v>
      </c>
      <c r="K37" s="75">
        <f t="shared" si="2"/>
        <v>0</v>
      </c>
      <c r="L37" s="734"/>
      <c r="M37" s="736"/>
    </row>
    <row r="38" spans="1:13" ht="13.5" x14ac:dyDescent="0.25">
      <c r="A38" s="860">
        <f>'Org structure'!E32</f>
        <v>0</v>
      </c>
      <c r="B38" s="857"/>
      <c r="C38" s="735"/>
      <c r="D38" s="734"/>
      <c r="E38" s="734"/>
      <c r="F38" s="734"/>
      <c r="G38" s="734"/>
      <c r="H38" s="734"/>
      <c r="I38" s="734"/>
      <c r="J38" s="75">
        <f t="shared" si="1"/>
        <v>0</v>
      </c>
      <c r="K38" s="75">
        <f t="shared" si="2"/>
        <v>0</v>
      </c>
      <c r="L38" s="734"/>
      <c r="M38" s="736"/>
    </row>
    <row r="39" spans="1:13" ht="13.5" x14ac:dyDescent="0.25">
      <c r="A39" s="860">
        <f>'Org structure'!E33</f>
        <v>0</v>
      </c>
      <c r="B39" s="857"/>
      <c r="C39" s="735"/>
      <c r="D39" s="734"/>
      <c r="E39" s="734"/>
      <c r="F39" s="734"/>
      <c r="G39" s="734"/>
      <c r="H39" s="734"/>
      <c r="I39" s="734"/>
      <c r="J39" s="75">
        <f t="shared" si="1"/>
        <v>0</v>
      </c>
      <c r="K39" s="75">
        <f t="shared" si="2"/>
        <v>0</v>
      </c>
      <c r="L39" s="734"/>
      <c r="M39" s="736"/>
    </row>
    <row r="40" spans="1:13" ht="13.5" x14ac:dyDescent="0.25">
      <c r="A40" s="860">
        <f>'Org structure'!E34</f>
        <v>0</v>
      </c>
      <c r="B40" s="857"/>
      <c r="C40" s="735"/>
      <c r="D40" s="734"/>
      <c r="E40" s="734"/>
      <c r="F40" s="734"/>
      <c r="G40" s="734"/>
      <c r="H40" s="734"/>
      <c r="I40" s="734"/>
      <c r="J40" s="75">
        <f t="shared" si="1"/>
        <v>0</v>
      </c>
      <c r="K40" s="75">
        <f t="shared" si="2"/>
        <v>0</v>
      </c>
      <c r="L40" s="734"/>
      <c r="M40" s="736"/>
    </row>
    <row r="41" spans="1:13" ht="13.5" x14ac:dyDescent="0.25">
      <c r="A41" s="858" t="str">
        <f>'Org structure'!A5</f>
        <v>Vote 4 - ENERGY</v>
      </c>
      <c r="B41" s="859"/>
      <c r="C41" s="733">
        <f>SUM(C42:C51)</f>
        <v>0</v>
      </c>
      <c r="D41" s="732">
        <f t="shared" ref="D41:I41" si="5">SUM(D42:D51)</f>
        <v>0</v>
      </c>
      <c r="E41" s="732">
        <f t="shared" si="5"/>
        <v>0</v>
      </c>
      <c r="F41" s="732">
        <f t="shared" si="5"/>
        <v>0</v>
      </c>
      <c r="G41" s="732">
        <f t="shared" si="5"/>
        <v>0</v>
      </c>
      <c r="H41" s="732">
        <f t="shared" si="5"/>
        <v>0</v>
      </c>
      <c r="I41" s="732">
        <f t="shared" si="5"/>
        <v>0</v>
      </c>
      <c r="J41" s="75">
        <f t="shared" si="1"/>
        <v>0</v>
      </c>
      <c r="K41" s="75">
        <f t="shared" si="2"/>
        <v>0</v>
      </c>
      <c r="L41" s="732">
        <f>SUM(L42:L51)</f>
        <v>0</v>
      </c>
      <c r="M41" s="760">
        <f>SUM(M42:M51)</f>
        <v>0</v>
      </c>
    </row>
    <row r="42" spans="1:13" ht="13.5" x14ac:dyDescent="0.25">
      <c r="A42" s="860" t="str">
        <f>'Org structure'!E36</f>
        <v>4.1 - [Name of sub-vote]</v>
      </c>
      <c r="B42" s="857"/>
      <c r="C42" s="735"/>
      <c r="D42" s="734"/>
      <c r="E42" s="734"/>
      <c r="F42" s="734"/>
      <c r="G42" s="734"/>
      <c r="H42" s="734"/>
      <c r="I42" s="734"/>
      <c r="J42" s="75">
        <f t="shared" si="1"/>
        <v>0</v>
      </c>
      <c r="K42" s="75">
        <f t="shared" si="2"/>
        <v>0</v>
      </c>
      <c r="L42" s="734"/>
      <c r="M42" s="736"/>
    </row>
    <row r="43" spans="1:13" ht="13.5" x14ac:dyDescent="0.25">
      <c r="A43" s="860">
        <f>'Org structure'!E37</f>
        <v>0</v>
      </c>
      <c r="B43" s="857"/>
      <c r="C43" s="735"/>
      <c r="D43" s="734"/>
      <c r="E43" s="734"/>
      <c r="F43" s="734"/>
      <c r="G43" s="734"/>
      <c r="H43" s="734"/>
      <c r="I43" s="734"/>
      <c r="J43" s="75">
        <f t="shared" si="1"/>
        <v>0</v>
      </c>
      <c r="K43" s="75">
        <f t="shared" si="2"/>
        <v>0</v>
      </c>
      <c r="L43" s="734"/>
      <c r="M43" s="736"/>
    </row>
    <row r="44" spans="1:13" ht="13.5" x14ac:dyDescent="0.25">
      <c r="A44" s="860">
        <f>'Org structure'!E38</f>
        <v>0</v>
      </c>
      <c r="B44" s="857"/>
      <c r="C44" s="735"/>
      <c r="D44" s="734"/>
      <c r="E44" s="734"/>
      <c r="F44" s="734"/>
      <c r="G44" s="734"/>
      <c r="H44" s="734"/>
      <c r="I44" s="734"/>
      <c r="J44" s="75">
        <f t="shared" si="1"/>
        <v>0</v>
      </c>
      <c r="K44" s="75">
        <f t="shared" si="2"/>
        <v>0</v>
      </c>
      <c r="L44" s="734"/>
      <c r="M44" s="736"/>
    </row>
    <row r="45" spans="1:13" ht="13.5" x14ac:dyDescent="0.25">
      <c r="A45" s="860">
        <f>'Org structure'!E39</f>
        <v>0</v>
      </c>
      <c r="B45" s="857"/>
      <c r="C45" s="735"/>
      <c r="D45" s="734"/>
      <c r="E45" s="734"/>
      <c r="F45" s="734"/>
      <c r="G45" s="734"/>
      <c r="H45" s="734"/>
      <c r="I45" s="734"/>
      <c r="J45" s="75">
        <f t="shared" si="1"/>
        <v>0</v>
      </c>
      <c r="K45" s="75">
        <f t="shared" si="2"/>
        <v>0</v>
      </c>
      <c r="L45" s="734"/>
      <c r="M45" s="736"/>
    </row>
    <row r="46" spans="1:13" ht="13.5" x14ac:dyDescent="0.25">
      <c r="A46" s="860">
        <f>'Org structure'!E40</f>
        <v>0</v>
      </c>
      <c r="B46" s="857"/>
      <c r="C46" s="735"/>
      <c r="D46" s="734"/>
      <c r="E46" s="734"/>
      <c r="F46" s="734"/>
      <c r="G46" s="734"/>
      <c r="H46" s="734"/>
      <c r="I46" s="734"/>
      <c r="J46" s="75">
        <f t="shared" si="1"/>
        <v>0</v>
      </c>
      <c r="K46" s="75">
        <f t="shared" si="2"/>
        <v>0</v>
      </c>
      <c r="L46" s="734"/>
      <c r="M46" s="736"/>
    </row>
    <row r="47" spans="1:13" ht="13.5" x14ac:dyDescent="0.25">
      <c r="A47" s="860">
        <f>'Org structure'!E41</f>
        <v>0</v>
      </c>
      <c r="B47" s="857"/>
      <c r="C47" s="735"/>
      <c r="D47" s="734"/>
      <c r="E47" s="734"/>
      <c r="F47" s="734"/>
      <c r="G47" s="734"/>
      <c r="H47" s="734"/>
      <c r="I47" s="734"/>
      <c r="J47" s="75">
        <f t="shared" si="1"/>
        <v>0</v>
      </c>
      <c r="K47" s="75">
        <f t="shared" si="2"/>
        <v>0</v>
      </c>
      <c r="L47" s="734"/>
      <c r="M47" s="736"/>
    </row>
    <row r="48" spans="1:13" ht="13.5" x14ac:dyDescent="0.25">
      <c r="A48" s="860">
        <f>'Org structure'!E42</f>
        <v>0</v>
      </c>
      <c r="B48" s="857"/>
      <c r="C48" s="735"/>
      <c r="D48" s="734"/>
      <c r="E48" s="734"/>
      <c r="F48" s="734"/>
      <c r="G48" s="734"/>
      <c r="H48" s="734"/>
      <c r="I48" s="734"/>
      <c r="J48" s="75">
        <f t="shared" si="1"/>
        <v>0</v>
      </c>
      <c r="K48" s="75">
        <f t="shared" si="2"/>
        <v>0</v>
      </c>
      <c r="L48" s="734"/>
      <c r="M48" s="736"/>
    </row>
    <row r="49" spans="1:13" ht="13.5" x14ac:dyDescent="0.25">
      <c r="A49" s="860">
        <f>'Org structure'!E43</f>
        <v>0</v>
      </c>
      <c r="B49" s="857"/>
      <c r="C49" s="735"/>
      <c r="D49" s="734"/>
      <c r="E49" s="734"/>
      <c r="F49" s="734"/>
      <c r="G49" s="734"/>
      <c r="H49" s="734"/>
      <c r="I49" s="734"/>
      <c r="J49" s="75">
        <f t="shared" si="1"/>
        <v>0</v>
      </c>
      <c r="K49" s="75">
        <f t="shared" si="2"/>
        <v>0</v>
      </c>
      <c r="L49" s="734"/>
      <c r="M49" s="736"/>
    </row>
    <row r="50" spans="1:13" ht="13.5" x14ac:dyDescent="0.25">
      <c r="A50" s="860">
        <f>'Org structure'!E44</f>
        <v>0</v>
      </c>
      <c r="B50" s="857"/>
      <c r="C50" s="735"/>
      <c r="D50" s="734"/>
      <c r="E50" s="734"/>
      <c r="F50" s="734"/>
      <c r="G50" s="734"/>
      <c r="H50" s="734"/>
      <c r="I50" s="734"/>
      <c r="J50" s="75">
        <f t="shared" si="1"/>
        <v>0</v>
      </c>
      <c r="K50" s="75">
        <f t="shared" si="2"/>
        <v>0</v>
      </c>
      <c r="L50" s="734"/>
      <c r="M50" s="736"/>
    </row>
    <row r="51" spans="1:13" ht="13.5" x14ac:dyDescent="0.25">
      <c r="A51" s="860">
        <f>'Org structure'!E45</f>
        <v>0</v>
      </c>
      <c r="B51" s="857"/>
      <c r="C51" s="735"/>
      <c r="D51" s="734"/>
      <c r="E51" s="734"/>
      <c r="F51" s="734"/>
      <c r="G51" s="734"/>
      <c r="H51" s="734"/>
      <c r="I51" s="734"/>
      <c r="J51" s="75">
        <f t="shared" si="1"/>
        <v>0</v>
      </c>
      <c r="K51" s="75">
        <f t="shared" si="2"/>
        <v>0</v>
      </c>
      <c r="L51" s="734"/>
      <c r="M51" s="736"/>
    </row>
    <row r="52" spans="1:13" ht="13.5" x14ac:dyDescent="0.25">
      <c r="A52" s="858" t="str">
        <f>'Org structure'!A6</f>
        <v>Vote 5 - COMMUNITY SERVICES</v>
      </c>
      <c r="B52" s="859"/>
      <c r="C52" s="733">
        <f>SUM(C53:C62)</f>
        <v>0</v>
      </c>
      <c r="D52" s="732">
        <f t="shared" ref="D52:I52" si="6">SUM(D53:D62)</f>
        <v>0</v>
      </c>
      <c r="E52" s="732">
        <f t="shared" si="6"/>
        <v>0</v>
      </c>
      <c r="F52" s="732">
        <f t="shared" si="6"/>
        <v>0</v>
      </c>
      <c r="G52" s="732">
        <f t="shared" si="6"/>
        <v>0</v>
      </c>
      <c r="H52" s="732">
        <f t="shared" si="6"/>
        <v>0</v>
      </c>
      <c r="I52" s="732">
        <f t="shared" si="6"/>
        <v>0</v>
      </c>
      <c r="J52" s="75">
        <f t="shared" si="1"/>
        <v>0</v>
      </c>
      <c r="K52" s="75">
        <f t="shared" si="2"/>
        <v>0</v>
      </c>
      <c r="L52" s="732">
        <f>SUM(L53:L62)</f>
        <v>0</v>
      </c>
      <c r="M52" s="760">
        <f>SUM(M53:M62)</f>
        <v>0</v>
      </c>
    </row>
    <row r="53" spans="1:13" ht="13.5" x14ac:dyDescent="0.25">
      <c r="A53" s="860" t="str">
        <f>'Org structure'!E47</f>
        <v>5.1 - [Name of sub-vote]</v>
      </c>
      <c r="B53" s="857"/>
      <c r="C53" s="735"/>
      <c r="D53" s="734"/>
      <c r="E53" s="734"/>
      <c r="F53" s="734"/>
      <c r="G53" s="734"/>
      <c r="H53" s="734"/>
      <c r="I53" s="734"/>
      <c r="J53" s="75">
        <f t="shared" si="1"/>
        <v>0</v>
      </c>
      <c r="K53" s="75">
        <f t="shared" si="2"/>
        <v>0</v>
      </c>
      <c r="L53" s="734"/>
      <c r="M53" s="736"/>
    </row>
    <row r="54" spans="1:13" ht="13.5" x14ac:dyDescent="0.25">
      <c r="A54" s="860">
        <f>'Org structure'!E48</f>
        <v>0</v>
      </c>
      <c r="B54" s="857"/>
      <c r="C54" s="735"/>
      <c r="D54" s="734"/>
      <c r="E54" s="734"/>
      <c r="F54" s="734"/>
      <c r="G54" s="734"/>
      <c r="H54" s="734"/>
      <c r="I54" s="734"/>
      <c r="J54" s="75">
        <f t="shared" si="1"/>
        <v>0</v>
      </c>
      <c r="K54" s="75">
        <f t="shared" si="2"/>
        <v>0</v>
      </c>
      <c r="L54" s="734"/>
      <c r="M54" s="736"/>
    </row>
    <row r="55" spans="1:13" ht="13.5" x14ac:dyDescent="0.25">
      <c r="A55" s="860">
        <f>'Org structure'!E49</f>
        <v>0</v>
      </c>
      <c r="B55" s="857"/>
      <c r="C55" s="735"/>
      <c r="D55" s="734"/>
      <c r="E55" s="734"/>
      <c r="F55" s="734"/>
      <c r="G55" s="734"/>
      <c r="H55" s="734"/>
      <c r="I55" s="734"/>
      <c r="J55" s="75">
        <f t="shared" si="1"/>
        <v>0</v>
      </c>
      <c r="K55" s="75">
        <f t="shared" si="2"/>
        <v>0</v>
      </c>
      <c r="L55" s="734"/>
      <c r="M55" s="736"/>
    </row>
    <row r="56" spans="1:13" ht="13.5" x14ac:dyDescent="0.25">
      <c r="A56" s="860">
        <f>'Org structure'!E50</f>
        <v>0</v>
      </c>
      <c r="B56" s="861"/>
      <c r="C56" s="735"/>
      <c r="D56" s="734"/>
      <c r="E56" s="734"/>
      <c r="F56" s="734"/>
      <c r="G56" s="734"/>
      <c r="H56" s="734"/>
      <c r="I56" s="734"/>
      <c r="J56" s="75">
        <f t="shared" si="1"/>
        <v>0</v>
      </c>
      <c r="K56" s="75">
        <f t="shared" si="2"/>
        <v>0</v>
      </c>
      <c r="L56" s="734"/>
      <c r="M56" s="736"/>
    </row>
    <row r="57" spans="1:13" ht="13.5" x14ac:dyDescent="0.25">
      <c r="A57" s="860">
        <f>'Org structure'!E51</f>
        <v>0</v>
      </c>
      <c r="B57" s="857"/>
      <c r="C57" s="735"/>
      <c r="D57" s="734"/>
      <c r="E57" s="734"/>
      <c r="F57" s="734"/>
      <c r="G57" s="734"/>
      <c r="H57" s="734"/>
      <c r="I57" s="734"/>
      <c r="J57" s="75">
        <f t="shared" si="1"/>
        <v>0</v>
      </c>
      <c r="K57" s="75">
        <f t="shared" si="2"/>
        <v>0</v>
      </c>
      <c r="L57" s="734"/>
      <c r="M57" s="736"/>
    </row>
    <row r="58" spans="1:13" ht="13.5" x14ac:dyDescent="0.25">
      <c r="A58" s="860">
        <f>'Org structure'!E52</f>
        <v>0</v>
      </c>
      <c r="B58" s="857"/>
      <c r="C58" s="735"/>
      <c r="D58" s="734"/>
      <c r="E58" s="734"/>
      <c r="F58" s="734"/>
      <c r="G58" s="734"/>
      <c r="H58" s="734"/>
      <c r="I58" s="734"/>
      <c r="J58" s="75">
        <f t="shared" si="1"/>
        <v>0</v>
      </c>
      <c r="K58" s="75">
        <f t="shared" si="2"/>
        <v>0</v>
      </c>
      <c r="L58" s="734"/>
      <c r="M58" s="736"/>
    </row>
    <row r="59" spans="1:13" ht="13.5" x14ac:dyDescent="0.25">
      <c r="A59" s="860">
        <f>'Org structure'!E53</f>
        <v>0</v>
      </c>
      <c r="B59" s="857"/>
      <c r="C59" s="735"/>
      <c r="D59" s="734"/>
      <c r="E59" s="734"/>
      <c r="F59" s="734"/>
      <c r="G59" s="734"/>
      <c r="H59" s="734"/>
      <c r="I59" s="734"/>
      <c r="J59" s="75">
        <f t="shared" si="1"/>
        <v>0</v>
      </c>
      <c r="K59" s="75">
        <f t="shared" si="2"/>
        <v>0</v>
      </c>
      <c r="L59" s="734"/>
      <c r="M59" s="736"/>
    </row>
    <row r="60" spans="1:13" ht="13.5" x14ac:dyDescent="0.25">
      <c r="A60" s="860">
        <f>'Org structure'!E54</f>
        <v>0</v>
      </c>
      <c r="B60" s="857"/>
      <c r="C60" s="735"/>
      <c r="D60" s="734"/>
      <c r="E60" s="734"/>
      <c r="F60" s="734"/>
      <c r="G60" s="734"/>
      <c r="H60" s="734"/>
      <c r="I60" s="734"/>
      <c r="J60" s="75">
        <f t="shared" si="1"/>
        <v>0</v>
      </c>
      <c r="K60" s="75">
        <f t="shared" si="2"/>
        <v>0</v>
      </c>
      <c r="L60" s="734"/>
      <c r="M60" s="736"/>
    </row>
    <row r="61" spans="1:13" ht="13.5" x14ac:dyDescent="0.25">
      <c r="A61" s="860">
        <f>'Org structure'!E55</f>
        <v>0</v>
      </c>
      <c r="B61" s="857"/>
      <c r="C61" s="735"/>
      <c r="D61" s="734"/>
      <c r="E61" s="734"/>
      <c r="F61" s="734"/>
      <c r="G61" s="734"/>
      <c r="H61" s="734"/>
      <c r="I61" s="734"/>
      <c r="J61" s="75">
        <f t="shared" si="1"/>
        <v>0</v>
      </c>
      <c r="K61" s="75">
        <f t="shared" si="2"/>
        <v>0</v>
      </c>
      <c r="L61" s="734"/>
      <c r="M61" s="736"/>
    </row>
    <row r="62" spans="1:13" ht="13.5" x14ac:dyDescent="0.25">
      <c r="A62" s="860">
        <f>'Org structure'!E56</f>
        <v>0</v>
      </c>
      <c r="B62" s="857"/>
      <c r="C62" s="735"/>
      <c r="D62" s="734"/>
      <c r="E62" s="734"/>
      <c r="F62" s="734"/>
      <c r="G62" s="734"/>
      <c r="H62" s="734"/>
      <c r="I62" s="734"/>
      <c r="J62" s="75">
        <f t="shared" si="1"/>
        <v>0</v>
      </c>
      <c r="K62" s="75">
        <f t="shared" si="2"/>
        <v>0</v>
      </c>
      <c r="L62" s="734"/>
      <c r="M62" s="736"/>
    </row>
    <row r="63" spans="1:13" ht="13.5" x14ac:dyDescent="0.25">
      <c r="A63" s="858" t="str">
        <f>'Org structure'!A7</f>
        <v>Vote 6 - PUBLIC SAFETY(ADMINISTRATION)</v>
      </c>
      <c r="B63" s="859"/>
      <c r="C63" s="733">
        <f>SUM(C64:C73)</f>
        <v>0</v>
      </c>
      <c r="D63" s="732">
        <f t="shared" ref="D63:I63" si="7">SUM(D64:D73)</f>
        <v>0</v>
      </c>
      <c r="E63" s="732">
        <f t="shared" si="7"/>
        <v>0</v>
      </c>
      <c r="F63" s="732">
        <f t="shared" si="7"/>
        <v>0</v>
      </c>
      <c r="G63" s="732">
        <f t="shared" si="7"/>
        <v>0</v>
      </c>
      <c r="H63" s="732">
        <f t="shared" si="7"/>
        <v>0</v>
      </c>
      <c r="I63" s="732">
        <f t="shared" si="7"/>
        <v>0</v>
      </c>
      <c r="J63" s="75">
        <f t="shared" si="1"/>
        <v>0</v>
      </c>
      <c r="K63" s="75">
        <f t="shared" si="2"/>
        <v>0</v>
      </c>
      <c r="L63" s="732">
        <f>SUM(L64:L73)</f>
        <v>0</v>
      </c>
      <c r="M63" s="760">
        <f>SUM(M64:M73)</f>
        <v>0</v>
      </c>
    </row>
    <row r="64" spans="1:13" ht="13.5" x14ac:dyDescent="0.25">
      <c r="A64" s="860" t="str">
        <f>'Org structure'!E65</f>
        <v>6.1 - [Name of sub-vote]</v>
      </c>
      <c r="B64" s="857"/>
      <c r="C64" s="735"/>
      <c r="D64" s="734"/>
      <c r="E64" s="734"/>
      <c r="F64" s="734"/>
      <c r="G64" s="734"/>
      <c r="H64" s="734"/>
      <c r="I64" s="734"/>
      <c r="J64" s="75">
        <f t="shared" si="1"/>
        <v>0</v>
      </c>
      <c r="K64" s="75">
        <f t="shared" si="2"/>
        <v>0</v>
      </c>
      <c r="L64" s="734"/>
      <c r="M64" s="736"/>
    </row>
    <row r="65" spans="1:13" ht="13.5" x14ac:dyDescent="0.25">
      <c r="A65" s="860">
        <f>'Org structure'!E66</f>
        <v>0</v>
      </c>
      <c r="B65" s="857"/>
      <c r="C65" s="735"/>
      <c r="D65" s="734"/>
      <c r="E65" s="734"/>
      <c r="F65" s="734"/>
      <c r="G65" s="734"/>
      <c r="H65" s="734"/>
      <c r="I65" s="734"/>
      <c r="J65" s="75">
        <f t="shared" si="1"/>
        <v>0</v>
      </c>
      <c r="K65" s="75">
        <f t="shared" si="2"/>
        <v>0</v>
      </c>
      <c r="L65" s="734"/>
      <c r="M65" s="736"/>
    </row>
    <row r="66" spans="1:13" ht="13.5" x14ac:dyDescent="0.25">
      <c r="A66" s="860">
        <f>'Org structure'!E67</f>
        <v>0</v>
      </c>
      <c r="B66" s="857"/>
      <c r="C66" s="735"/>
      <c r="D66" s="734"/>
      <c r="E66" s="734"/>
      <c r="F66" s="734"/>
      <c r="G66" s="734"/>
      <c r="H66" s="734"/>
      <c r="I66" s="734"/>
      <c r="J66" s="75">
        <f t="shared" si="1"/>
        <v>0</v>
      </c>
      <c r="K66" s="75">
        <f t="shared" si="2"/>
        <v>0</v>
      </c>
      <c r="L66" s="734"/>
      <c r="M66" s="736"/>
    </row>
    <row r="67" spans="1:13" ht="13.5" x14ac:dyDescent="0.25">
      <c r="A67" s="860">
        <f>'Org structure'!E68</f>
        <v>0</v>
      </c>
      <c r="B67" s="857"/>
      <c r="C67" s="735"/>
      <c r="D67" s="734"/>
      <c r="E67" s="734"/>
      <c r="F67" s="734"/>
      <c r="G67" s="734"/>
      <c r="H67" s="734"/>
      <c r="I67" s="734"/>
      <c r="J67" s="75">
        <f t="shared" si="1"/>
        <v>0</v>
      </c>
      <c r="K67" s="75">
        <f t="shared" si="2"/>
        <v>0</v>
      </c>
      <c r="L67" s="734"/>
      <c r="M67" s="736"/>
    </row>
    <row r="68" spans="1:13" ht="13.5" x14ac:dyDescent="0.25">
      <c r="A68" s="860">
        <f>'Org structure'!E69</f>
        <v>0</v>
      </c>
      <c r="B68" s="857"/>
      <c r="C68" s="735"/>
      <c r="D68" s="734"/>
      <c r="E68" s="734"/>
      <c r="F68" s="734"/>
      <c r="G68" s="734"/>
      <c r="H68" s="734"/>
      <c r="I68" s="734"/>
      <c r="J68" s="75">
        <f t="shared" si="1"/>
        <v>0</v>
      </c>
      <c r="K68" s="75">
        <f t="shared" si="2"/>
        <v>0</v>
      </c>
      <c r="L68" s="734"/>
      <c r="M68" s="736"/>
    </row>
    <row r="69" spans="1:13" ht="13.5" x14ac:dyDescent="0.25">
      <c r="A69" s="860">
        <f>'Org structure'!E70</f>
        <v>0</v>
      </c>
      <c r="B69" s="857"/>
      <c r="C69" s="735"/>
      <c r="D69" s="734"/>
      <c r="E69" s="734"/>
      <c r="F69" s="734"/>
      <c r="G69" s="734"/>
      <c r="H69" s="734"/>
      <c r="I69" s="734"/>
      <c r="J69" s="75">
        <f t="shared" si="1"/>
        <v>0</v>
      </c>
      <c r="K69" s="75">
        <f t="shared" si="2"/>
        <v>0</v>
      </c>
      <c r="L69" s="734"/>
      <c r="M69" s="736"/>
    </row>
    <row r="70" spans="1:13" ht="13.5" x14ac:dyDescent="0.25">
      <c r="A70" s="860">
        <f>'Org structure'!E71</f>
        <v>0</v>
      </c>
      <c r="B70" s="857"/>
      <c r="C70" s="735"/>
      <c r="D70" s="734"/>
      <c r="E70" s="734"/>
      <c r="F70" s="734"/>
      <c r="G70" s="734"/>
      <c r="H70" s="734"/>
      <c r="I70" s="734"/>
      <c r="J70" s="75">
        <f t="shared" si="1"/>
        <v>0</v>
      </c>
      <c r="K70" s="75">
        <f t="shared" si="2"/>
        <v>0</v>
      </c>
      <c r="L70" s="734"/>
      <c r="M70" s="736"/>
    </row>
    <row r="71" spans="1:13" ht="13.5" x14ac:dyDescent="0.25">
      <c r="A71" s="860">
        <f>'Org structure'!E72</f>
        <v>0</v>
      </c>
      <c r="B71" s="857"/>
      <c r="C71" s="735"/>
      <c r="D71" s="734"/>
      <c r="E71" s="734"/>
      <c r="F71" s="734"/>
      <c r="G71" s="734"/>
      <c r="H71" s="734"/>
      <c r="I71" s="734"/>
      <c r="J71" s="75">
        <f t="shared" si="1"/>
        <v>0</v>
      </c>
      <c r="K71" s="75">
        <f t="shared" si="2"/>
        <v>0</v>
      </c>
      <c r="L71" s="734"/>
      <c r="M71" s="736"/>
    </row>
    <row r="72" spans="1:13" ht="13.5" x14ac:dyDescent="0.25">
      <c r="A72" s="860">
        <f>'Org structure'!E73</f>
        <v>0</v>
      </c>
      <c r="B72" s="857"/>
      <c r="C72" s="735"/>
      <c r="D72" s="734"/>
      <c r="E72" s="734"/>
      <c r="F72" s="734"/>
      <c r="G72" s="734"/>
      <c r="H72" s="734"/>
      <c r="I72" s="734"/>
      <c r="J72" s="75">
        <f t="shared" ref="J72:J135" si="8">SUM(E72:I72)</f>
        <v>0</v>
      </c>
      <c r="K72" s="75">
        <f t="shared" ref="K72:K135" si="9">IF(D72=0,C72+J72,D72+J72)</f>
        <v>0</v>
      </c>
      <c r="L72" s="734"/>
      <c r="M72" s="736"/>
    </row>
    <row r="73" spans="1:13" ht="13.5" x14ac:dyDescent="0.25">
      <c r="A73" s="860">
        <f>'Org structure'!E74</f>
        <v>0</v>
      </c>
      <c r="B73" s="857"/>
      <c r="C73" s="735"/>
      <c r="D73" s="734"/>
      <c r="E73" s="734"/>
      <c r="F73" s="734"/>
      <c r="G73" s="734"/>
      <c r="H73" s="734"/>
      <c r="I73" s="734"/>
      <c r="J73" s="75">
        <f t="shared" si="8"/>
        <v>0</v>
      </c>
      <c r="K73" s="75">
        <f t="shared" si="9"/>
        <v>0</v>
      </c>
      <c r="L73" s="734"/>
      <c r="M73" s="736"/>
    </row>
    <row r="74" spans="1:13" ht="13.5" x14ac:dyDescent="0.25">
      <c r="A74" s="858" t="str">
        <f>'Org structure'!A8</f>
        <v>Vote 7 - CORPORATE AND SHARED SERVICES</v>
      </c>
      <c r="B74" s="859"/>
      <c r="C74" s="733">
        <f>SUM(C75:C84)</f>
        <v>0</v>
      </c>
      <c r="D74" s="732">
        <f t="shared" ref="D74:I74" si="10">SUM(D75:D84)</f>
        <v>0</v>
      </c>
      <c r="E74" s="732">
        <f t="shared" si="10"/>
        <v>0</v>
      </c>
      <c r="F74" s="732">
        <f t="shared" si="10"/>
        <v>0</v>
      </c>
      <c r="G74" s="732">
        <f t="shared" si="10"/>
        <v>0</v>
      </c>
      <c r="H74" s="732">
        <f t="shared" si="10"/>
        <v>0</v>
      </c>
      <c r="I74" s="732">
        <f t="shared" si="10"/>
        <v>0</v>
      </c>
      <c r="J74" s="75">
        <f t="shared" si="8"/>
        <v>0</v>
      </c>
      <c r="K74" s="75">
        <f t="shared" si="9"/>
        <v>0</v>
      </c>
      <c r="L74" s="732">
        <f>SUM(L75:L84)</f>
        <v>0</v>
      </c>
      <c r="M74" s="760">
        <f>SUM(M75:M84)</f>
        <v>0</v>
      </c>
    </row>
    <row r="75" spans="1:13" ht="13.5" x14ac:dyDescent="0.25">
      <c r="A75" s="860" t="str">
        <f>'Org structure'!E81</f>
        <v>7.1 - [Name of sub-vote]</v>
      </c>
      <c r="B75" s="857"/>
      <c r="C75" s="735"/>
      <c r="D75" s="734"/>
      <c r="E75" s="734"/>
      <c r="F75" s="734"/>
      <c r="G75" s="734"/>
      <c r="H75" s="734"/>
      <c r="I75" s="734"/>
      <c r="J75" s="75">
        <f t="shared" si="8"/>
        <v>0</v>
      </c>
      <c r="K75" s="75">
        <f t="shared" si="9"/>
        <v>0</v>
      </c>
      <c r="L75" s="734"/>
      <c r="M75" s="736"/>
    </row>
    <row r="76" spans="1:13" ht="13.5" x14ac:dyDescent="0.25">
      <c r="A76" s="860">
        <f>'Org structure'!E82</f>
        <v>0</v>
      </c>
      <c r="B76" s="857"/>
      <c r="C76" s="735"/>
      <c r="D76" s="734"/>
      <c r="E76" s="734"/>
      <c r="F76" s="734"/>
      <c r="G76" s="734"/>
      <c r="H76" s="734"/>
      <c r="I76" s="734"/>
      <c r="J76" s="75">
        <f t="shared" si="8"/>
        <v>0</v>
      </c>
      <c r="K76" s="75">
        <f t="shared" si="9"/>
        <v>0</v>
      </c>
      <c r="L76" s="734"/>
      <c r="M76" s="736"/>
    </row>
    <row r="77" spans="1:13" ht="13.5" x14ac:dyDescent="0.25">
      <c r="A77" s="860">
        <f>'Org structure'!E83</f>
        <v>0</v>
      </c>
      <c r="B77" s="857"/>
      <c r="C77" s="735"/>
      <c r="D77" s="734"/>
      <c r="E77" s="734"/>
      <c r="F77" s="734"/>
      <c r="G77" s="734"/>
      <c r="H77" s="734"/>
      <c r="I77" s="734"/>
      <c r="J77" s="75">
        <f t="shared" si="8"/>
        <v>0</v>
      </c>
      <c r="K77" s="75">
        <f t="shared" si="9"/>
        <v>0</v>
      </c>
      <c r="L77" s="734"/>
      <c r="M77" s="736"/>
    </row>
    <row r="78" spans="1:13" ht="13.5" x14ac:dyDescent="0.25">
      <c r="A78" s="860">
        <f>'Org structure'!E84</f>
        <v>0</v>
      </c>
      <c r="B78" s="857"/>
      <c r="C78" s="735"/>
      <c r="D78" s="734"/>
      <c r="E78" s="734"/>
      <c r="F78" s="734"/>
      <c r="G78" s="734"/>
      <c r="H78" s="734"/>
      <c r="I78" s="734"/>
      <c r="J78" s="75">
        <f t="shared" si="8"/>
        <v>0</v>
      </c>
      <c r="K78" s="75">
        <f t="shared" si="9"/>
        <v>0</v>
      </c>
      <c r="L78" s="734"/>
      <c r="M78" s="736"/>
    </row>
    <row r="79" spans="1:13" ht="13.5" x14ac:dyDescent="0.25">
      <c r="A79" s="860">
        <f>'Org structure'!E85</f>
        <v>0</v>
      </c>
      <c r="B79" s="857"/>
      <c r="C79" s="735"/>
      <c r="D79" s="734"/>
      <c r="E79" s="734"/>
      <c r="F79" s="734"/>
      <c r="G79" s="734"/>
      <c r="H79" s="734"/>
      <c r="I79" s="734"/>
      <c r="J79" s="75">
        <f t="shared" si="8"/>
        <v>0</v>
      </c>
      <c r="K79" s="75">
        <f t="shared" si="9"/>
        <v>0</v>
      </c>
      <c r="L79" s="734"/>
      <c r="M79" s="736"/>
    </row>
    <row r="80" spans="1:13" ht="13.5" x14ac:dyDescent="0.25">
      <c r="A80" s="860">
        <f>'Org structure'!E86</f>
        <v>0</v>
      </c>
      <c r="B80" s="857"/>
      <c r="C80" s="735"/>
      <c r="D80" s="734"/>
      <c r="E80" s="734"/>
      <c r="F80" s="734"/>
      <c r="G80" s="734"/>
      <c r="H80" s="734"/>
      <c r="I80" s="734"/>
      <c r="J80" s="75">
        <f t="shared" si="8"/>
        <v>0</v>
      </c>
      <c r="K80" s="75">
        <f t="shared" si="9"/>
        <v>0</v>
      </c>
      <c r="L80" s="734"/>
      <c r="M80" s="736"/>
    </row>
    <row r="81" spans="1:13" ht="13.5" x14ac:dyDescent="0.25">
      <c r="A81" s="860">
        <f>'Org structure'!E87</f>
        <v>0</v>
      </c>
      <c r="B81" s="857"/>
      <c r="C81" s="735"/>
      <c r="D81" s="734"/>
      <c r="E81" s="734"/>
      <c r="F81" s="734"/>
      <c r="G81" s="734"/>
      <c r="H81" s="734"/>
      <c r="I81" s="734"/>
      <c r="J81" s="75">
        <f t="shared" si="8"/>
        <v>0</v>
      </c>
      <c r="K81" s="75">
        <f t="shared" si="9"/>
        <v>0</v>
      </c>
      <c r="L81" s="734"/>
      <c r="M81" s="736"/>
    </row>
    <row r="82" spans="1:13" ht="13.5" x14ac:dyDescent="0.25">
      <c r="A82" s="860">
        <f>'Org structure'!E88</f>
        <v>0</v>
      </c>
      <c r="B82" s="857"/>
      <c r="C82" s="735"/>
      <c r="D82" s="734"/>
      <c r="E82" s="734"/>
      <c r="F82" s="734"/>
      <c r="G82" s="734"/>
      <c r="H82" s="734"/>
      <c r="I82" s="734"/>
      <c r="J82" s="75">
        <f t="shared" si="8"/>
        <v>0</v>
      </c>
      <c r="K82" s="75">
        <f t="shared" si="9"/>
        <v>0</v>
      </c>
      <c r="L82" s="734"/>
      <c r="M82" s="736"/>
    </row>
    <row r="83" spans="1:13" ht="13.5" x14ac:dyDescent="0.25">
      <c r="A83" s="860">
        <f>'Org structure'!E89</f>
        <v>0</v>
      </c>
      <c r="B83" s="857"/>
      <c r="C83" s="735"/>
      <c r="D83" s="734"/>
      <c r="E83" s="734"/>
      <c r="F83" s="734"/>
      <c r="G83" s="734"/>
      <c r="H83" s="734"/>
      <c r="I83" s="734"/>
      <c r="J83" s="75">
        <f t="shared" si="8"/>
        <v>0</v>
      </c>
      <c r="K83" s="75">
        <f t="shared" si="9"/>
        <v>0</v>
      </c>
      <c r="L83" s="734"/>
      <c r="M83" s="736"/>
    </row>
    <row r="84" spans="1:13" ht="13.5" x14ac:dyDescent="0.25">
      <c r="A84" s="860">
        <f>'Org structure'!E90</f>
        <v>0</v>
      </c>
      <c r="B84" s="857"/>
      <c r="C84" s="735"/>
      <c r="D84" s="734"/>
      <c r="E84" s="734"/>
      <c r="F84" s="734"/>
      <c r="G84" s="734"/>
      <c r="H84" s="734"/>
      <c r="I84" s="734"/>
      <c r="J84" s="75">
        <f t="shared" si="8"/>
        <v>0</v>
      </c>
      <c r="K84" s="75">
        <f t="shared" si="9"/>
        <v>0</v>
      </c>
      <c r="L84" s="734"/>
      <c r="M84" s="736"/>
    </row>
    <row r="85" spans="1:13" ht="13.5" x14ac:dyDescent="0.25">
      <c r="A85" s="858" t="str">
        <f>'Org structure'!A9</f>
        <v>Vote 8 - PLANNING AND ECONOMIC  DEVELOPMENT</v>
      </c>
      <c r="B85" s="857"/>
      <c r="C85" s="733">
        <f>SUM(C86:C95)</f>
        <v>0</v>
      </c>
      <c r="D85" s="732">
        <f t="shared" ref="D85:I85" si="11">SUM(D86:D95)</f>
        <v>0</v>
      </c>
      <c r="E85" s="732">
        <f t="shared" si="11"/>
        <v>0</v>
      </c>
      <c r="F85" s="732">
        <f t="shared" si="11"/>
        <v>0</v>
      </c>
      <c r="G85" s="732">
        <f t="shared" si="11"/>
        <v>0</v>
      </c>
      <c r="H85" s="732">
        <f t="shared" si="11"/>
        <v>0</v>
      </c>
      <c r="I85" s="732">
        <f t="shared" si="11"/>
        <v>0</v>
      </c>
      <c r="J85" s="75">
        <f t="shared" si="8"/>
        <v>0</v>
      </c>
      <c r="K85" s="75">
        <f t="shared" si="9"/>
        <v>0</v>
      </c>
      <c r="L85" s="732">
        <f>SUM(L86:L95)</f>
        <v>0</v>
      </c>
      <c r="M85" s="760">
        <f>SUM(M86:M95)</f>
        <v>0</v>
      </c>
    </row>
    <row r="86" spans="1:13" ht="13.5" x14ac:dyDescent="0.25">
      <c r="A86" s="860" t="str">
        <f>'Org structure'!E98</f>
        <v>8.1 - [Name of sub-vote]</v>
      </c>
      <c r="B86" s="857"/>
      <c r="C86" s="735"/>
      <c r="D86" s="734"/>
      <c r="E86" s="734"/>
      <c r="F86" s="734"/>
      <c r="G86" s="734"/>
      <c r="H86" s="734"/>
      <c r="I86" s="734"/>
      <c r="J86" s="75">
        <f t="shared" si="8"/>
        <v>0</v>
      </c>
      <c r="K86" s="75">
        <f t="shared" si="9"/>
        <v>0</v>
      </c>
      <c r="L86" s="734"/>
      <c r="M86" s="736"/>
    </row>
    <row r="87" spans="1:13" ht="13.5" x14ac:dyDescent="0.25">
      <c r="A87" s="860">
        <f>'Org structure'!E99</f>
        <v>0</v>
      </c>
      <c r="B87" s="857"/>
      <c r="C87" s="735"/>
      <c r="D87" s="734"/>
      <c r="E87" s="734"/>
      <c r="F87" s="734"/>
      <c r="G87" s="734"/>
      <c r="H87" s="734"/>
      <c r="I87" s="734"/>
      <c r="J87" s="75">
        <f t="shared" si="8"/>
        <v>0</v>
      </c>
      <c r="K87" s="75">
        <f t="shared" si="9"/>
        <v>0</v>
      </c>
      <c r="L87" s="734"/>
      <c r="M87" s="736"/>
    </row>
    <row r="88" spans="1:13" ht="13.5" x14ac:dyDescent="0.25">
      <c r="A88" s="860">
        <f>'Org structure'!E100</f>
        <v>0</v>
      </c>
      <c r="B88" s="857"/>
      <c r="C88" s="735"/>
      <c r="D88" s="734"/>
      <c r="E88" s="734"/>
      <c r="F88" s="734"/>
      <c r="G88" s="734"/>
      <c r="H88" s="734"/>
      <c r="I88" s="734"/>
      <c r="J88" s="75">
        <f t="shared" si="8"/>
        <v>0</v>
      </c>
      <c r="K88" s="75">
        <f t="shared" si="9"/>
        <v>0</v>
      </c>
      <c r="L88" s="734"/>
      <c r="M88" s="736"/>
    </row>
    <row r="89" spans="1:13" ht="13.5" x14ac:dyDescent="0.25">
      <c r="A89" s="860">
        <f>'Org structure'!E101</f>
        <v>0</v>
      </c>
      <c r="B89" s="857"/>
      <c r="C89" s="735"/>
      <c r="D89" s="734"/>
      <c r="E89" s="734"/>
      <c r="F89" s="734"/>
      <c r="G89" s="734"/>
      <c r="H89" s="734"/>
      <c r="I89" s="734"/>
      <c r="J89" s="75">
        <f t="shared" si="8"/>
        <v>0</v>
      </c>
      <c r="K89" s="75">
        <f t="shared" si="9"/>
        <v>0</v>
      </c>
      <c r="L89" s="734"/>
      <c r="M89" s="736"/>
    </row>
    <row r="90" spans="1:13" ht="13.5" x14ac:dyDescent="0.25">
      <c r="A90" s="860">
        <f>'Org structure'!E102</f>
        <v>0</v>
      </c>
      <c r="B90" s="857"/>
      <c r="C90" s="735"/>
      <c r="D90" s="734"/>
      <c r="E90" s="734"/>
      <c r="F90" s="734"/>
      <c r="G90" s="734"/>
      <c r="H90" s="734"/>
      <c r="I90" s="734"/>
      <c r="J90" s="75">
        <f t="shared" si="8"/>
        <v>0</v>
      </c>
      <c r="K90" s="75">
        <f t="shared" si="9"/>
        <v>0</v>
      </c>
      <c r="L90" s="734"/>
      <c r="M90" s="736"/>
    </row>
    <row r="91" spans="1:13" ht="13.5" x14ac:dyDescent="0.25">
      <c r="A91" s="860">
        <f>'Org structure'!E103</f>
        <v>0</v>
      </c>
      <c r="B91" s="857"/>
      <c r="C91" s="735"/>
      <c r="D91" s="734"/>
      <c r="E91" s="734"/>
      <c r="F91" s="734"/>
      <c r="G91" s="734"/>
      <c r="H91" s="734"/>
      <c r="I91" s="734"/>
      <c r="J91" s="75">
        <f t="shared" si="8"/>
        <v>0</v>
      </c>
      <c r="K91" s="75">
        <f t="shared" si="9"/>
        <v>0</v>
      </c>
      <c r="L91" s="734"/>
      <c r="M91" s="736"/>
    </row>
    <row r="92" spans="1:13" ht="13.5" x14ac:dyDescent="0.25">
      <c r="A92" s="860">
        <f>'Org structure'!E104</f>
        <v>0</v>
      </c>
      <c r="B92" s="857"/>
      <c r="C92" s="735"/>
      <c r="D92" s="734"/>
      <c r="E92" s="734"/>
      <c r="F92" s="734"/>
      <c r="G92" s="734"/>
      <c r="H92" s="734"/>
      <c r="I92" s="734"/>
      <c r="J92" s="75">
        <f t="shared" si="8"/>
        <v>0</v>
      </c>
      <c r="K92" s="75">
        <f t="shared" si="9"/>
        <v>0</v>
      </c>
      <c r="L92" s="734"/>
      <c r="M92" s="736"/>
    </row>
    <row r="93" spans="1:13" ht="13.5" x14ac:dyDescent="0.25">
      <c r="A93" s="860">
        <f>'Org structure'!E105</f>
        <v>0</v>
      </c>
      <c r="B93" s="857"/>
      <c r="C93" s="735"/>
      <c r="D93" s="734"/>
      <c r="E93" s="734"/>
      <c r="F93" s="734"/>
      <c r="G93" s="734"/>
      <c r="H93" s="734"/>
      <c r="I93" s="734"/>
      <c r="J93" s="75">
        <f t="shared" si="8"/>
        <v>0</v>
      </c>
      <c r="K93" s="75">
        <f t="shared" si="9"/>
        <v>0</v>
      </c>
      <c r="L93" s="734"/>
      <c r="M93" s="736"/>
    </row>
    <row r="94" spans="1:13" ht="13.5" x14ac:dyDescent="0.25">
      <c r="A94" s="860">
        <f>'Org structure'!E106</f>
        <v>0</v>
      </c>
      <c r="B94" s="857"/>
      <c r="C94" s="735"/>
      <c r="D94" s="734"/>
      <c r="E94" s="734"/>
      <c r="F94" s="734"/>
      <c r="G94" s="734"/>
      <c r="H94" s="734"/>
      <c r="I94" s="734"/>
      <c r="J94" s="75">
        <f t="shared" si="8"/>
        <v>0</v>
      </c>
      <c r="K94" s="75">
        <f t="shared" si="9"/>
        <v>0</v>
      </c>
      <c r="L94" s="734"/>
      <c r="M94" s="736"/>
    </row>
    <row r="95" spans="1:13" ht="13.5" x14ac:dyDescent="0.25">
      <c r="A95" s="860">
        <f>'Org structure'!E107</f>
        <v>0</v>
      </c>
      <c r="B95" s="857"/>
      <c r="C95" s="735"/>
      <c r="D95" s="734"/>
      <c r="E95" s="734"/>
      <c r="F95" s="734"/>
      <c r="G95" s="734"/>
      <c r="H95" s="734"/>
      <c r="I95" s="734"/>
      <c r="J95" s="75">
        <f t="shared" si="8"/>
        <v>0</v>
      </c>
      <c r="K95" s="75">
        <f t="shared" si="9"/>
        <v>0</v>
      </c>
      <c r="L95" s="734"/>
      <c r="M95" s="736"/>
    </row>
    <row r="96" spans="1:13" ht="13.5" x14ac:dyDescent="0.25">
      <c r="A96" s="858" t="str">
        <f>'Org structure'!A10</f>
        <v>Vote 9 - BUDGET AND TREASURY OFFICE)</v>
      </c>
      <c r="B96" s="857"/>
      <c r="C96" s="733">
        <f>SUM(C97:C106)</f>
        <v>0</v>
      </c>
      <c r="D96" s="732">
        <f t="shared" ref="D96:I96" si="12">SUM(D97:D106)</f>
        <v>0</v>
      </c>
      <c r="E96" s="732">
        <f t="shared" si="12"/>
        <v>0</v>
      </c>
      <c r="F96" s="732">
        <f t="shared" si="12"/>
        <v>0</v>
      </c>
      <c r="G96" s="732">
        <f t="shared" si="12"/>
        <v>0</v>
      </c>
      <c r="H96" s="732">
        <f t="shared" si="12"/>
        <v>0</v>
      </c>
      <c r="I96" s="732">
        <f t="shared" si="12"/>
        <v>0</v>
      </c>
      <c r="J96" s="75">
        <f t="shared" si="8"/>
        <v>0</v>
      </c>
      <c r="K96" s="75">
        <f t="shared" si="9"/>
        <v>0</v>
      </c>
      <c r="L96" s="732">
        <f>SUM(L97:L106)</f>
        <v>0</v>
      </c>
      <c r="M96" s="760">
        <f>SUM(M97:M106)</f>
        <v>0</v>
      </c>
    </row>
    <row r="97" spans="1:13" ht="13.5" x14ac:dyDescent="0.25">
      <c r="A97" s="860" t="str">
        <f>'Org structure'!E109</f>
        <v>9.1 - [Name of sub-vote]</v>
      </c>
      <c r="B97" s="857"/>
      <c r="C97" s="735"/>
      <c r="D97" s="734"/>
      <c r="E97" s="734"/>
      <c r="F97" s="734"/>
      <c r="G97" s="734"/>
      <c r="H97" s="734"/>
      <c r="I97" s="734"/>
      <c r="J97" s="75">
        <f t="shared" si="8"/>
        <v>0</v>
      </c>
      <c r="K97" s="75">
        <f t="shared" si="9"/>
        <v>0</v>
      </c>
      <c r="L97" s="734"/>
      <c r="M97" s="736"/>
    </row>
    <row r="98" spans="1:13" ht="13.5" x14ac:dyDescent="0.25">
      <c r="A98" s="860">
        <f>'Org structure'!E110</f>
        <v>0</v>
      </c>
      <c r="B98" s="857"/>
      <c r="C98" s="735"/>
      <c r="D98" s="734"/>
      <c r="E98" s="734"/>
      <c r="F98" s="734"/>
      <c r="G98" s="734"/>
      <c r="H98" s="734"/>
      <c r="I98" s="734"/>
      <c r="J98" s="75">
        <f t="shared" si="8"/>
        <v>0</v>
      </c>
      <c r="K98" s="75">
        <f t="shared" si="9"/>
        <v>0</v>
      </c>
      <c r="L98" s="734"/>
      <c r="M98" s="736"/>
    </row>
    <row r="99" spans="1:13" ht="13.5" x14ac:dyDescent="0.25">
      <c r="A99" s="860">
        <f>'Org structure'!E111</f>
        <v>0</v>
      </c>
      <c r="B99" s="857"/>
      <c r="C99" s="735"/>
      <c r="D99" s="734"/>
      <c r="E99" s="734"/>
      <c r="F99" s="734"/>
      <c r="G99" s="734"/>
      <c r="H99" s="734"/>
      <c r="I99" s="734"/>
      <c r="J99" s="75">
        <f t="shared" si="8"/>
        <v>0</v>
      </c>
      <c r="K99" s="75">
        <f t="shared" si="9"/>
        <v>0</v>
      </c>
      <c r="L99" s="734"/>
      <c r="M99" s="736"/>
    </row>
    <row r="100" spans="1:13" ht="13.5" x14ac:dyDescent="0.25">
      <c r="A100" s="860">
        <f>'Org structure'!E112</f>
        <v>0</v>
      </c>
      <c r="B100" s="857"/>
      <c r="C100" s="735"/>
      <c r="D100" s="734"/>
      <c r="E100" s="734"/>
      <c r="F100" s="734"/>
      <c r="G100" s="734"/>
      <c r="H100" s="734"/>
      <c r="I100" s="734"/>
      <c r="J100" s="75">
        <f t="shared" si="8"/>
        <v>0</v>
      </c>
      <c r="K100" s="75">
        <f t="shared" si="9"/>
        <v>0</v>
      </c>
      <c r="L100" s="734"/>
      <c r="M100" s="736"/>
    </row>
    <row r="101" spans="1:13" ht="13.5" x14ac:dyDescent="0.25">
      <c r="A101" s="860">
        <f>'Org structure'!E113</f>
        <v>0</v>
      </c>
      <c r="B101" s="857"/>
      <c r="C101" s="735"/>
      <c r="D101" s="734"/>
      <c r="E101" s="734"/>
      <c r="F101" s="734"/>
      <c r="G101" s="734"/>
      <c r="H101" s="734"/>
      <c r="I101" s="734"/>
      <c r="J101" s="75">
        <f t="shared" si="8"/>
        <v>0</v>
      </c>
      <c r="K101" s="75">
        <f t="shared" si="9"/>
        <v>0</v>
      </c>
      <c r="L101" s="734"/>
      <c r="M101" s="736"/>
    </row>
    <row r="102" spans="1:13" ht="13.5" x14ac:dyDescent="0.25">
      <c r="A102" s="860">
        <f>'Org structure'!E114</f>
        <v>0</v>
      </c>
      <c r="B102" s="857"/>
      <c r="C102" s="735"/>
      <c r="D102" s="734"/>
      <c r="E102" s="734"/>
      <c r="F102" s="734"/>
      <c r="G102" s="734"/>
      <c r="H102" s="734"/>
      <c r="I102" s="734"/>
      <c r="J102" s="75">
        <f t="shared" si="8"/>
        <v>0</v>
      </c>
      <c r="K102" s="75">
        <f t="shared" si="9"/>
        <v>0</v>
      </c>
      <c r="L102" s="734"/>
      <c r="M102" s="736"/>
    </row>
    <row r="103" spans="1:13" ht="13.5" x14ac:dyDescent="0.25">
      <c r="A103" s="860">
        <f>'Org structure'!E115</f>
        <v>0</v>
      </c>
      <c r="B103" s="857"/>
      <c r="C103" s="735"/>
      <c r="D103" s="734"/>
      <c r="E103" s="734"/>
      <c r="F103" s="734"/>
      <c r="G103" s="734"/>
      <c r="H103" s="734"/>
      <c r="I103" s="734"/>
      <c r="J103" s="75">
        <f t="shared" si="8"/>
        <v>0</v>
      </c>
      <c r="K103" s="75">
        <f t="shared" si="9"/>
        <v>0</v>
      </c>
      <c r="L103" s="734"/>
      <c r="M103" s="736"/>
    </row>
    <row r="104" spans="1:13" ht="13.5" x14ac:dyDescent="0.25">
      <c r="A104" s="860">
        <f>'Org structure'!E116</f>
        <v>0</v>
      </c>
      <c r="B104" s="857"/>
      <c r="C104" s="735"/>
      <c r="D104" s="734"/>
      <c r="E104" s="734"/>
      <c r="F104" s="734"/>
      <c r="G104" s="734"/>
      <c r="H104" s="734"/>
      <c r="I104" s="734"/>
      <c r="J104" s="75">
        <f t="shared" si="8"/>
        <v>0</v>
      </c>
      <c r="K104" s="75">
        <f t="shared" si="9"/>
        <v>0</v>
      </c>
      <c r="L104" s="734"/>
      <c r="M104" s="736"/>
    </row>
    <row r="105" spans="1:13" ht="13.5" x14ac:dyDescent="0.25">
      <c r="A105" s="860">
        <f>'Org structure'!E117</f>
        <v>0</v>
      </c>
      <c r="B105" s="857"/>
      <c r="C105" s="735"/>
      <c r="D105" s="734"/>
      <c r="E105" s="734"/>
      <c r="F105" s="734"/>
      <c r="G105" s="734"/>
      <c r="H105" s="734"/>
      <c r="I105" s="734"/>
      <c r="J105" s="75">
        <f t="shared" si="8"/>
        <v>0</v>
      </c>
      <c r="K105" s="75">
        <f t="shared" si="9"/>
        <v>0</v>
      </c>
      <c r="L105" s="734"/>
      <c r="M105" s="736"/>
    </row>
    <row r="106" spans="1:13" ht="13.5" x14ac:dyDescent="0.25">
      <c r="A106" s="860">
        <f>'Org structure'!E118</f>
        <v>0</v>
      </c>
      <c r="B106" s="857"/>
      <c r="C106" s="735"/>
      <c r="D106" s="734"/>
      <c r="E106" s="734"/>
      <c r="F106" s="734"/>
      <c r="G106" s="734"/>
      <c r="H106" s="734"/>
      <c r="I106" s="734"/>
      <c r="J106" s="75">
        <f t="shared" si="8"/>
        <v>0</v>
      </c>
      <c r="K106" s="75">
        <f t="shared" si="9"/>
        <v>0</v>
      </c>
      <c r="L106" s="734"/>
      <c r="M106" s="736"/>
    </row>
    <row r="107" spans="1:13" ht="13.5" x14ac:dyDescent="0.25">
      <c r="A107" s="858" t="str">
        <f>'Org structure'!A11</f>
        <v>Vote 10 - TRANSPORT SERVICES</v>
      </c>
      <c r="B107" s="857"/>
      <c r="C107" s="733">
        <f>SUM(C108:C117)</f>
        <v>0</v>
      </c>
      <c r="D107" s="732">
        <f t="shared" ref="D107:I107" si="13">SUM(D108:D117)</f>
        <v>0</v>
      </c>
      <c r="E107" s="732">
        <f t="shared" si="13"/>
        <v>0</v>
      </c>
      <c r="F107" s="732">
        <f t="shared" si="13"/>
        <v>0</v>
      </c>
      <c r="G107" s="732">
        <f t="shared" si="13"/>
        <v>0</v>
      </c>
      <c r="H107" s="732">
        <f t="shared" si="13"/>
        <v>0</v>
      </c>
      <c r="I107" s="732">
        <f t="shared" si="13"/>
        <v>0</v>
      </c>
      <c r="J107" s="75">
        <f t="shared" si="8"/>
        <v>0</v>
      </c>
      <c r="K107" s="75">
        <f t="shared" si="9"/>
        <v>0</v>
      </c>
      <c r="L107" s="732">
        <f>SUM(L108:L117)</f>
        <v>0</v>
      </c>
      <c r="M107" s="760">
        <f>SUM(M108:M117)</f>
        <v>0</v>
      </c>
    </row>
    <row r="108" spans="1:13" ht="13.5" x14ac:dyDescent="0.25">
      <c r="A108" s="860" t="str">
        <f>'Org structure'!E120</f>
        <v>10.1 - [Name of sub-vote]</v>
      </c>
      <c r="B108" s="857"/>
      <c r="C108" s="735"/>
      <c r="D108" s="734"/>
      <c r="E108" s="734"/>
      <c r="F108" s="734"/>
      <c r="G108" s="734"/>
      <c r="H108" s="734"/>
      <c r="I108" s="734"/>
      <c r="J108" s="75">
        <f t="shared" si="8"/>
        <v>0</v>
      </c>
      <c r="K108" s="75">
        <f t="shared" si="9"/>
        <v>0</v>
      </c>
      <c r="L108" s="734"/>
      <c r="M108" s="736"/>
    </row>
    <row r="109" spans="1:13" ht="13.5" x14ac:dyDescent="0.25">
      <c r="A109" s="860">
        <f>'Org structure'!E121</f>
        <v>0</v>
      </c>
      <c r="B109" s="857"/>
      <c r="C109" s="735"/>
      <c r="D109" s="734"/>
      <c r="E109" s="734"/>
      <c r="F109" s="734"/>
      <c r="G109" s="734"/>
      <c r="H109" s="734"/>
      <c r="I109" s="734"/>
      <c r="J109" s="75">
        <f t="shared" si="8"/>
        <v>0</v>
      </c>
      <c r="K109" s="75">
        <f t="shared" si="9"/>
        <v>0</v>
      </c>
      <c r="L109" s="734"/>
      <c r="M109" s="736"/>
    </row>
    <row r="110" spans="1:13" ht="13.5" x14ac:dyDescent="0.25">
      <c r="A110" s="860">
        <f>'Org structure'!E122</f>
        <v>0</v>
      </c>
      <c r="B110" s="857"/>
      <c r="C110" s="735"/>
      <c r="D110" s="734"/>
      <c r="E110" s="734"/>
      <c r="F110" s="734"/>
      <c r="G110" s="734"/>
      <c r="H110" s="734"/>
      <c r="I110" s="734"/>
      <c r="J110" s="75">
        <f t="shared" si="8"/>
        <v>0</v>
      </c>
      <c r="K110" s="75">
        <f t="shared" si="9"/>
        <v>0</v>
      </c>
      <c r="L110" s="734"/>
      <c r="M110" s="736"/>
    </row>
    <row r="111" spans="1:13" ht="13.5" x14ac:dyDescent="0.25">
      <c r="A111" s="860">
        <f>'Org structure'!E123</f>
        <v>0</v>
      </c>
      <c r="B111" s="857"/>
      <c r="C111" s="735"/>
      <c r="D111" s="734"/>
      <c r="E111" s="734"/>
      <c r="F111" s="734"/>
      <c r="G111" s="734"/>
      <c r="H111" s="734"/>
      <c r="I111" s="734"/>
      <c r="J111" s="75">
        <f t="shared" si="8"/>
        <v>0</v>
      </c>
      <c r="K111" s="75">
        <f t="shared" si="9"/>
        <v>0</v>
      </c>
      <c r="L111" s="734"/>
      <c r="M111" s="736"/>
    </row>
    <row r="112" spans="1:13" ht="13.5" x14ac:dyDescent="0.25">
      <c r="A112" s="860">
        <f>'Org structure'!E124</f>
        <v>0</v>
      </c>
      <c r="B112" s="857"/>
      <c r="C112" s="735"/>
      <c r="D112" s="734"/>
      <c r="E112" s="734"/>
      <c r="F112" s="734"/>
      <c r="G112" s="734"/>
      <c r="H112" s="734"/>
      <c r="I112" s="734"/>
      <c r="J112" s="75">
        <f t="shared" si="8"/>
        <v>0</v>
      </c>
      <c r="K112" s="75">
        <f t="shared" si="9"/>
        <v>0</v>
      </c>
      <c r="L112" s="734"/>
      <c r="M112" s="736"/>
    </row>
    <row r="113" spans="1:13" ht="13.5" x14ac:dyDescent="0.25">
      <c r="A113" s="860">
        <f>'Org structure'!E125</f>
        <v>0</v>
      </c>
      <c r="B113" s="857"/>
      <c r="C113" s="735"/>
      <c r="D113" s="734"/>
      <c r="E113" s="734"/>
      <c r="F113" s="734"/>
      <c r="G113" s="734"/>
      <c r="H113" s="734"/>
      <c r="I113" s="734"/>
      <c r="J113" s="75">
        <f t="shared" si="8"/>
        <v>0</v>
      </c>
      <c r="K113" s="75">
        <f t="shared" si="9"/>
        <v>0</v>
      </c>
      <c r="L113" s="734"/>
      <c r="M113" s="736"/>
    </row>
    <row r="114" spans="1:13" ht="13.5" x14ac:dyDescent="0.25">
      <c r="A114" s="860">
        <f>'Org structure'!E126</f>
        <v>0</v>
      </c>
      <c r="B114" s="857"/>
      <c r="C114" s="735"/>
      <c r="D114" s="734"/>
      <c r="E114" s="734"/>
      <c r="F114" s="734"/>
      <c r="G114" s="734"/>
      <c r="H114" s="734"/>
      <c r="I114" s="734"/>
      <c r="J114" s="75">
        <f t="shared" si="8"/>
        <v>0</v>
      </c>
      <c r="K114" s="75">
        <f t="shared" si="9"/>
        <v>0</v>
      </c>
      <c r="L114" s="734"/>
      <c r="M114" s="736"/>
    </row>
    <row r="115" spans="1:13" ht="13.5" x14ac:dyDescent="0.25">
      <c r="A115" s="860">
        <f>'Org structure'!E127</f>
        <v>0</v>
      </c>
      <c r="B115" s="857"/>
      <c r="C115" s="735"/>
      <c r="D115" s="734"/>
      <c r="E115" s="734"/>
      <c r="F115" s="734"/>
      <c r="G115" s="734"/>
      <c r="H115" s="734"/>
      <c r="I115" s="734"/>
      <c r="J115" s="75">
        <f t="shared" si="8"/>
        <v>0</v>
      </c>
      <c r="K115" s="75">
        <f t="shared" si="9"/>
        <v>0</v>
      </c>
      <c r="L115" s="734"/>
      <c r="M115" s="736"/>
    </row>
    <row r="116" spans="1:13" ht="13.5" x14ac:dyDescent="0.25">
      <c r="A116" s="860">
        <f>'Org structure'!E128</f>
        <v>0</v>
      </c>
      <c r="B116" s="857"/>
      <c r="C116" s="735"/>
      <c r="D116" s="734"/>
      <c r="E116" s="734"/>
      <c r="F116" s="734"/>
      <c r="G116" s="734"/>
      <c r="H116" s="734"/>
      <c r="I116" s="734"/>
      <c r="J116" s="75">
        <f t="shared" si="8"/>
        <v>0</v>
      </c>
      <c r="K116" s="75">
        <f t="shared" si="9"/>
        <v>0</v>
      </c>
      <c r="L116" s="734"/>
      <c r="M116" s="736"/>
    </row>
    <row r="117" spans="1:13" ht="13.5" x14ac:dyDescent="0.25">
      <c r="A117" s="860">
        <f>'Org structure'!E129</f>
        <v>0</v>
      </c>
      <c r="B117" s="857"/>
      <c r="C117" s="735"/>
      <c r="D117" s="734"/>
      <c r="E117" s="734"/>
      <c r="F117" s="734"/>
      <c r="G117" s="734"/>
      <c r="H117" s="734"/>
      <c r="I117" s="734"/>
      <c r="J117" s="75">
        <f t="shared" si="8"/>
        <v>0</v>
      </c>
      <c r="K117" s="75">
        <f t="shared" si="9"/>
        <v>0</v>
      </c>
      <c r="L117" s="734"/>
      <c r="M117" s="736"/>
    </row>
    <row r="118" spans="1:13" ht="13.5" x14ac:dyDescent="0.25">
      <c r="A118" s="858" t="str">
        <f>'Org structure'!A12</f>
        <v>Vote 11 - HUMAN SETTLEMENT</v>
      </c>
      <c r="B118" s="857"/>
      <c r="C118" s="733">
        <f>SUM(C119:C128)</f>
        <v>0</v>
      </c>
      <c r="D118" s="732">
        <f t="shared" ref="D118:I118" si="14">SUM(D119:D128)</f>
        <v>0</v>
      </c>
      <c r="E118" s="732">
        <f t="shared" si="14"/>
        <v>0</v>
      </c>
      <c r="F118" s="732">
        <f t="shared" si="14"/>
        <v>0</v>
      </c>
      <c r="G118" s="732">
        <f t="shared" si="14"/>
        <v>0</v>
      </c>
      <c r="H118" s="732">
        <f t="shared" si="14"/>
        <v>0</v>
      </c>
      <c r="I118" s="732">
        <f t="shared" si="14"/>
        <v>0</v>
      </c>
      <c r="J118" s="75">
        <f t="shared" si="8"/>
        <v>0</v>
      </c>
      <c r="K118" s="75">
        <f t="shared" si="9"/>
        <v>0</v>
      </c>
      <c r="L118" s="732">
        <f>SUM(L119:L128)</f>
        <v>0</v>
      </c>
      <c r="M118" s="760">
        <f>SUM(M119:M128)</f>
        <v>0</v>
      </c>
    </row>
    <row r="119" spans="1:13" ht="13.5" x14ac:dyDescent="0.25">
      <c r="A119" s="860" t="str">
        <f>'Org structure'!E131</f>
        <v>11.1 - [Name of sub-vote]</v>
      </c>
      <c r="B119" s="857"/>
      <c r="C119" s="735"/>
      <c r="D119" s="734"/>
      <c r="E119" s="734"/>
      <c r="F119" s="734"/>
      <c r="G119" s="734"/>
      <c r="H119" s="734"/>
      <c r="I119" s="734"/>
      <c r="J119" s="75">
        <f t="shared" si="8"/>
        <v>0</v>
      </c>
      <c r="K119" s="75">
        <f t="shared" si="9"/>
        <v>0</v>
      </c>
      <c r="L119" s="734"/>
      <c r="M119" s="736"/>
    </row>
    <row r="120" spans="1:13" ht="13.5" x14ac:dyDescent="0.25">
      <c r="A120" s="860">
        <f>'Org structure'!E132</f>
        <v>0</v>
      </c>
      <c r="B120" s="857"/>
      <c r="C120" s="735"/>
      <c r="D120" s="734"/>
      <c r="E120" s="734"/>
      <c r="F120" s="734"/>
      <c r="G120" s="734"/>
      <c r="H120" s="734"/>
      <c r="I120" s="734"/>
      <c r="J120" s="75">
        <f t="shared" si="8"/>
        <v>0</v>
      </c>
      <c r="K120" s="75">
        <f t="shared" si="9"/>
        <v>0</v>
      </c>
      <c r="L120" s="734"/>
      <c r="M120" s="736"/>
    </row>
    <row r="121" spans="1:13" ht="13.5" x14ac:dyDescent="0.25">
      <c r="A121" s="860">
        <f>'Org structure'!E133</f>
        <v>0</v>
      </c>
      <c r="B121" s="857"/>
      <c r="C121" s="735"/>
      <c r="D121" s="734"/>
      <c r="E121" s="734"/>
      <c r="F121" s="734"/>
      <c r="G121" s="734"/>
      <c r="H121" s="734"/>
      <c r="I121" s="734"/>
      <c r="J121" s="75">
        <f t="shared" si="8"/>
        <v>0</v>
      </c>
      <c r="K121" s="75">
        <f t="shared" si="9"/>
        <v>0</v>
      </c>
      <c r="L121" s="734"/>
      <c r="M121" s="736"/>
    </row>
    <row r="122" spans="1:13" ht="13.5" x14ac:dyDescent="0.25">
      <c r="A122" s="860">
        <f>'Org structure'!E134</f>
        <v>0</v>
      </c>
      <c r="B122" s="857"/>
      <c r="C122" s="735"/>
      <c r="D122" s="734"/>
      <c r="E122" s="734"/>
      <c r="F122" s="734"/>
      <c r="G122" s="734"/>
      <c r="H122" s="734"/>
      <c r="I122" s="734"/>
      <c r="J122" s="75">
        <f t="shared" si="8"/>
        <v>0</v>
      </c>
      <c r="K122" s="75">
        <f t="shared" si="9"/>
        <v>0</v>
      </c>
      <c r="L122" s="734"/>
      <c r="M122" s="736"/>
    </row>
    <row r="123" spans="1:13" ht="13.5" x14ac:dyDescent="0.25">
      <c r="A123" s="860">
        <f>'Org structure'!E135</f>
        <v>0</v>
      </c>
      <c r="B123" s="857"/>
      <c r="C123" s="735"/>
      <c r="D123" s="734"/>
      <c r="E123" s="734"/>
      <c r="F123" s="734"/>
      <c r="G123" s="734"/>
      <c r="H123" s="734"/>
      <c r="I123" s="734"/>
      <c r="J123" s="75">
        <f t="shared" si="8"/>
        <v>0</v>
      </c>
      <c r="K123" s="75">
        <f t="shared" si="9"/>
        <v>0</v>
      </c>
      <c r="L123" s="734"/>
      <c r="M123" s="736"/>
    </row>
    <row r="124" spans="1:13" ht="13.5" x14ac:dyDescent="0.25">
      <c r="A124" s="860">
        <f>'Org structure'!E136</f>
        <v>0</v>
      </c>
      <c r="B124" s="857"/>
      <c r="C124" s="735"/>
      <c r="D124" s="734"/>
      <c r="E124" s="734"/>
      <c r="F124" s="734"/>
      <c r="G124" s="734"/>
      <c r="H124" s="734"/>
      <c r="I124" s="734"/>
      <c r="J124" s="75">
        <f t="shared" si="8"/>
        <v>0</v>
      </c>
      <c r="K124" s="75">
        <f t="shared" si="9"/>
        <v>0</v>
      </c>
      <c r="L124" s="734"/>
      <c r="M124" s="736"/>
    </row>
    <row r="125" spans="1:13" ht="13.5" x14ac:dyDescent="0.25">
      <c r="A125" s="860">
        <f>'Org structure'!E137</f>
        <v>0</v>
      </c>
      <c r="B125" s="857"/>
      <c r="C125" s="735"/>
      <c r="D125" s="734"/>
      <c r="E125" s="734"/>
      <c r="F125" s="734"/>
      <c r="G125" s="734"/>
      <c r="H125" s="734"/>
      <c r="I125" s="734"/>
      <c r="J125" s="75">
        <f t="shared" si="8"/>
        <v>0</v>
      </c>
      <c r="K125" s="75">
        <f t="shared" si="9"/>
        <v>0</v>
      </c>
      <c r="L125" s="734"/>
      <c r="M125" s="736"/>
    </row>
    <row r="126" spans="1:13" ht="13.5" x14ac:dyDescent="0.25">
      <c r="A126" s="860">
        <f>'Org structure'!E138</f>
        <v>0</v>
      </c>
      <c r="B126" s="857"/>
      <c r="C126" s="735"/>
      <c r="D126" s="734"/>
      <c r="E126" s="734"/>
      <c r="F126" s="734"/>
      <c r="G126" s="734"/>
      <c r="H126" s="734"/>
      <c r="I126" s="734"/>
      <c r="J126" s="75">
        <f t="shared" si="8"/>
        <v>0</v>
      </c>
      <c r="K126" s="75">
        <f t="shared" si="9"/>
        <v>0</v>
      </c>
      <c r="L126" s="734"/>
      <c r="M126" s="736"/>
    </row>
    <row r="127" spans="1:13" ht="13.5" x14ac:dyDescent="0.25">
      <c r="A127" s="860">
        <f>'Org structure'!E139</f>
        <v>0</v>
      </c>
      <c r="B127" s="857"/>
      <c r="C127" s="735"/>
      <c r="D127" s="734"/>
      <c r="E127" s="734"/>
      <c r="F127" s="734"/>
      <c r="G127" s="734"/>
      <c r="H127" s="734"/>
      <c r="I127" s="734"/>
      <c r="J127" s="75">
        <f t="shared" si="8"/>
        <v>0</v>
      </c>
      <c r="K127" s="75">
        <f t="shared" si="9"/>
        <v>0</v>
      </c>
      <c r="L127" s="734"/>
      <c r="M127" s="736"/>
    </row>
    <row r="128" spans="1:13" ht="13.5" x14ac:dyDescent="0.25">
      <c r="A128" s="860">
        <f>'Org structure'!E140</f>
        <v>0</v>
      </c>
      <c r="B128" s="857"/>
      <c r="C128" s="735"/>
      <c r="D128" s="734"/>
      <c r="E128" s="734"/>
      <c r="F128" s="734"/>
      <c r="G128" s="734"/>
      <c r="H128" s="734"/>
      <c r="I128" s="734"/>
      <c r="J128" s="75">
        <f t="shared" si="8"/>
        <v>0</v>
      </c>
      <c r="K128" s="75">
        <f t="shared" si="9"/>
        <v>0</v>
      </c>
      <c r="L128" s="734"/>
      <c r="M128" s="736"/>
    </row>
    <row r="129" spans="1:13" ht="13.5" x14ac:dyDescent="0.25">
      <c r="A129" s="858" t="str">
        <f>'Org structure'!A13</f>
        <v>Vote 12 - [NAME OF VOTE 12]</v>
      </c>
      <c r="B129" s="857"/>
      <c r="C129" s="733">
        <f>SUM(C130:C139)</f>
        <v>0</v>
      </c>
      <c r="D129" s="732">
        <f t="shared" ref="D129:I129" si="15">SUM(D130:D139)</f>
        <v>0</v>
      </c>
      <c r="E129" s="732">
        <f t="shared" si="15"/>
        <v>0</v>
      </c>
      <c r="F129" s="732">
        <f t="shared" si="15"/>
        <v>0</v>
      </c>
      <c r="G129" s="732">
        <f t="shared" si="15"/>
        <v>0</v>
      </c>
      <c r="H129" s="732">
        <f t="shared" si="15"/>
        <v>0</v>
      </c>
      <c r="I129" s="732">
        <f t="shared" si="15"/>
        <v>0</v>
      </c>
      <c r="J129" s="75">
        <f t="shared" si="8"/>
        <v>0</v>
      </c>
      <c r="K129" s="75">
        <f t="shared" si="9"/>
        <v>0</v>
      </c>
      <c r="L129" s="732">
        <f>SUM(L130:L139)</f>
        <v>0</v>
      </c>
      <c r="M129" s="760">
        <f>SUM(M130:M139)</f>
        <v>0</v>
      </c>
    </row>
    <row r="130" spans="1:13" ht="13.5" x14ac:dyDescent="0.25">
      <c r="A130" s="860" t="str">
        <f>'Org structure'!E142</f>
        <v>12.1 - [Name of sub-vote]</v>
      </c>
      <c r="B130" s="857"/>
      <c r="C130" s="735"/>
      <c r="D130" s="734"/>
      <c r="E130" s="734"/>
      <c r="F130" s="734"/>
      <c r="G130" s="734"/>
      <c r="H130" s="734"/>
      <c r="I130" s="734"/>
      <c r="J130" s="75">
        <f t="shared" si="8"/>
        <v>0</v>
      </c>
      <c r="K130" s="75">
        <f t="shared" si="9"/>
        <v>0</v>
      </c>
      <c r="L130" s="734"/>
      <c r="M130" s="736"/>
    </row>
    <row r="131" spans="1:13" ht="13.5" x14ac:dyDescent="0.25">
      <c r="A131" s="860">
        <f>'Org structure'!E143</f>
        <v>0</v>
      </c>
      <c r="B131" s="857"/>
      <c r="C131" s="735"/>
      <c r="D131" s="734"/>
      <c r="E131" s="734"/>
      <c r="F131" s="734"/>
      <c r="G131" s="734"/>
      <c r="H131" s="734"/>
      <c r="I131" s="734"/>
      <c r="J131" s="75">
        <f t="shared" si="8"/>
        <v>0</v>
      </c>
      <c r="K131" s="75">
        <f t="shared" si="9"/>
        <v>0</v>
      </c>
      <c r="L131" s="734"/>
      <c r="M131" s="736"/>
    </row>
    <row r="132" spans="1:13" ht="13.5" x14ac:dyDescent="0.25">
      <c r="A132" s="860">
        <f>'Org structure'!E144</f>
        <v>0</v>
      </c>
      <c r="B132" s="857"/>
      <c r="C132" s="735"/>
      <c r="D132" s="734"/>
      <c r="E132" s="734"/>
      <c r="F132" s="734"/>
      <c r="G132" s="734"/>
      <c r="H132" s="734"/>
      <c r="I132" s="734"/>
      <c r="J132" s="75">
        <f t="shared" si="8"/>
        <v>0</v>
      </c>
      <c r="K132" s="75">
        <f t="shared" si="9"/>
        <v>0</v>
      </c>
      <c r="L132" s="734"/>
      <c r="M132" s="736"/>
    </row>
    <row r="133" spans="1:13" ht="13.5" x14ac:dyDescent="0.25">
      <c r="A133" s="860">
        <f>'Org structure'!E145</f>
        <v>0</v>
      </c>
      <c r="B133" s="857"/>
      <c r="C133" s="735"/>
      <c r="D133" s="734"/>
      <c r="E133" s="734"/>
      <c r="F133" s="734"/>
      <c r="G133" s="734"/>
      <c r="H133" s="734"/>
      <c r="I133" s="734"/>
      <c r="J133" s="75">
        <f t="shared" si="8"/>
        <v>0</v>
      </c>
      <c r="K133" s="75">
        <f t="shared" si="9"/>
        <v>0</v>
      </c>
      <c r="L133" s="734"/>
      <c r="M133" s="736"/>
    </row>
    <row r="134" spans="1:13" ht="13.5" x14ac:dyDescent="0.25">
      <c r="A134" s="860">
        <f>'Org structure'!E146</f>
        <v>0</v>
      </c>
      <c r="B134" s="857"/>
      <c r="C134" s="735"/>
      <c r="D134" s="734"/>
      <c r="E134" s="734"/>
      <c r="F134" s="734"/>
      <c r="G134" s="734"/>
      <c r="H134" s="734"/>
      <c r="I134" s="734"/>
      <c r="J134" s="75">
        <f t="shared" si="8"/>
        <v>0</v>
      </c>
      <c r="K134" s="75">
        <f t="shared" si="9"/>
        <v>0</v>
      </c>
      <c r="L134" s="734"/>
      <c r="M134" s="736"/>
    </row>
    <row r="135" spans="1:13" ht="13.5" x14ac:dyDescent="0.25">
      <c r="A135" s="860">
        <f>'Org structure'!E147</f>
        <v>0</v>
      </c>
      <c r="B135" s="857"/>
      <c r="C135" s="735"/>
      <c r="D135" s="734"/>
      <c r="E135" s="734"/>
      <c r="F135" s="734"/>
      <c r="G135" s="734"/>
      <c r="H135" s="734"/>
      <c r="I135" s="734"/>
      <c r="J135" s="75">
        <f t="shared" si="8"/>
        <v>0</v>
      </c>
      <c r="K135" s="75">
        <f t="shared" si="9"/>
        <v>0</v>
      </c>
      <c r="L135" s="734"/>
      <c r="M135" s="736"/>
    </row>
    <row r="136" spans="1:13" ht="13.5" x14ac:dyDescent="0.25">
      <c r="A136" s="860">
        <f>'Org structure'!E148</f>
        <v>0</v>
      </c>
      <c r="B136" s="857"/>
      <c r="C136" s="735"/>
      <c r="D136" s="734"/>
      <c r="E136" s="734"/>
      <c r="F136" s="734"/>
      <c r="G136" s="734"/>
      <c r="H136" s="734"/>
      <c r="I136" s="734"/>
      <c r="J136" s="75">
        <f t="shared" ref="J136:J173" si="16">SUM(E136:I136)</f>
        <v>0</v>
      </c>
      <c r="K136" s="75">
        <f t="shared" ref="K136:K173" si="17">IF(D136=0,C136+J136,D136+J136)</f>
        <v>0</v>
      </c>
      <c r="L136" s="734"/>
      <c r="M136" s="736"/>
    </row>
    <row r="137" spans="1:13" ht="13.5" x14ac:dyDescent="0.25">
      <c r="A137" s="860">
        <f>'Org structure'!E149</f>
        <v>0</v>
      </c>
      <c r="B137" s="857"/>
      <c r="C137" s="735"/>
      <c r="D137" s="734"/>
      <c r="E137" s="734"/>
      <c r="F137" s="734"/>
      <c r="G137" s="734"/>
      <c r="H137" s="734"/>
      <c r="I137" s="734"/>
      <c r="J137" s="75">
        <f t="shared" si="16"/>
        <v>0</v>
      </c>
      <c r="K137" s="75">
        <f t="shared" si="17"/>
        <v>0</v>
      </c>
      <c r="L137" s="734"/>
      <c r="M137" s="736"/>
    </row>
    <row r="138" spans="1:13" ht="13.5" x14ac:dyDescent="0.25">
      <c r="A138" s="860">
        <f>'Org structure'!E150</f>
        <v>0</v>
      </c>
      <c r="B138" s="857"/>
      <c r="C138" s="735"/>
      <c r="D138" s="734"/>
      <c r="E138" s="734"/>
      <c r="F138" s="734"/>
      <c r="G138" s="734"/>
      <c r="H138" s="734"/>
      <c r="I138" s="734"/>
      <c r="J138" s="75">
        <f t="shared" si="16"/>
        <v>0</v>
      </c>
      <c r="K138" s="75">
        <f t="shared" si="17"/>
        <v>0</v>
      </c>
      <c r="L138" s="734"/>
      <c r="M138" s="736"/>
    </row>
    <row r="139" spans="1:13" ht="13.5" x14ac:dyDescent="0.25">
      <c r="A139" s="860">
        <f>'Org structure'!E151</f>
        <v>0</v>
      </c>
      <c r="B139" s="857"/>
      <c r="C139" s="735"/>
      <c r="D139" s="734"/>
      <c r="E139" s="734"/>
      <c r="F139" s="734"/>
      <c r="G139" s="734"/>
      <c r="H139" s="734"/>
      <c r="I139" s="734"/>
      <c r="J139" s="75">
        <f t="shared" si="16"/>
        <v>0</v>
      </c>
      <c r="K139" s="75">
        <f t="shared" si="17"/>
        <v>0</v>
      </c>
      <c r="L139" s="734"/>
      <c r="M139" s="736"/>
    </row>
    <row r="140" spans="1:13" ht="13.5" x14ac:dyDescent="0.25">
      <c r="A140" s="858" t="str">
        <f>'Org structure'!A14</f>
        <v>Vote 13 - [NAME OF VOTE 13]</v>
      </c>
      <c r="B140" s="857"/>
      <c r="C140" s="733">
        <f>SUM(C141:C150)</f>
        <v>0</v>
      </c>
      <c r="D140" s="732">
        <f t="shared" ref="D140:I140" si="18">SUM(D141:D150)</f>
        <v>0</v>
      </c>
      <c r="E140" s="732">
        <f t="shared" si="18"/>
        <v>0</v>
      </c>
      <c r="F140" s="732">
        <f t="shared" si="18"/>
        <v>0</v>
      </c>
      <c r="G140" s="732">
        <f t="shared" si="18"/>
        <v>0</v>
      </c>
      <c r="H140" s="732">
        <f t="shared" si="18"/>
        <v>0</v>
      </c>
      <c r="I140" s="732">
        <f t="shared" si="18"/>
        <v>0</v>
      </c>
      <c r="J140" s="75">
        <f t="shared" si="16"/>
        <v>0</v>
      </c>
      <c r="K140" s="75">
        <f t="shared" si="17"/>
        <v>0</v>
      </c>
      <c r="L140" s="732">
        <f>SUM(L141:L150)</f>
        <v>0</v>
      </c>
      <c r="M140" s="760">
        <f>SUM(M141:M150)</f>
        <v>0</v>
      </c>
    </row>
    <row r="141" spans="1:13" ht="13.5" x14ac:dyDescent="0.25">
      <c r="A141" s="860" t="str">
        <f>'Org structure'!E153</f>
        <v>13.1 - [Name of sub-vote]</v>
      </c>
      <c r="B141" s="857"/>
      <c r="C141" s="735"/>
      <c r="D141" s="734"/>
      <c r="E141" s="734"/>
      <c r="F141" s="734"/>
      <c r="G141" s="734"/>
      <c r="H141" s="734"/>
      <c r="I141" s="734"/>
      <c r="J141" s="75">
        <f t="shared" si="16"/>
        <v>0</v>
      </c>
      <c r="K141" s="75">
        <f t="shared" si="17"/>
        <v>0</v>
      </c>
      <c r="L141" s="734"/>
      <c r="M141" s="736"/>
    </row>
    <row r="142" spans="1:13" ht="13.5" x14ac:dyDescent="0.25">
      <c r="A142" s="860">
        <f>'Org structure'!E154</f>
        <v>0</v>
      </c>
      <c r="B142" s="857"/>
      <c r="C142" s="735"/>
      <c r="D142" s="734"/>
      <c r="E142" s="734"/>
      <c r="F142" s="734"/>
      <c r="G142" s="734"/>
      <c r="H142" s="734"/>
      <c r="I142" s="734"/>
      <c r="J142" s="75">
        <f t="shared" si="16"/>
        <v>0</v>
      </c>
      <c r="K142" s="75">
        <f t="shared" si="17"/>
        <v>0</v>
      </c>
      <c r="L142" s="734"/>
      <c r="M142" s="736"/>
    </row>
    <row r="143" spans="1:13" ht="13.5" x14ac:dyDescent="0.25">
      <c r="A143" s="860">
        <f>'Org structure'!E155</f>
        <v>0</v>
      </c>
      <c r="B143" s="857"/>
      <c r="C143" s="735"/>
      <c r="D143" s="734"/>
      <c r="E143" s="734"/>
      <c r="F143" s="734"/>
      <c r="G143" s="734"/>
      <c r="H143" s="734"/>
      <c r="I143" s="734"/>
      <c r="J143" s="75">
        <f t="shared" si="16"/>
        <v>0</v>
      </c>
      <c r="K143" s="75">
        <f t="shared" si="17"/>
        <v>0</v>
      </c>
      <c r="L143" s="734"/>
      <c r="M143" s="736"/>
    </row>
    <row r="144" spans="1:13" ht="13.5" x14ac:dyDescent="0.25">
      <c r="A144" s="860">
        <f>'Org structure'!E156</f>
        <v>0</v>
      </c>
      <c r="B144" s="857"/>
      <c r="C144" s="735"/>
      <c r="D144" s="734"/>
      <c r="E144" s="734"/>
      <c r="F144" s="734"/>
      <c r="G144" s="734"/>
      <c r="H144" s="734"/>
      <c r="I144" s="734"/>
      <c r="J144" s="75">
        <f t="shared" si="16"/>
        <v>0</v>
      </c>
      <c r="K144" s="75">
        <f t="shared" si="17"/>
        <v>0</v>
      </c>
      <c r="L144" s="734"/>
      <c r="M144" s="736"/>
    </row>
    <row r="145" spans="1:13" ht="13.5" x14ac:dyDescent="0.25">
      <c r="A145" s="860">
        <f>'Org structure'!E157</f>
        <v>0</v>
      </c>
      <c r="B145" s="857"/>
      <c r="C145" s="735"/>
      <c r="D145" s="734"/>
      <c r="E145" s="734"/>
      <c r="F145" s="734"/>
      <c r="G145" s="734"/>
      <c r="H145" s="734"/>
      <c r="I145" s="734"/>
      <c r="J145" s="75">
        <f t="shared" si="16"/>
        <v>0</v>
      </c>
      <c r="K145" s="75">
        <f t="shared" si="17"/>
        <v>0</v>
      </c>
      <c r="L145" s="734"/>
      <c r="M145" s="736"/>
    </row>
    <row r="146" spans="1:13" ht="13.5" x14ac:dyDescent="0.25">
      <c r="A146" s="860">
        <f>'Org structure'!E158</f>
        <v>0</v>
      </c>
      <c r="B146" s="857"/>
      <c r="C146" s="735"/>
      <c r="D146" s="734"/>
      <c r="E146" s="734"/>
      <c r="F146" s="734"/>
      <c r="G146" s="734"/>
      <c r="H146" s="734"/>
      <c r="I146" s="734"/>
      <c r="J146" s="75">
        <f t="shared" si="16"/>
        <v>0</v>
      </c>
      <c r="K146" s="75">
        <f t="shared" si="17"/>
        <v>0</v>
      </c>
      <c r="L146" s="734"/>
      <c r="M146" s="736"/>
    </row>
    <row r="147" spans="1:13" ht="13.5" x14ac:dyDescent="0.25">
      <c r="A147" s="860">
        <f>'Org structure'!E159</f>
        <v>0</v>
      </c>
      <c r="B147" s="857"/>
      <c r="C147" s="735"/>
      <c r="D147" s="734"/>
      <c r="E147" s="734"/>
      <c r="F147" s="734"/>
      <c r="G147" s="734"/>
      <c r="H147" s="734"/>
      <c r="I147" s="734"/>
      <c r="J147" s="75">
        <f t="shared" si="16"/>
        <v>0</v>
      </c>
      <c r="K147" s="75">
        <f t="shared" si="17"/>
        <v>0</v>
      </c>
      <c r="L147" s="734"/>
      <c r="M147" s="736"/>
    </row>
    <row r="148" spans="1:13" ht="13.5" x14ac:dyDescent="0.25">
      <c r="A148" s="860">
        <f>'Org structure'!E160</f>
        <v>0</v>
      </c>
      <c r="B148" s="857"/>
      <c r="C148" s="735"/>
      <c r="D148" s="734"/>
      <c r="E148" s="734"/>
      <c r="F148" s="734"/>
      <c r="G148" s="734"/>
      <c r="H148" s="734"/>
      <c r="I148" s="734"/>
      <c r="J148" s="75">
        <f t="shared" si="16"/>
        <v>0</v>
      </c>
      <c r="K148" s="75">
        <f t="shared" si="17"/>
        <v>0</v>
      </c>
      <c r="L148" s="734"/>
      <c r="M148" s="736"/>
    </row>
    <row r="149" spans="1:13" ht="13.5" x14ac:dyDescent="0.25">
      <c r="A149" s="860">
        <f>'Org structure'!E161</f>
        <v>0</v>
      </c>
      <c r="B149" s="857"/>
      <c r="C149" s="735"/>
      <c r="D149" s="734"/>
      <c r="E149" s="734"/>
      <c r="F149" s="734"/>
      <c r="G149" s="734"/>
      <c r="H149" s="734"/>
      <c r="I149" s="734"/>
      <c r="J149" s="75">
        <f t="shared" si="16"/>
        <v>0</v>
      </c>
      <c r="K149" s="75">
        <f t="shared" si="17"/>
        <v>0</v>
      </c>
      <c r="L149" s="734"/>
      <c r="M149" s="736"/>
    </row>
    <row r="150" spans="1:13" ht="13.5" x14ac:dyDescent="0.25">
      <c r="A150" s="860">
        <f>'Org structure'!E162</f>
        <v>0</v>
      </c>
      <c r="B150" s="857"/>
      <c r="C150" s="735"/>
      <c r="D150" s="734"/>
      <c r="E150" s="734"/>
      <c r="F150" s="734"/>
      <c r="G150" s="734"/>
      <c r="H150" s="734"/>
      <c r="I150" s="734"/>
      <c r="J150" s="75">
        <f t="shared" si="16"/>
        <v>0</v>
      </c>
      <c r="K150" s="75">
        <f t="shared" si="17"/>
        <v>0</v>
      </c>
      <c r="L150" s="734"/>
      <c r="M150" s="736"/>
    </row>
    <row r="151" spans="1:13" ht="13.5" x14ac:dyDescent="0.25">
      <c r="A151" s="858" t="str">
        <f>'Org structure'!A15</f>
        <v>Vote 14 - [NAME OF VOTE 14]</v>
      </c>
      <c r="B151" s="857"/>
      <c r="C151" s="733">
        <f>SUM(C152:C161)</f>
        <v>0</v>
      </c>
      <c r="D151" s="732">
        <f t="shared" ref="D151:I151" si="19">SUM(D152:D161)</f>
        <v>0</v>
      </c>
      <c r="E151" s="732">
        <f t="shared" si="19"/>
        <v>0</v>
      </c>
      <c r="F151" s="732">
        <f t="shared" si="19"/>
        <v>0</v>
      </c>
      <c r="G151" s="732">
        <f t="shared" si="19"/>
        <v>0</v>
      </c>
      <c r="H151" s="732">
        <f t="shared" si="19"/>
        <v>0</v>
      </c>
      <c r="I151" s="732">
        <f t="shared" si="19"/>
        <v>0</v>
      </c>
      <c r="J151" s="75">
        <f t="shared" si="16"/>
        <v>0</v>
      </c>
      <c r="K151" s="75">
        <f t="shared" si="17"/>
        <v>0</v>
      </c>
      <c r="L151" s="732">
        <f>SUM(L152:L161)</f>
        <v>0</v>
      </c>
      <c r="M151" s="760">
        <f>SUM(M152:M161)</f>
        <v>0</v>
      </c>
    </row>
    <row r="152" spans="1:13" ht="13.5" x14ac:dyDescent="0.25">
      <c r="A152" s="860" t="str">
        <f>'Org structure'!E164</f>
        <v>14.1 - [Name of sub-vote]</v>
      </c>
      <c r="B152" s="857"/>
      <c r="C152" s="735"/>
      <c r="D152" s="734"/>
      <c r="E152" s="734"/>
      <c r="F152" s="734"/>
      <c r="G152" s="734"/>
      <c r="H152" s="734"/>
      <c r="I152" s="734"/>
      <c r="J152" s="75">
        <f t="shared" si="16"/>
        <v>0</v>
      </c>
      <c r="K152" s="75">
        <f t="shared" si="17"/>
        <v>0</v>
      </c>
      <c r="L152" s="734"/>
      <c r="M152" s="736"/>
    </row>
    <row r="153" spans="1:13" ht="13.5" x14ac:dyDescent="0.25">
      <c r="A153" s="860">
        <f>'Org structure'!E165</f>
        <v>0</v>
      </c>
      <c r="B153" s="857"/>
      <c r="C153" s="735"/>
      <c r="D153" s="734"/>
      <c r="E153" s="734"/>
      <c r="F153" s="734"/>
      <c r="G153" s="734"/>
      <c r="H153" s="734"/>
      <c r="I153" s="734"/>
      <c r="J153" s="75">
        <f t="shared" si="16"/>
        <v>0</v>
      </c>
      <c r="K153" s="75">
        <f t="shared" si="17"/>
        <v>0</v>
      </c>
      <c r="L153" s="734"/>
      <c r="M153" s="736"/>
    </row>
    <row r="154" spans="1:13" ht="13.5" x14ac:dyDescent="0.25">
      <c r="A154" s="860">
        <f>'Org structure'!E166</f>
        <v>0</v>
      </c>
      <c r="B154" s="857"/>
      <c r="C154" s="735"/>
      <c r="D154" s="734"/>
      <c r="E154" s="734"/>
      <c r="F154" s="734"/>
      <c r="G154" s="734"/>
      <c r="H154" s="734"/>
      <c r="I154" s="734"/>
      <c r="J154" s="75">
        <f t="shared" si="16"/>
        <v>0</v>
      </c>
      <c r="K154" s="75">
        <f t="shared" si="17"/>
        <v>0</v>
      </c>
      <c r="L154" s="734"/>
      <c r="M154" s="736"/>
    </row>
    <row r="155" spans="1:13" ht="13.5" x14ac:dyDescent="0.25">
      <c r="A155" s="860">
        <f>'Org structure'!E167</f>
        <v>0</v>
      </c>
      <c r="B155" s="857"/>
      <c r="C155" s="735"/>
      <c r="D155" s="734"/>
      <c r="E155" s="734"/>
      <c r="F155" s="734"/>
      <c r="G155" s="734"/>
      <c r="H155" s="734"/>
      <c r="I155" s="734"/>
      <c r="J155" s="75">
        <f t="shared" si="16"/>
        <v>0</v>
      </c>
      <c r="K155" s="75">
        <f t="shared" si="17"/>
        <v>0</v>
      </c>
      <c r="L155" s="734"/>
      <c r="M155" s="736"/>
    </row>
    <row r="156" spans="1:13" ht="13.5" x14ac:dyDescent="0.25">
      <c r="A156" s="860">
        <f>'Org structure'!E168</f>
        <v>0</v>
      </c>
      <c r="B156" s="857"/>
      <c r="C156" s="735"/>
      <c r="D156" s="734"/>
      <c r="E156" s="734"/>
      <c r="F156" s="734"/>
      <c r="G156" s="734"/>
      <c r="H156" s="734"/>
      <c r="I156" s="734"/>
      <c r="J156" s="75">
        <f t="shared" si="16"/>
        <v>0</v>
      </c>
      <c r="K156" s="75">
        <f t="shared" si="17"/>
        <v>0</v>
      </c>
      <c r="L156" s="734"/>
      <c r="M156" s="736"/>
    </row>
    <row r="157" spans="1:13" ht="13.5" x14ac:dyDescent="0.25">
      <c r="A157" s="860">
        <f>'Org structure'!E169</f>
        <v>0</v>
      </c>
      <c r="B157" s="857"/>
      <c r="C157" s="735"/>
      <c r="D157" s="734"/>
      <c r="E157" s="734"/>
      <c r="F157" s="734"/>
      <c r="G157" s="734"/>
      <c r="H157" s="734"/>
      <c r="I157" s="734"/>
      <c r="J157" s="75">
        <f t="shared" si="16"/>
        <v>0</v>
      </c>
      <c r="K157" s="75">
        <f t="shared" si="17"/>
        <v>0</v>
      </c>
      <c r="L157" s="734"/>
      <c r="M157" s="736"/>
    </row>
    <row r="158" spans="1:13" ht="13.5" x14ac:dyDescent="0.25">
      <c r="A158" s="860">
        <f>'Org structure'!E170</f>
        <v>0</v>
      </c>
      <c r="B158" s="857"/>
      <c r="C158" s="735"/>
      <c r="D158" s="734"/>
      <c r="E158" s="734"/>
      <c r="F158" s="734"/>
      <c r="G158" s="734"/>
      <c r="H158" s="734"/>
      <c r="I158" s="734"/>
      <c r="J158" s="75">
        <f t="shared" si="16"/>
        <v>0</v>
      </c>
      <c r="K158" s="75">
        <f t="shared" si="17"/>
        <v>0</v>
      </c>
      <c r="L158" s="734"/>
      <c r="M158" s="736"/>
    </row>
    <row r="159" spans="1:13" ht="13.5" x14ac:dyDescent="0.25">
      <c r="A159" s="860">
        <f>'Org structure'!E171</f>
        <v>0</v>
      </c>
      <c r="B159" s="857"/>
      <c r="C159" s="735"/>
      <c r="D159" s="734"/>
      <c r="E159" s="734"/>
      <c r="F159" s="734"/>
      <c r="G159" s="734"/>
      <c r="H159" s="734"/>
      <c r="I159" s="734"/>
      <c r="J159" s="75">
        <f t="shared" si="16"/>
        <v>0</v>
      </c>
      <c r="K159" s="75">
        <f t="shared" si="17"/>
        <v>0</v>
      </c>
      <c r="L159" s="734"/>
      <c r="M159" s="736"/>
    </row>
    <row r="160" spans="1:13" ht="13.5" x14ac:dyDescent="0.25">
      <c r="A160" s="860">
        <f>'Org structure'!E172</f>
        <v>0</v>
      </c>
      <c r="B160" s="857"/>
      <c r="C160" s="735"/>
      <c r="D160" s="734"/>
      <c r="E160" s="734"/>
      <c r="F160" s="734"/>
      <c r="G160" s="734"/>
      <c r="H160" s="734"/>
      <c r="I160" s="734"/>
      <c r="J160" s="75">
        <f t="shared" si="16"/>
        <v>0</v>
      </c>
      <c r="K160" s="75">
        <f t="shared" si="17"/>
        <v>0</v>
      </c>
      <c r="L160" s="734"/>
      <c r="M160" s="736"/>
    </row>
    <row r="161" spans="1:14" ht="13.5" x14ac:dyDescent="0.25">
      <c r="A161" s="860">
        <f>'Org structure'!E173</f>
        <v>0</v>
      </c>
      <c r="B161" s="857"/>
      <c r="C161" s="735"/>
      <c r="D161" s="734"/>
      <c r="E161" s="734"/>
      <c r="F161" s="734"/>
      <c r="G161" s="734"/>
      <c r="H161" s="734"/>
      <c r="I161" s="734"/>
      <c r="J161" s="75">
        <f t="shared" si="16"/>
        <v>0</v>
      </c>
      <c r="K161" s="75">
        <f t="shared" si="17"/>
        <v>0</v>
      </c>
      <c r="L161" s="734"/>
      <c r="M161" s="736"/>
    </row>
    <row r="162" spans="1:14" ht="13.5" x14ac:dyDescent="0.25">
      <c r="A162" s="858" t="str">
        <f>'Org structure'!A16</f>
        <v>Vote 15 - [NAME OF VOTE 15]</v>
      </c>
      <c r="B162" s="857"/>
      <c r="C162" s="733">
        <f>SUM(C163:C172)</f>
        <v>0</v>
      </c>
      <c r="D162" s="732">
        <f t="shared" ref="D162:I162" si="20">SUM(D163:D172)</f>
        <v>0</v>
      </c>
      <c r="E162" s="732">
        <f t="shared" si="20"/>
        <v>0</v>
      </c>
      <c r="F162" s="732">
        <f t="shared" si="20"/>
        <v>0</v>
      </c>
      <c r="G162" s="732">
        <f t="shared" si="20"/>
        <v>0</v>
      </c>
      <c r="H162" s="732">
        <f t="shared" si="20"/>
        <v>0</v>
      </c>
      <c r="I162" s="732">
        <f t="shared" si="20"/>
        <v>0</v>
      </c>
      <c r="J162" s="75">
        <f t="shared" si="16"/>
        <v>0</v>
      </c>
      <c r="K162" s="75">
        <f t="shared" si="17"/>
        <v>0</v>
      </c>
      <c r="L162" s="732">
        <f>SUM(L163:L172)</f>
        <v>0</v>
      </c>
      <c r="M162" s="760">
        <f>SUM(M163:M172)</f>
        <v>0</v>
      </c>
    </row>
    <row r="163" spans="1:14" ht="13.5" x14ac:dyDescent="0.25">
      <c r="A163" s="860" t="str">
        <f>'Org structure'!E175</f>
        <v>15.1 - [Name of sub-vote]</v>
      </c>
      <c r="B163" s="857"/>
      <c r="C163" s="735"/>
      <c r="D163" s="734"/>
      <c r="E163" s="734"/>
      <c r="F163" s="734"/>
      <c r="G163" s="734"/>
      <c r="H163" s="734"/>
      <c r="I163" s="734"/>
      <c r="J163" s="75">
        <f t="shared" si="16"/>
        <v>0</v>
      </c>
      <c r="K163" s="75">
        <f t="shared" si="17"/>
        <v>0</v>
      </c>
      <c r="L163" s="734"/>
      <c r="M163" s="736"/>
    </row>
    <row r="164" spans="1:14" ht="13.5" x14ac:dyDescent="0.25">
      <c r="A164" s="860">
        <f>'Org structure'!E176</f>
        <v>0</v>
      </c>
      <c r="B164" s="857"/>
      <c r="C164" s="735"/>
      <c r="D164" s="734"/>
      <c r="E164" s="734"/>
      <c r="F164" s="734"/>
      <c r="G164" s="734"/>
      <c r="H164" s="734"/>
      <c r="I164" s="734"/>
      <c r="J164" s="75">
        <f t="shared" si="16"/>
        <v>0</v>
      </c>
      <c r="K164" s="75">
        <f t="shared" si="17"/>
        <v>0</v>
      </c>
      <c r="L164" s="734"/>
      <c r="M164" s="736"/>
    </row>
    <row r="165" spans="1:14" ht="13.5" x14ac:dyDescent="0.25">
      <c r="A165" s="860">
        <f>'Org structure'!E177</f>
        <v>0</v>
      </c>
      <c r="B165" s="857"/>
      <c r="C165" s="735"/>
      <c r="D165" s="734"/>
      <c r="E165" s="734"/>
      <c r="F165" s="734"/>
      <c r="G165" s="734"/>
      <c r="H165" s="734"/>
      <c r="I165" s="734"/>
      <c r="J165" s="75">
        <f t="shared" si="16"/>
        <v>0</v>
      </c>
      <c r="K165" s="75">
        <f t="shared" si="17"/>
        <v>0</v>
      </c>
      <c r="L165" s="734"/>
      <c r="M165" s="736"/>
    </row>
    <row r="166" spans="1:14" ht="13.5" x14ac:dyDescent="0.25">
      <c r="A166" s="860">
        <f>'Org structure'!E178</f>
        <v>0</v>
      </c>
      <c r="B166" s="857"/>
      <c r="C166" s="735"/>
      <c r="D166" s="734"/>
      <c r="E166" s="734"/>
      <c r="F166" s="734"/>
      <c r="G166" s="734"/>
      <c r="H166" s="734"/>
      <c r="I166" s="734"/>
      <c r="J166" s="75">
        <f t="shared" si="16"/>
        <v>0</v>
      </c>
      <c r="K166" s="75">
        <f t="shared" si="17"/>
        <v>0</v>
      </c>
      <c r="L166" s="734"/>
      <c r="M166" s="736"/>
    </row>
    <row r="167" spans="1:14" ht="13.5" x14ac:dyDescent="0.25">
      <c r="A167" s="860">
        <f>'Org structure'!E179</f>
        <v>0</v>
      </c>
      <c r="B167" s="857"/>
      <c r="C167" s="735"/>
      <c r="D167" s="734"/>
      <c r="E167" s="734"/>
      <c r="F167" s="734"/>
      <c r="G167" s="734"/>
      <c r="H167" s="734"/>
      <c r="I167" s="734"/>
      <c r="J167" s="75">
        <f t="shared" si="16"/>
        <v>0</v>
      </c>
      <c r="K167" s="75">
        <f t="shared" si="17"/>
        <v>0</v>
      </c>
      <c r="L167" s="734"/>
      <c r="M167" s="736"/>
    </row>
    <row r="168" spans="1:14" ht="13.5" x14ac:dyDescent="0.25">
      <c r="A168" s="860">
        <f>'Org structure'!E180</f>
        <v>0</v>
      </c>
      <c r="B168" s="857"/>
      <c r="C168" s="735"/>
      <c r="D168" s="734"/>
      <c r="E168" s="734"/>
      <c r="F168" s="734"/>
      <c r="G168" s="734"/>
      <c r="H168" s="734"/>
      <c r="I168" s="734"/>
      <c r="J168" s="75">
        <f t="shared" si="16"/>
        <v>0</v>
      </c>
      <c r="K168" s="75">
        <f t="shared" si="17"/>
        <v>0</v>
      </c>
      <c r="L168" s="734"/>
      <c r="M168" s="736"/>
    </row>
    <row r="169" spans="1:14" ht="13.5" x14ac:dyDescent="0.25">
      <c r="A169" s="860">
        <f>'Org structure'!E181</f>
        <v>0</v>
      </c>
      <c r="B169" s="857"/>
      <c r="C169" s="735"/>
      <c r="D169" s="734"/>
      <c r="E169" s="734"/>
      <c r="F169" s="734"/>
      <c r="G169" s="734"/>
      <c r="H169" s="734"/>
      <c r="I169" s="734"/>
      <c r="J169" s="75">
        <f t="shared" si="16"/>
        <v>0</v>
      </c>
      <c r="K169" s="75">
        <f t="shared" si="17"/>
        <v>0</v>
      </c>
      <c r="L169" s="734"/>
      <c r="M169" s="736"/>
    </row>
    <row r="170" spans="1:14" ht="13.5" x14ac:dyDescent="0.25">
      <c r="A170" s="860">
        <f>'Org structure'!E182</f>
        <v>0</v>
      </c>
      <c r="B170" s="857"/>
      <c r="C170" s="735"/>
      <c r="D170" s="734"/>
      <c r="E170" s="734"/>
      <c r="F170" s="734"/>
      <c r="G170" s="734"/>
      <c r="H170" s="734"/>
      <c r="I170" s="734"/>
      <c r="J170" s="75">
        <f t="shared" si="16"/>
        <v>0</v>
      </c>
      <c r="K170" s="75">
        <f t="shared" si="17"/>
        <v>0</v>
      </c>
      <c r="L170" s="734"/>
      <c r="M170" s="736"/>
    </row>
    <row r="171" spans="1:14" ht="13.5" x14ac:dyDescent="0.25">
      <c r="A171" s="860">
        <f>'Org structure'!E183</f>
        <v>0</v>
      </c>
      <c r="B171" s="857"/>
      <c r="C171" s="735"/>
      <c r="D171" s="734"/>
      <c r="E171" s="734"/>
      <c r="F171" s="734"/>
      <c r="G171" s="734"/>
      <c r="H171" s="734"/>
      <c r="I171" s="734"/>
      <c r="J171" s="75">
        <f t="shared" si="16"/>
        <v>0</v>
      </c>
      <c r="K171" s="75">
        <f t="shared" si="17"/>
        <v>0</v>
      </c>
      <c r="L171" s="734"/>
      <c r="M171" s="736"/>
    </row>
    <row r="172" spans="1:14" ht="13.5" x14ac:dyDescent="0.25">
      <c r="A172" s="860">
        <f>'Org structure'!E184</f>
        <v>0</v>
      </c>
      <c r="B172" s="857"/>
      <c r="C172" s="735"/>
      <c r="D172" s="734"/>
      <c r="E172" s="734"/>
      <c r="F172" s="734"/>
      <c r="G172" s="734"/>
      <c r="H172" s="734"/>
      <c r="I172" s="734"/>
      <c r="J172" s="75">
        <f t="shared" si="16"/>
        <v>0</v>
      </c>
      <c r="K172" s="75">
        <f t="shared" si="17"/>
        <v>0</v>
      </c>
      <c r="L172" s="734"/>
      <c r="M172" s="736"/>
    </row>
    <row r="173" spans="1:14" ht="13.5" x14ac:dyDescent="0.25">
      <c r="A173" s="862" t="s">
        <v>663</v>
      </c>
      <c r="B173" s="857"/>
      <c r="C173" s="739">
        <f>C8+C19+C30+C41+C52+C63+C74+C85+C96+C107+C118+C129+C140+C151+C162</f>
        <v>0</v>
      </c>
      <c r="D173" s="738">
        <f t="shared" ref="D173:I173" si="21">D8+D19+D30+D41+D52+D63+D74+D85+D96+D107+D118+D129+D140+D151+D162</f>
        <v>0</v>
      </c>
      <c r="E173" s="738">
        <f t="shared" si="21"/>
        <v>0</v>
      </c>
      <c r="F173" s="738">
        <f t="shared" si="21"/>
        <v>0</v>
      </c>
      <c r="G173" s="738">
        <f t="shared" si="21"/>
        <v>0</v>
      </c>
      <c r="H173" s="738">
        <f t="shared" si="21"/>
        <v>0</v>
      </c>
      <c r="I173" s="738">
        <f t="shared" si="21"/>
        <v>0</v>
      </c>
      <c r="J173" s="75">
        <f t="shared" si="16"/>
        <v>0</v>
      </c>
      <c r="K173" s="75">
        <f t="shared" si="17"/>
        <v>0</v>
      </c>
      <c r="L173" s="738">
        <f>L8+L19+L30+L41+L52+L63+L74+L85+L96+L107+L118+L129+L140+L151+L162</f>
        <v>0</v>
      </c>
      <c r="M173" s="761">
        <f>M8+M19+M30+M41+M52+M63+M74+M85+M96+M107+M118+M129+M140+M151+M162</f>
        <v>0</v>
      </c>
    </row>
    <row r="174" spans="1:14" ht="5.25" customHeight="1" x14ac:dyDescent="0.25">
      <c r="A174" s="863"/>
      <c r="B174" s="857"/>
      <c r="C174" s="742"/>
      <c r="D174" s="741"/>
      <c r="E174" s="741"/>
      <c r="F174" s="741"/>
      <c r="G174" s="741"/>
      <c r="H174" s="741"/>
      <c r="I174" s="741"/>
      <c r="J174" s="741"/>
      <c r="K174" s="741"/>
      <c r="L174" s="741"/>
      <c r="M174" s="762"/>
    </row>
    <row r="175" spans="1:14" ht="17.25" customHeight="1" x14ac:dyDescent="0.25">
      <c r="A175" s="855" t="s">
        <v>1013</v>
      </c>
      <c r="B175" s="864">
        <v>2</v>
      </c>
      <c r="C175" s="766"/>
      <c r="D175" s="138"/>
      <c r="E175" s="138"/>
      <c r="F175" s="138"/>
      <c r="G175" s="138"/>
      <c r="H175" s="138"/>
      <c r="I175" s="138"/>
      <c r="J175" s="138"/>
      <c r="K175" s="138"/>
      <c r="L175" s="138"/>
      <c r="M175" s="205"/>
      <c r="N175" s="770"/>
    </row>
    <row r="176" spans="1:14" ht="13.5" x14ac:dyDescent="0.25">
      <c r="A176" s="855" t="s">
        <v>1095</v>
      </c>
      <c r="B176" s="865"/>
      <c r="C176" s="766"/>
      <c r="D176" s="138"/>
      <c r="E176" s="138"/>
      <c r="F176" s="138"/>
      <c r="G176" s="138"/>
      <c r="H176" s="138"/>
      <c r="I176" s="138"/>
      <c r="J176" s="138"/>
      <c r="K176" s="138"/>
      <c r="L176" s="138"/>
      <c r="M176" s="205"/>
    </row>
    <row r="177" spans="1:13" ht="13.5" x14ac:dyDescent="0.25">
      <c r="A177" s="858" t="s">
        <v>2003</v>
      </c>
      <c r="B177" s="857"/>
      <c r="C177" s="748">
        <f>SUM(C178:C187)</f>
        <v>2796088</v>
      </c>
      <c r="D177" s="747">
        <f t="shared" ref="D177:I177" si="22">SUM(D178:D187)</f>
        <v>2796088</v>
      </c>
      <c r="E177" s="747">
        <f t="shared" si="22"/>
        <v>0</v>
      </c>
      <c r="F177" s="747">
        <f t="shared" si="22"/>
        <v>0</v>
      </c>
      <c r="G177" s="747">
        <f t="shared" si="22"/>
        <v>0</v>
      </c>
      <c r="H177" s="747">
        <f t="shared" si="22"/>
        <v>0</v>
      </c>
      <c r="I177" s="747">
        <f t="shared" si="22"/>
        <v>7400000</v>
      </c>
      <c r="J177" s="75">
        <f t="shared" ref="J177:J249" si="23">SUM(E177:I177)</f>
        <v>7400000</v>
      </c>
      <c r="K177" s="75">
        <f>IF(D177=0,C177+J177,D177+J177)</f>
        <v>10196088</v>
      </c>
      <c r="L177" s="747">
        <f>SUM(L178:L187)</f>
        <v>3470601</v>
      </c>
      <c r="M177" s="764">
        <f>SUM(M178:M187)</f>
        <v>4452949</v>
      </c>
    </row>
    <row r="178" spans="1:13" ht="13.5" x14ac:dyDescent="0.25">
      <c r="A178" s="860" t="s">
        <v>1913</v>
      </c>
      <c r="B178" s="859"/>
      <c r="C178" s="382"/>
      <c r="D178" s="109">
        <v>0</v>
      </c>
      <c r="E178" s="109">
        <v>0</v>
      </c>
      <c r="F178" s="109">
        <v>0</v>
      </c>
      <c r="G178" s="109">
        <v>0</v>
      </c>
      <c r="H178" s="109">
        <v>0</v>
      </c>
      <c r="I178" s="109">
        <v>0</v>
      </c>
      <c r="J178" s="75">
        <f t="shared" si="23"/>
        <v>0</v>
      </c>
      <c r="K178" s="75">
        <f t="shared" ref="K178:K249" si="24">IF(D178=0,C178+J178,D178+J178)</f>
        <v>0</v>
      </c>
      <c r="L178" s="109"/>
      <c r="M178" s="110"/>
    </row>
    <row r="179" spans="1:13" ht="13.5" x14ac:dyDescent="0.25">
      <c r="A179" s="860" t="s">
        <v>1914</v>
      </c>
      <c r="B179" s="857"/>
      <c r="C179" s="382"/>
      <c r="D179" s="109">
        <v>0</v>
      </c>
      <c r="E179" s="109">
        <v>0</v>
      </c>
      <c r="F179" s="109">
        <v>0</v>
      </c>
      <c r="G179" s="109">
        <v>0</v>
      </c>
      <c r="H179" s="109">
        <v>0</v>
      </c>
      <c r="I179" s="109">
        <v>0</v>
      </c>
      <c r="J179" s="75">
        <f t="shared" si="23"/>
        <v>0</v>
      </c>
      <c r="K179" s="75">
        <f t="shared" si="24"/>
        <v>0</v>
      </c>
      <c r="L179" s="109"/>
      <c r="M179" s="110"/>
    </row>
    <row r="180" spans="1:13" ht="13.5" x14ac:dyDescent="0.25">
      <c r="A180" s="860" t="s">
        <v>1915</v>
      </c>
      <c r="B180" s="857"/>
      <c r="C180" s="382"/>
      <c r="D180" s="109">
        <v>0</v>
      </c>
      <c r="E180" s="109">
        <v>0</v>
      </c>
      <c r="F180" s="109">
        <v>0</v>
      </c>
      <c r="G180" s="109">
        <v>0</v>
      </c>
      <c r="H180" s="109">
        <v>0</v>
      </c>
      <c r="I180" s="109">
        <v>0</v>
      </c>
      <c r="J180" s="75">
        <f t="shared" si="23"/>
        <v>0</v>
      </c>
      <c r="K180" s="75">
        <f t="shared" si="24"/>
        <v>0</v>
      </c>
      <c r="L180" s="109"/>
      <c r="M180" s="110"/>
    </row>
    <row r="181" spans="1:13" ht="13.5" x14ac:dyDescent="0.25">
      <c r="A181" s="860" t="s">
        <v>1916</v>
      </c>
      <c r="B181" s="857"/>
      <c r="C181" s="382"/>
      <c r="D181" s="109">
        <v>0</v>
      </c>
      <c r="E181" s="109">
        <v>0</v>
      </c>
      <c r="F181" s="109">
        <v>0</v>
      </c>
      <c r="G181" s="109">
        <v>0</v>
      </c>
      <c r="H181" s="109">
        <v>0</v>
      </c>
      <c r="I181" s="109">
        <v>0</v>
      </c>
      <c r="J181" s="75">
        <f t="shared" si="23"/>
        <v>0</v>
      </c>
      <c r="K181" s="75">
        <f t="shared" si="24"/>
        <v>0</v>
      </c>
      <c r="L181" s="109"/>
      <c r="M181" s="110"/>
    </row>
    <row r="182" spans="1:13" ht="13.5" x14ac:dyDescent="0.25">
      <c r="A182" s="860" t="s">
        <v>1917</v>
      </c>
      <c r="B182" s="857"/>
      <c r="C182" s="382"/>
      <c r="D182" s="109">
        <v>0</v>
      </c>
      <c r="E182" s="109">
        <v>0</v>
      </c>
      <c r="F182" s="109">
        <v>0</v>
      </c>
      <c r="G182" s="109">
        <v>0</v>
      </c>
      <c r="H182" s="109">
        <v>0</v>
      </c>
      <c r="I182" s="109">
        <v>0</v>
      </c>
      <c r="J182" s="75">
        <f t="shared" si="23"/>
        <v>0</v>
      </c>
      <c r="K182" s="75">
        <f t="shared" si="24"/>
        <v>0</v>
      </c>
      <c r="L182" s="109"/>
      <c r="M182" s="110"/>
    </row>
    <row r="183" spans="1:13" ht="13.5" x14ac:dyDescent="0.25">
      <c r="A183" s="860" t="s">
        <v>1918</v>
      </c>
      <c r="B183" s="857"/>
      <c r="C183" s="382"/>
      <c r="D183" s="109">
        <v>0</v>
      </c>
      <c r="E183" s="109">
        <v>0</v>
      </c>
      <c r="F183" s="109">
        <v>0</v>
      </c>
      <c r="G183" s="109">
        <v>0</v>
      </c>
      <c r="H183" s="109">
        <v>0</v>
      </c>
      <c r="I183" s="109">
        <v>0</v>
      </c>
      <c r="J183" s="75">
        <f t="shared" si="23"/>
        <v>0</v>
      </c>
      <c r="K183" s="75">
        <f t="shared" si="24"/>
        <v>0</v>
      </c>
      <c r="L183" s="109"/>
      <c r="M183" s="110"/>
    </row>
    <row r="184" spans="1:13" ht="13.5" x14ac:dyDescent="0.25">
      <c r="A184" s="860" t="s">
        <v>1919</v>
      </c>
      <c r="B184" s="857"/>
      <c r="C184" s="382"/>
      <c r="D184" s="109">
        <v>0</v>
      </c>
      <c r="E184" s="109">
        <v>0</v>
      </c>
      <c r="F184" s="109">
        <v>0</v>
      </c>
      <c r="G184" s="109">
        <v>0</v>
      </c>
      <c r="H184" s="109">
        <v>0</v>
      </c>
      <c r="I184" s="109">
        <v>0</v>
      </c>
      <c r="J184" s="75">
        <f t="shared" si="23"/>
        <v>0</v>
      </c>
      <c r="K184" s="75">
        <f t="shared" si="24"/>
        <v>0</v>
      </c>
      <c r="L184" s="109"/>
      <c r="M184" s="110"/>
    </row>
    <row r="185" spans="1:13" ht="13.5" x14ac:dyDescent="0.25">
      <c r="A185" s="860" t="s">
        <v>1920</v>
      </c>
      <c r="B185" s="857"/>
      <c r="C185" s="382">
        <v>2796088</v>
      </c>
      <c r="D185" s="109">
        <v>2796088</v>
      </c>
      <c r="E185" s="109">
        <v>0</v>
      </c>
      <c r="F185" s="109">
        <v>0</v>
      </c>
      <c r="G185" s="109">
        <v>0</v>
      </c>
      <c r="H185" s="109">
        <v>0</v>
      </c>
      <c r="I185" s="109">
        <v>7400000</v>
      </c>
      <c r="J185" s="75">
        <f t="shared" si="23"/>
        <v>7400000</v>
      </c>
      <c r="K185" s="75">
        <f t="shared" si="24"/>
        <v>10196088</v>
      </c>
      <c r="L185" s="109">
        <v>3470601</v>
      </c>
      <c r="M185" s="110">
        <v>4452949</v>
      </c>
    </row>
    <row r="186" spans="1:13" ht="13.5" x14ac:dyDescent="0.25">
      <c r="A186" s="860" t="s">
        <v>1921</v>
      </c>
      <c r="B186" s="857"/>
      <c r="C186" s="382"/>
      <c r="D186" s="109">
        <v>0</v>
      </c>
      <c r="E186" s="109">
        <v>0</v>
      </c>
      <c r="F186" s="109">
        <v>0</v>
      </c>
      <c r="G186" s="109">
        <v>0</v>
      </c>
      <c r="H186" s="109">
        <v>0</v>
      </c>
      <c r="I186" s="109">
        <v>0</v>
      </c>
      <c r="J186" s="75">
        <f t="shared" si="23"/>
        <v>0</v>
      </c>
      <c r="K186" s="75">
        <f t="shared" si="24"/>
        <v>0</v>
      </c>
      <c r="L186" s="109"/>
      <c r="M186" s="110"/>
    </row>
    <row r="187" spans="1:13" ht="13.5" x14ac:dyDescent="0.25">
      <c r="A187" s="860">
        <f>B5B!A18</f>
        <v>0</v>
      </c>
      <c r="B187" s="857"/>
      <c r="C187" s="382"/>
      <c r="D187" s="109">
        <v>0</v>
      </c>
      <c r="E187" s="109">
        <v>0</v>
      </c>
      <c r="F187" s="109">
        <v>0</v>
      </c>
      <c r="G187" s="109">
        <v>0</v>
      </c>
      <c r="H187" s="109">
        <v>0</v>
      </c>
      <c r="I187" s="109">
        <v>0</v>
      </c>
      <c r="J187" s="75">
        <f t="shared" si="23"/>
        <v>0</v>
      </c>
      <c r="K187" s="75">
        <f t="shared" si="24"/>
        <v>0</v>
      </c>
      <c r="L187" s="109"/>
      <c r="M187" s="110"/>
    </row>
    <row r="188" spans="1:13" ht="13.5" x14ac:dyDescent="0.25">
      <c r="A188" s="858" t="str">
        <f>B5B!A19</f>
        <v>Vote 2 - MUNICIPAL MANAGER'S OFFICE</v>
      </c>
      <c r="B188" s="857"/>
      <c r="C188" s="733">
        <f>SUM(C189:C198)</f>
        <v>0</v>
      </c>
      <c r="D188" s="732">
        <f t="shared" ref="D188:I188" si="25">SUM(D189:D198)</f>
        <v>0</v>
      </c>
      <c r="E188" s="732">
        <f t="shared" si="25"/>
        <v>0</v>
      </c>
      <c r="F188" s="732">
        <f t="shared" si="25"/>
        <v>0</v>
      </c>
      <c r="G188" s="732">
        <f t="shared" si="25"/>
        <v>0</v>
      </c>
      <c r="H188" s="732">
        <f t="shared" si="25"/>
        <v>0</v>
      </c>
      <c r="I188" s="732">
        <f t="shared" si="25"/>
        <v>0</v>
      </c>
      <c r="J188" s="75">
        <f t="shared" si="23"/>
        <v>0</v>
      </c>
      <c r="K188" s="75">
        <f t="shared" si="24"/>
        <v>0</v>
      </c>
      <c r="L188" s="732">
        <f>SUM(L189:L198)</f>
        <v>0</v>
      </c>
      <c r="M188" s="760">
        <f>SUM(M189:M198)</f>
        <v>0</v>
      </c>
    </row>
    <row r="189" spans="1:13" ht="13.5" x14ac:dyDescent="0.25">
      <c r="A189" s="860" t="s">
        <v>1922</v>
      </c>
      <c r="B189" s="857"/>
      <c r="C189" s="382"/>
      <c r="D189" s="109">
        <v>0</v>
      </c>
      <c r="E189" s="109">
        <v>0</v>
      </c>
      <c r="F189" s="109">
        <v>0</v>
      </c>
      <c r="G189" s="109">
        <v>0</v>
      </c>
      <c r="H189" s="109">
        <v>0</v>
      </c>
      <c r="I189" s="109">
        <v>0</v>
      </c>
      <c r="J189" s="75">
        <f t="shared" si="23"/>
        <v>0</v>
      </c>
      <c r="K189" s="75">
        <f t="shared" si="24"/>
        <v>0</v>
      </c>
      <c r="L189" s="109"/>
      <c r="M189" s="110"/>
    </row>
    <row r="190" spans="1:13" ht="13.5" x14ac:dyDescent="0.25">
      <c r="A190" s="860" t="s">
        <v>1923</v>
      </c>
      <c r="B190" s="857"/>
      <c r="C190" s="382"/>
      <c r="D190" s="109">
        <v>0</v>
      </c>
      <c r="E190" s="109">
        <v>0</v>
      </c>
      <c r="F190" s="109">
        <v>0</v>
      </c>
      <c r="G190" s="109">
        <v>0</v>
      </c>
      <c r="H190" s="109">
        <v>0</v>
      </c>
      <c r="I190" s="109">
        <v>0</v>
      </c>
      <c r="J190" s="75">
        <f t="shared" si="23"/>
        <v>0</v>
      </c>
      <c r="K190" s="75">
        <f t="shared" si="24"/>
        <v>0</v>
      </c>
      <c r="L190" s="109"/>
      <c r="M190" s="110"/>
    </row>
    <row r="191" spans="1:13" ht="13.5" x14ac:dyDescent="0.25">
      <c r="A191" s="860" t="s">
        <v>1924</v>
      </c>
      <c r="B191" s="857"/>
      <c r="C191" s="382"/>
      <c r="D191" s="109">
        <v>0</v>
      </c>
      <c r="E191" s="109">
        <v>0</v>
      </c>
      <c r="F191" s="109">
        <v>0</v>
      </c>
      <c r="G191" s="109">
        <v>0</v>
      </c>
      <c r="H191" s="109">
        <v>0</v>
      </c>
      <c r="I191" s="109">
        <v>0</v>
      </c>
      <c r="J191" s="75">
        <f t="shared" si="23"/>
        <v>0</v>
      </c>
      <c r="K191" s="75">
        <f t="shared" si="24"/>
        <v>0</v>
      </c>
      <c r="L191" s="109"/>
      <c r="M191" s="110"/>
    </row>
    <row r="192" spans="1:13" ht="13.5" x14ac:dyDescent="0.25">
      <c r="A192" s="860" t="s">
        <v>1925</v>
      </c>
      <c r="B192" s="857"/>
      <c r="C192" s="382"/>
      <c r="D192" s="109">
        <v>0</v>
      </c>
      <c r="E192" s="109">
        <v>0</v>
      </c>
      <c r="F192" s="109">
        <v>0</v>
      </c>
      <c r="G192" s="109">
        <v>0</v>
      </c>
      <c r="H192" s="109">
        <v>0</v>
      </c>
      <c r="I192" s="109">
        <v>0</v>
      </c>
      <c r="J192" s="75">
        <f t="shared" si="23"/>
        <v>0</v>
      </c>
      <c r="K192" s="75">
        <f t="shared" si="24"/>
        <v>0</v>
      </c>
      <c r="L192" s="109"/>
      <c r="M192" s="110"/>
    </row>
    <row r="193" spans="1:13" ht="13.5" x14ac:dyDescent="0.25">
      <c r="A193" s="860">
        <f>B5B!A24</f>
        <v>0</v>
      </c>
      <c r="B193" s="857"/>
      <c r="C193" s="382"/>
      <c r="D193" s="109">
        <v>0</v>
      </c>
      <c r="E193" s="109">
        <v>0</v>
      </c>
      <c r="F193" s="109">
        <v>0</v>
      </c>
      <c r="G193" s="109">
        <v>0</v>
      </c>
      <c r="H193" s="109">
        <v>0</v>
      </c>
      <c r="I193" s="109">
        <v>0</v>
      </c>
      <c r="J193" s="75">
        <f t="shared" si="23"/>
        <v>0</v>
      </c>
      <c r="K193" s="75">
        <f t="shared" si="24"/>
        <v>0</v>
      </c>
      <c r="L193" s="109"/>
      <c r="M193" s="110"/>
    </row>
    <row r="194" spans="1:13" ht="13.5" x14ac:dyDescent="0.25">
      <c r="A194" s="860">
        <f>B5B!A25</f>
        <v>0</v>
      </c>
      <c r="B194" s="857"/>
      <c r="C194" s="382"/>
      <c r="D194" s="109">
        <v>0</v>
      </c>
      <c r="E194" s="109">
        <v>0</v>
      </c>
      <c r="F194" s="109">
        <v>0</v>
      </c>
      <c r="G194" s="109">
        <v>0</v>
      </c>
      <c r="H194" s="109">
        <v>0</v>
      </c>
      <c r="I194" s="109">
        <v>0</v>
      </c>
      <c r="J194" s="75">
        <f t="shared" si="23"/>
        <v>0</v>
      </c>
      <c r="K194" s="75">
        <f t="shared" si="24"/>
        <v>0</v>
      </c>
      <c r="L194" s="109"/>
      <c r="M194" s="110"/>
    </row>
    <row r="195" spans="1:13" ht="13.5" x14ac:dyDescent="0.25">
      <c r="A195" s="860">
        <f>B5B!A26</f>
        <v>0</v>
      </c>
      <c r="B195" s="857"/>
      <c r="C195" s="382"/>
      <c r="D195" s="109">
        <v>0</v>
      </c>
      <c r="E195" s="109">
        <v>0</v>
      </c>
      <c r="F195" s="109">
        <v>0</v>
      </c>
      <c r="G195" s="109">
        <v>0</v>
      </c>
      <c r="H195" s="109">
        <v>0</v>
      </c>
      <c r="I195" s="109">
        <v>0</v>
      </c>
      <c r="J195" s="75">
        <f t="shared" si="23"/>
        <v>0</v>
      </c>
      <c r="K195" s="75">
        <f t="shared" si="24"/>
        <v>0</v>
      </c>
      <c r="L195" s="109"/>
      <c r="M195" s="110"/>
    </row>
    <row r="196" spans="1:13" ht="13.5" x14ac:dyDescent="0.25">
      <c r="A196" s="860">
        <f>B5B!A27</f>
        <v>0</v>
      </c>
      <c r="B196" s="857"/>
      <c r="C196" s="382"/>
      <c r="D196" s="109">
        <v>0</v>
      </c>
      <c r="E196" s="109">
        <v>0</v>
      </c>
      <c r="F196" s="109">
        <v>0</v>
      </c>
      <c r="G196" s="109">
        <v>0</v>
      </c>
      <c r="H196" s="109">
        <v>0</v>
      </c>
      <c r="I196" s="109">
        <v>0</v>
      </c>
      <c r="J196" s="75">
        <f t="shared" si="23"/>
        <v>0</v>
      </c>
      <c r="K196" s="75">
        <f t="shared" si="24"/>
        <v>0</v>
      </c>
      <c r="L196" s="109"/>
      <c r="M196" s="110"/>
    </row>
    <row r="197" spans="1:13" ht="13.5" x14ac:dyDescent="0.25">
      <c r="A197" s="860">
        <f>B5B!A28</f>
        <v>0</v>
      </c>
      <c r="B197" s="857"/>
      <c r="C197" s="382"/>
      <c r="D197" s="109">
        <v>0</v>
      </c>
      <c r="E197" s="109">
        <v>0</v>
      </c>
      <c r="F197" s="109">
        <v>0</v>
      </c>
      <c r="G197" s="109">
        <v>0</v>
      </c>
      <c r="H197" s="109">
        <v>0</v>
      </c>
      <c r="I197" s="109">
        <v>0</v>
      </c>
      <c r="J197" s="75">
        <f t="shared" si="23"/>
        <v>0</v>
      </c>
      <c r="K197" s="75">
        <f t="shared" si="24"/>
        <v>0</v>
      </c>
      <c r="L197" s="109"/>
      <c r="M197" s="110"/>
    </row>
    <row r="198" spans="1:13" ht="13.5" x14ac:dyDescent="0.25">
      <c r="A198" s="860">
        <f>B5B!A29</f>
        <v>0</v>
      </c>
      <c r="B198" s="859"/>
      <c r="C198" s="382"/>
      <c r="D198" s="109">
        <v>0</v>
      </c>
      <c r="E198" s="109">
        <v>0</v>
      </c>
      <c r="F198" s="109">
        <v>0</v>
      </c>
      <c r="G198" s="109">
        <v>0</v>
      </c>
      <c r="H198" s="109">
        <v>0</v>
      </c>
      <c r="I198" s="109">
        <v>0</v>
      </c>
      <c r="J198" s="75">
        <f t="shared" si="23"/>
        <v>0</v>
      </c>
      <c r="K198" s="75">
        <f t="shared" si="24"/>
        <v>0</v>
      </c>
      <c r="L198" s="109"/>
      <c r="M198" s="110"/>
    </row>
    <row r="199" spans="1:13" ht="13.5" x14ac:dyDescent="0.25">
      <c r="A199" s="858" t="str">
        <f>B5B!A30</f>
        <v>Vote 3 - WATER AND SANITATION</v>
      </c>
      <c r="B199" s="857"/>
      <c r="C199" s="733">
        <f>SUM(C200:C209)</f>
        <v>536244332</v>
      </c>
      <c r="D199" s="732">
        <f t="shared" ref="D199:I199" si="26">SUM(D200:D209)</f>
        <v>459933332</v>
      </c>
      <c r="E199" s="732">
        <f t="shared" si="26"/>
        <v>0</v>
      </c>
      <c r="F199" s="732">
        <f t="shared" si="26"/>
        <v>0</v>
      </c>
      <c r="G199" s="732">
        <f t="shared" si="26"/>
        <v>0</v>
      </c>
      <c r="H199" s="732">
        <f t="shared" si="26"/>
        <v>23580066</v>
      </c>
      <c r="I199" s="732">
        <f t="shared" si="26"/>
        <v>-24460987</v>
      </c>
      <c r="J199" s="75">
        <f t="shared" si="23"/>
        <v>-880921</v>
      </c>
      <c r="K199" s="75">
        <f t="shared" si="24"/>
        <v>459052411</v>
      </c>
      <c r="L199" s="732">
        <f>SUM(L200:L209)</f>
        <v>288617785</v>
      </c>
      <c r="M199" s="760">
        <f>SUM(M200:M209)</f>
        <v>192611701</v>
      </c>
    </row>
    <row r="200" spans="1:13" ht="13.5" x14ac:dyDescent="0.25">
      <c r="A200" s="860" t="s">
        <v>1926</v>
      </c>
      <c r="B200" s="857"/>
      <c r="C200" s="382"/>
      <c r="D200" s="109">
        <v>0</v>
      </c>
      <c r="E200" s="109">
        <v>0</v>
      </c>
      <c r="F200" s="109">
        <v>0</v>
      </c>
      <c r="G200" s="109">
        <v>0</v>
      </c>
      <c r="H200" s="109">
        <v>0</v>
      </c>
      <c r="I200" s="109">
        <v>0</v>
      </c>
      <c r="J200" s="75">
        <f t="shared" si="23"/>
        <v>0</v>
      </c>
      <c r="K200" s="75">
        <f t="shared" si="24"/>
        <v>0</v>
      </c>
      <c r="L200" s="109"/>
      <c r="M200" s="110"/>
    </row>
    <row r="201" spans="1:13" ht="13.5" x14ac:dyDescent="0.25">
      <c r="A201" s="860" t="s">
        <v>1927</v>
      </c>
      <c r="B201" s="857"/>
      <c r="C201" s="382"/>
      <c r="D201" s="109">
        <v>0</v>
      </c>
      <c r="E201" s="109">
        <v>0</v>
      </c>
      <c r="F201" s="109">
        <v>0</v>
      </c>
      <c r="G201" s="109">
        <v>0</v>
      </c>
      <c r="H201" s="109">
        <v>0</v>
      </c>
      <c r="I201" s="109">
        <v>0</v>
      </c>
      <c r="J201" s="75">
        <f t="shared" si="23"/>
        <v>0</v>
      </c>
      <c r="K201" s="75">
        <f t="shared" si="24"/>
        <v>0</v>
      </c>
      <c r="L201" s="109"/>
      <c r="M201" s="110"/>
    </row>
    <row r="202" spans="1:13" ht="13.5" x14ac:dyDescent="0.25">
      <c r="A202" s="860" t="s">
        <v>1928</v>
      </c>
      <c r="B202" s="857"/>
      <c r="C202" s="382"/>
      <c r="D202" s="109">
        <v>0</v>
      </c>
      <c r="E202" s="109">
        <v>0</v>
      </c>
      <c r="F202" s="109">
        <v>0</v>
      </c>
      <c r="G202" s="109">
        <v>0</v>
      </c>
      <c r="H202" s="109">
        <v>0</v>
      </c>
      <c r="I202" s="109">
        <v>0</v>
      </c>
      <c r="J202" s="75">
        <f t="shared" si="23"/>
        <v>0</v>
      </c>
      <c r="K202" s="75">
        <f t="shared" si="24"/>
        <v>0</v>
      </c>
      <c r="L202" s="109"/>
      <c r="M202" s="110"/>
    </row>
    <row r="203" spans="1:13" ht="13.5" x14ac:dyDescent="0.25">
      <c r="A203" s="860" t="s">
        <v>1929</v>
      </c>
      <c r="B203" s="857"/>
      <c r="C203" s="382"/>
      <c r="D203" s="109">
        <v>0</v>
      </c>
      <c r="E203" s="109">
        <v>0</v>
      </c>
      <c r="F203" s="109">
        <v>0</v>
      </c>
      <c r="G203" s="109">
        <v>0</v>
      </c>
      <c r="H203" s="109">
        <v>256053</v>
      </c>
      <c r="I203" s="109">
        <v>0</v>
      </c>
      <c r="J203" s="75">
        <f t="shared" si="23"/>
        <v>256053</v>
      </c>
      <c r="K203" s="75">
        <f t="shared" si="24"/>
        <v>256053</v>
      </c>
      <c r="L203" s="109"/>
      <c r="M203" s="110"/>
    </row>
    <row r="204" spans="1:13" ht="13.5" x14ac:dyDescent="0.25">
      <c r="A204" s="860" t="s">
        <v>1930</v>
      </c>
      <c r="B204" s="857"/>
      <c r="C204" s="382">
        <v>536244332</v>
      </c>
      <c r="D204" s="109">
        <v>459933332</v>
      </c>
      <c r="E204" s="109"/>
      <c r="F204" s="109"/>
      <c r="G204" s="109"/>
      <c r="H204" s="109">
        <v>23324013</v>
      </c>
      <c r="I204" s="109">
        <v>-24460987</v>
      </c>
      <c r="J204" s="75">
        <f t="shared" si="23"/>
        <v>-1136974</v>
      </c>
      <c r="K204" s="75">
        <f t="shared" si="24"/>
        <v>458796358</v>
      </c>
      <c r="L204" s="109">
        <v>288617785</v>
      </c>
      <c r="M204" s="110">
        <v>192611701</v>
      </c>
    </row>
    <row r="205" spans="1:13" ht="13.5" x14ac:dyDescent="0.25">
      <c r="A205" s="860" t="s">
        <v>1931</v>
      </c>
      <c r="B205" s="857"/>
      <c r="C205" s="382"/>
      <c r="D205" s="109">
        <v>0</v>
      </c>
      <c r="E205" s="109">
        <v>0</v>
      </c>
      <c r="F205" s="109">
        <v>0</v>
      </c>
      <c r="G205" s="109">
        <v>0</v>
      </c>
      <c r="H205" s="109">
        <v>0</v>
      </c>
      <c r="I205" s="109">
        <v>0</v>
      </c>
      <c r="J205" s="75">
        <f t="shared" si="23"/>
        <v>0</v>
      </c>
      <c r="K205" s="75">
        <f t="shared" si="24"/>
        <v>0</v>
      </c>
      <c r="L205" s="109"/>
      <c r="M205" s="110"/>
    </row>
    <row r="206" spans="1:13" ht="13.5" x14ac:dyDescent="0.25">
      <c r="A206" s="860" t="s">
        <v>1932</v>
      </c>
      <c r="B206" s="857"/>
      <c r="C206" s="382"/>
      <c r="D206" s="109">
        <v>0</v>
      </c>
      <c r="E206" s="109">
        <v>0</v>
      </c>
      <c r="F206" s="109">
        <v>0</v>
      </c>
      <c r="G206" s="109">
        <v>0</v>
      </c>
      <c r="H206" s="109">
        <v>0</v>
      </c>
      <c r="I206" s="109">
        <v>0</v>
      </c>
      <c r="J206" s="75">
        <f t="shared" si="23"/>
        <v>0</v>
      </c>
      <c r="K206" s="75">
        <f t="shared" si="24"/>
        <v>0</v>
      </c>
      <c r="L206" s="109"/>
      <c r="M206" s="110"/>
    </row>
    <row r="207" spans="1:13" ht="13.5" x14ac:dyDescent="0.25">
      <c r="A207" s="860">
        <f>B5B!A38</f>
        <v>0</v>
      </c>
      <c r="B207" s="857"/>
      <c r="C207" s="382"/>
      <c r="D207" s="109">
        <v>0</v>
      </c>
      <c r="E207" s="109">
        <v>0</v>
      </c>
      <c r="F207" s="109">
        <v>0</v>
      </c>
      <c r="G207" s="109">
        <v>0</v>
      </c>
      <c r="H207" s="109">
        <v>0</v>
      </c>
      <c r="I207" s="109">
        <v>0</v>
      </c>
      <c r="J207" s="75">
        <f t="shared" si="23"/>
        <v>0</v>
      </c>
      <c r="K207" s="75">
        <f t="shared" si="24"/>
        <v>0</v>
      </c>
      <c r="L207" s="109"/>
      <c r="M207" s="110"/>
    </row>
    <row r="208" spans="1:13" ht="13.5" x14ac:dyDescent="0.25">
      <c r="A208" s="860">
        <f>B5B!A39</f>
        <v>0</v>
      </c>
      <c r="B208" s="857"/>
      <c r="C208" s="382"/>
      <c r="D208" s="109">
        <v>0</v>
      </c>
      <c r="E208" s="109">
        <v>0</v>
      </c>
      <c r="F208" s="109">
        <v>0</v>
      </c>
      <c r="G208" s="109">
        <v>0</v>
      </c>
      <c r="H208" s="109">
        <v>0</v>
      </c>
      <c r="I208" s="109">
        <v>0</v>
      </c>
      <c r="J208" s="75">
        <f t="shared" si="23"/>
        <v>0</v>
      </c>
      <c r="K208" s="75">
        <f t="shared" si="24"/>
        <v>0</v>
      </c>
      <c r="L208" s="109"/>
      <c r="M208" s="110"/>
    </row>
    <row r="209" spans="1:13" ht="13.5" x14ac:dyDescent="0.25">
      <c r="A209" s="860">
        <f>B5B!A40</f>
        <v>0</v>
      </c>
      <c r="B209" s="859"/>
      <c r="C209" s="382"/>
      <c r="D209" s="109">
        <v>0</v>
      </c>
      <c r="E209" s="109">
        <v>0</v>
      </c>
      <c r="F209" s="109">
        <v>0</v>
      </c>
      <c r="G209" s="109">
        <v>0</v>
      </c>
      <c r="H209" s="109">
        <v>0</v>
      </c>
      <c r="I209" s="109">
        <v>0</v>
      </c>
      <c r="J209" s="75">
        <f t="shared" si="23"/>
        <v>0</v>
      </c>
      <c r="K209" s="75">
        <f t="shared" si="24"/>
        <v>0</v>
      </c>
      <c r="L209" s="109"/>
      <c r="M209" s="110"/>
    </row>
    <row r="210" spans="1:13" ht="13.5" x14ac:dyDescent="0.25">
      <c r="A210" s="858" t="str">
        <f>B5B!A41</f>
        <v>Vote 4 - ENERGY</v>
      </c>
      <c r="B210" s="857"/>
      <c r="C210" s="733">
        <f t="shared" ref="C210:H210" si="27">SUM(C211:C220)</f>
        <v>20200867</v>
      </c>
      <c r="D210" s="732">
        <f t="shared" si="27"/>
        <v>81200867</v>
      </c>
      <c r="E210" s="732">
        <f t="shared" si="27"/>
        <v>0</v>
      </c>
      <c r="F210" s="732">
        <f t="shared" si="27"/>
        <v>0</v>
      </c>
      <c r="G210" s="732">
        <f t="shared" si="27"/>
        <v>0</v>
      </c>
      <c r="H210" s="732">
        <f t="shared" si="27"/>
        <v>7337770.8600000003</v>
      </c>
      <c r="I210" s="732">
        <f>SUM(I211:I220)</f>
        <v>-9499999.8599999994</v>
      </c>
      <c r="J210" s="75">
        <f t="shared" si="23"/>
        <v>-2162228.9999999991</v>
      </c>
      <c r="K210" s="75">
        <f t="shared" si="24"/>
        <v>79038638</v>
      </c>
      <c r="L210" s="732">
        <f>SUM(L211:L220)</f>
        <v>28631053</v>
      </c>
      <c r="M210" s="760">
        <f>SUM(M211:M220)</f>
        <v>36942500</v>
      </c>
    </row>
    <row r="211" spans="1:13" ht="13.5" x14ac:dyDescent="0.25">
      <c r="A211" s="860" t="s">
        <v>1933</v>
      </c>
      <c r="B211" s="857"/>
      <c r="C211" s="382">
        <v>20200867</v>
      </c>
      <c r="D211" s="109">
        <v>81200867</v>
      </c>
      <c r="E211" s="109">
        <v>0</v>
      </c>
      <c r="F211" s="109">
        <v>0</v>
      </c>
      <c r="G211" s="109">
        <v>0</v>
      </c>
      <c r="H211" s="109">
        <v>7337770.8600000003</v>
      </c>
      <c r="I211" s="109">
        <v>-9499999.8599999994</v>
      </c>
      <c r="J211" s="75">
        <f>SUM(E211:I211)</f>
        <v>-2162228.9999999991</v>
      </c>
      <c r="K211" s="75">
        <f t="shared" si="24"/>
        <v>79038638</v>
      </c>
      <c r="L211" s="109">
        <v>28631053</v>
      </c>
      <c r="M211" s="110">
        <v>36942500</v>
      </c>
    </row>
    <row r="212" spans="1:13" ht="13.5" x14ac:dyDescent="0.25">
      <c r="A212" s="860" t="s">
        <v>1934</v>
      </c>
      <c r="B212" s="857"/>
      <c r="C212" s="382"/>
      <c r="D212" s="109">
        <v>0</v>
      </c>
      <c r="E212" s="109">
        <v>0</v>
      </c>
      <c r="F212" s="109">
        <v>0</v>
      </c>
      <c r="G212" s="109">
        <v>0</v>
      </c>
      <c r="H212" s="109">
        <v>0</v>
      </c>
      <c r="I212" s="109">
        <v>0</v>
      </c>
      <c r="J212" s="75">
        <f t="shared" si="23"/>
        <v>0</v>
      </c>
      <c r="K212" s="75">
        <f t="shared" si="24"/>
        <v>0</v>
      </c>
      <c r="L212" s="109"/>
      <c r="M212" s="110"/>
    </row>
    <row r="213" spans="1:13" ht="13.5" x14ac:dyDescent="0.25">
      <c r="A213" s="860" t="s">
        <v>1935</v>
      </c>
      <c r="B213" s="857"/>
      <c r="C213" s="382"/>
      <c r="D213" s="109">
        <v>0</v>
      </c>
      <c r="E213" s="109">
        <v>0</v>
      </c>
      <c r="F213" s="109">
        <v>0</v>
      </c>
      <c r="G213" s="109">
        <v>0</v>
      </c>
      <c r="H213" s="109">
        <v>0</v>
      </c>
      <c r="I213" s="109">
        <v>0</v>
      </c>
      <c r="J213" s="75">
        <f t="shared" si="23"/>
        <v>0</v>
      </c>
      <c r="K213" s="75">
        <f t="shared" si="24"/>
        <v>0</v>
      </c>
      <c r="L213" s="109"/>
      <c r="M213" s="110"/>
    </row>
    <row r="214" spans="1:13" ht="13.5" x14ac:dyDescent="0.25">
      <c r="A214" s="860" t="s">
        <v>1936</v>
      </c>
      <c r="B214" s="857"/>
      <c r="C214" s="382"/>
      <c r="D214" s="109">
        <v>0</v>
      </c>
      <c r="E214" s="109">
        <v>0</v>
      </c>
      <c r="F214" s="109">
        <v>0</v>
      </c>
      <c r="G214" s="109">
        <v>0</v>
      </c>
      <c r="H214" s="109">
        <v>0</v>
      </c>
      <c r="I214" s="109">
        <v>0</v>
      </c>
      <c r="J214" s="75">
        <f t="shared" si="23"/>
        <v>0</v>
      </c>
      <c r="K214" s="75">
        <f t="shared" si="24"/>
        <v>0</v>
      </c>
      <c r="L214" s="109"/>
      <c r="M214" s="110"/>
    </row>
    <row r="215" spans="1:13" ht="13.5" x14ac:dyDescent="0.25">
      <c r="A215" s="860" t="s">
        <v>1937</v>
      </c>
      <c r="B215" s="857"/>
      <c r="C215" s="382"/>
      <c r="D215" s="109">
        <v>0</v>
      </c>
      <c r="E215" s="109">
        <v>0</v>
      </c>
      <c r="F215" s="109">
        <v>0</v>
      </c>
      <c r="G215" s="109">
        <v>0</v>
      </c>
      <c r="H215" s="109">
        <v>0</v>
      </c>
      <c r="I215" s="109">
        <v>0</v>
      </c>
      <c r="J215" s="75">
        <f t="shared" si="23"/>
        <v>0</v>
      </c>
      <c r="K215" s="75">
        <f t="shared" si="24"/>
        <v>0</v>
      </c>
      <c r="L215" s="109"/>
      <c r="M215" s="110"/>
    </row>
    <row r="216" spans="1:13" ht="13.5" x14ac:dyDescent="0.25">
      <c r="A216" s="860">
        <f>B5B!A47</f>
        <v>0</v>
      </c>
      <c r="B216" s="857"/>
      <c r="C216" s="382"/>
      <c r="D216" s="109">
        <v>0</v>
      </c>
      <c r="E216" s="109">
        <v>0</v>
      </c>
      <c r="F216" s="109">
        <v>0</v>
      </c>
      <c r="G216" s="109">
        <v>0</v>
      </c>
      <c r="H216" s="109">
        <v>0</v>
      </c>
      <c r="I216" s="109">
        <v>0</v>
      </c>
      <c r="J216" s="75">
        <f t="shared" si="23"/>
        <v>0</v>
      </c>
      <c r="K216" s="75">
        <f t="shared" si="24"/>
        <v>0</v>
      </c>
      <c r="L216" s="109"/>
      <c r="M216" s="110"/>
    </row>
    <row r="217" spans="1:13" ht="13.5" x14ac:dyDescent="0.25">
      <c r="A217" s="860">
        <f>B5B!A48</f>
        <v>0</v>
      </c>
      <c r="B217" s="857"/>
      <c r="C217" s="382"/>
      <c r="D217" s="109">
        <v>0</v>
      </c>
      <c r="E217" s="109">
        <v>0</v>
      </c>
      <c r="F217" s="109">
        <v>0</v>
      </c>
      <c r="G217" s="109">
        <v>0</v>
      </c>
      <c r="H217" s="109">
        <v>0</v>
      </c>
      <c r="I217" s="109">
        <v>0</v>
      </c>
      <c r="J217" s="75">
        <f t="shared" si="23"/>
        <v>0</v>
      </c>
      <c r="K217" s="75">
        <f t="shared" si="24"/>
        <v>0</v>
      </c>
      <c r="L217" s="109"/>
      <c r="M217" s="110"/>
    </row>
    <row r="218" spans="1:13" ht="13.5" x14ac:dyDescent="0.25">
      <c r="A218" s="860">
        <f>B5B!A49</f>
        <v>0</v>
      </c>
      <c r="B218" s="857"/>
      <c r="C218" s="382"/>
      <c r="D218" s="109">
        <v>0</v>
      </c>
      <c r="E218" s="109">
        <v>0</v>
      </c>
      <c r="F218" s="109">
        <v>0</v>
      </c>
      <c r="G218" s="109">
        <v>0</v>
      </c>
      <c r="H218" s="109">
        <v>0</v>
      </c>
      <c r="I218" s="109">
        <v>0</v>
      </c>
      <c r="J218" s="75">
        <f t="shared" si="23"/>
        <v>0</v>
      </c>
      <c r="K218" s="75">
        <f t="shared" si="24"/>
        <v>0</v>
      </c>
      <c r="L218" s="109"/>
      <c r="M218" s="110"/>
    </row>
    <row r="219" spans="1:13" ht="13.5" x14ac:dyDescent="0.25">
      <c r="A219" s="860">
        <f>B5B!A50</f>
        <v>0</v>
      </c>
      <c r="B219" s="857"/>
      <c r="C219" s="382"/>
      <c r="D219" s="109">
        <v>0</v>
      </c>
      <c r="E219" s="109">
        <v>0</v>
      </c>
      <c r="F219" s="109">
        <v>0</v>
      </c>
      <c r="G219" s="109">
        <v>0</v>
      </c>
      <c r="H219" s="109">
        <v>0</v>
      </c>
      <c r="I219" s="109">
        <v>0</v>
      </c>
      <c r="J219" s="75">
        <f t="shared" si="23"/>
        <v>0</v>
      </c>
      <c r="K219" s="75">
        <f t="shared" si="24"/>
        <v>0</v>
      </c>
      <c r="L219" s="109"/>
      <c r="M219" s="110"/>
    </row>
    <row r="220" spans="1:13" ht="13.5" x14ac:dyDescent="0.25">
      <c r="A220" s="860">
        <f>B5B!A51</f>
        <v>0</v>
      </c>
      <c r="B220" s="859"/>
      <c r="C220" s="382"/>
      <c r="D220" s="109">
        <v>0</v>
      </c>
      <c r="E220" s="109">
        <v>0</v>
      </c>
      <c r="F220" s="109">
        <v>0</v>
      </c>
      <c r="G220" s="109">
        <v>0</v>
      </c>
      <c r="H220" s="109">
        <v>0</v>
      </c>
      <c r="I220" s="109">
        <v>0</v>
      </c>
      <c r="J220" s="75">
        <f t="shared" si="23"/>
        <v>0</v>
      </c>
      <c r="K220" s="75">
        <f t="shared" si="24"/>
        <v>0</v>
      </c>
      <c r="L220" s="109"/>
      <c r="M220" s="110"/>
    </row>
    <row r="221" spans="1:13" ht="13.5" x14ac:dyDescent="0.25">
      <c r="A221" s="858" t="s">
        <v>1938</v>
      </c>
      <c r="B221" s="857"/>
      <c r="C221" s="733">
        <f t="shared" ref="C221:I221" si="28">SUM(C222:C240)</f>
        <v>67311585</v>
      </c>
      <c r="D221" s="732">
        <f t="shared" si="28"/>
        <v>70311585</v>
      </c>
      <c r="E221" s="732">
        <f t="shared" si="28"/>
        <v>0</v>
      </c>
      <c r="F221" s="732">
        <f t="shared" si="28"/>
        <v>0</v>
      </c>
      <c r="G221" s="732">
        <f t="shared" si="28"/>
        <v>0</v>
      </c>
      <c r="H221" s="732">
        <f t="shared" si="28"/>
        <v>0</v>
      </c>
      <c r="I221" s="732">
        <f t="shared" si="28"/>
        <v>-4989204</v>
      </c>
      <c r="J221" s="75">
        <f t="shared" si="23"/>
        <v>-4989204</v>
      </c>
      <c r="K221" s="75">
        <f t="shared" si="24"/>
        <v>65322381</v>
      </c>
      <c r="L221" s="732">
        <f>SUM(L222:L240)</f>
        <v>52270647</v>
      </c>
      <c r="M221" s="760">
        <f>SUM(M222:M240)</f>
        <v>43924532</v>
      </c>
    </row>
    <row r="222" spans="1:13" ht="13.5" x14ac:dyDescent="0.25">
      <c r="A222" s="860" t="s">
        <v>1939</v>
      </c>
      <c r="B222" s="857"/>
      <c r="C222" s="382"/>
      <c r="D222" s="109">
        <v>0</v>
      </c>
      <c r="E222" s="109">
        <v>0</v>
      </c>
      <c r="F222" s="109">
        <v>0</v>
      </c>
      <c r="G222" s="109">
        <v>0</v>
      </c>
      <c r="H222" s="109">
        <v>0</v>
      </c>
      <c r="I222" s="109">
        <v>0</v>
      </c>
      <c r="J222" s="75">
        <f t="shared" si="23"/>
        <v>0</v>
      </c>
      <c r="K222" s="75">
        <f t="shared" si="24"/>
        <v>0</v>
      </c>
      <c r="L222" s="109"/>
      <c r="M222" s="110"/>
    </row>
    <row r="223" spans="1:13" ht="13.5" x14ac:dyDescent="0.25">
      <c r="A223" s="860" t="s">
        <v>1940</v>
      </c>
      <c r="B223" s="857"/>
      <c r="C223" s="382">
        <v>67311585</v>
      </c>
      <c r="D223" s="109">
        <v>70311585</v>
      </c>
      <c r="E223" s="109">
        <v>0</v>
      </c>
      <c r="F223" s="109">
        <v>0</v>
      </c>
      <c r="G223" s="109">
        <v>0</v>
      </c>
      <c r="H223" s="109">
        <v>0</v>
      </c>
      <c r="I223" s="109">
        <v>-4989204</v>
      </c>
      <c r="J223" s="75">
        <f t="shared" si="23"/>
        <v>-4989204</v>
      </c>
      <c r="K223" s="75">
        <f t="shared" si="24"/>
        <v>65322381</v>
      </c>
      <c r="L223" s="109">
        <v>52270647</v>
      </c>
      <c r="M223" s="110">
        <v>43924532</v>
      </c>
    </row>
    <row r="224" spans="1:13" ht="13.5" x14ac:dyDescent="0.25">
      <c r="A224" s="860" t="s">
        <v>1941</v>
      </c>
      <c r="B224" s="857"/>
      <c r="C224" s="382"/>
      <c r="D224" s="109">
        <v>0</v>
      </c>
      <c r="E224" s="109">
        <v>0</v>
      </c>
      <c r="F224" s="109">
        <v>0</v>
      </c>
      <c r="G224" s="109">
        <v>0</v>
      </c>
      <c r="H224" s="109">
        <v>0</v>
      </c>
      <c r="I224" s="109">
        <v>0</v>
      </c>
      <c r="J224" s="75">
        <f t="shared" si="23"/>
        <v>0</v>
      </c>
      <c r="K224" s="75">
        <f t="shared" si="24"/>
        <v>0</v>
      </c>
      <c r="L224" s="109"/>
      <c r="M224" s="110"/>
    </row>
    <row r="225" spans="1:13" ht="13.5" x14ac:dyDescent="0.25">
      <c r="A225" s="860" t="s">
        <v>1942</v>
      </c>
      <c r="B225" s="857"/>
      <c r="C225" s="382"/>
      <c r="D225" s="109">
        <v>0</v>
      </c>
      <c r="E225" s="109">
        <v>0</v>
      </c>
      <c r="F225" s="109">
        <v>0</v>
      </c>
      <c r="G225" s="109">
        <v>0</v>
      </c>
      <c r="H225" s="109">
        <v>0</v>
      </c>
      <c r="I225" s="109">
        <v>0</v>
      </c>
      <c r="J225" s="75">
        <f t="shared" si="23"/>
        <v>0</v>
      </c>
      <c r="K225" s="75">
        <f t="shared" si="24"/>
        <v>0</v>
      </c>
      <c r="L225" s="109"/>
      <c r="M225" s="110"/>
    </row>
    <row r="226" spans="1:13" ht="13.5" x14ac:dyDescent="0.25">
      <c r="A226" s="860" t="s">
        <v>1943</v>
      </c>
      <c r="B226" s="857"/>
      <c r="C226" s="382"/>
      <c r="D226" s="109">
        <v>0</v>
      </c>
      <c r="E226" s="109">
        <v>0</v>
      </c>
      <c r="F226" s="109">
        <v>0</v>
      </c>
      <c r="G226" s="109">
        <v>0</v>
      </c>
      <c r="H226" s="109">
        <v>0</v>
      </c>
      <c r="I226" s="109">
        <v>0</v>
      </c>
      <c r="J226" s="75">
        <f t="shared" si="23"/>
        <v>0</v>
      </c>
      <c r="K226" s="75">
        <f t="shared" si="24"/>
        <v>0</v>
      </c>
      <c r="L226" s="109"/>
      <c r="M226" s="110"/>
    </row>
    <row r="227" spans="1:13" ht="13.5" x14ac:dyDescent="0.25">
      <c r="A227" s="860" t="s">
        <v>1944</v>
      </c>
      <c r="B227" s="857"/>
      <c r="C227" s="382"/>
      <c r="D227" s="109">
        <v>0</v>
      </c>
      <c r="E227" s="109">
        <v>0</v>
      </c>
      <c r="F227" s="109">
        <v>0</v>
      </c>
      <c r="G227" s="109">
        <v>0</v>
      </c>
      <c r="H227" s="109">
        <v>0</v>
      </c>
      <c r="I227" s="109">
        <v>0</v>
      </c>
      <c r="J227" s="75">
        <f t="shared" si="23"/>
        <v>0</v>
      </c>
      <c r="K227" s="75">
        <f t="shared" si="24"/>
        <v>0</v>
      </c>
      <c r="L227" s="109"/>
      <c r="M227" s="110"/>
    </row>
    <row r="228" spans="1:13" ht="13.5" x14ac:dyDescent="0.25">
      <c r="A228" s="860" t="s">
        <v>1945</v>
      </c>
      <c r="B228" s="857"/>
      <c r="C228" s="382"/>
      <c r="D228" s="109">
        <v>0</v>
      </c>
      <c r="E228" s="109">
        <v>0</v>
      </c>
      <c r="F228" s="109">
        <v>0</v>
      </c>
      <c r="G228" s="109">
        <v>0</v>
      </c>
      <c r="H228" s="109">
        <v>0</v>
      </c>
      <c r="I228" s="109">
        <v>0</v>
      </c>
      <c r="J228" s="75">
        <f t="shared" si="23"/>
        <v>0</v>
      </c>
      <c r="K228" s="75">
        <f t="shared" si="24"/>
        <v>0</v>
      </c>
      <c r="L228" s="109"/>
      <c r="M228" s="110"/>
    </row>
    <row r="229" spans="1:13" ht="13.5" x14ac:dyDescent="0.25">
      <c r="A229" s="860" t="s">
        <v>1946</v>
      </c>
      <c r="B229" s="857"/>
      <c r="C229" s="382"/>
      <c r="D229" s="109">
        <v>0</v>
      </c>
      <c r="E229" s="109">
        <v>0</v>
      </c>
      <c r="F229" s="109">
        <v>0</v>
      </c>
      <c r="G229" s="109">
        <v>0</v>
      </c>
      <c r="H229" s="109">
        <v>0</v>
      </c>
      <c r="I229" s="109">
        <v>0</v>
      </c>
      <c r="J229" s="75">
        <f t="shared" si="23"/>
        <v>0</v>
      </c>
      <c r="K229" s="75">
        <f t="shared" si="24"/>
        <v>0</v>
      </c>
      <c r="L229" s="109"/>
      <c r="M229" s="110"/>
    </row>
    <row r="230" spans="1:13" ht="13.5" x14ac:dyDescent="0.25">
      <c r="A230" s="860" t="s">
        <v>1947</v>
      </c>
      <c r="B230" s="857"/>
      <c r="C230" s="382"/>
      <c r="D230" s="109">
        <v>0</v>
      </c>
      <c r="E230" s="109">
        <v>0</v>
      </c>
      <c r="F230" s="109">
        <v>0</v>
      </c>
      <c r="G230" s="109">
        <v>0</v>
      </c>
      <c r="H230" s="109">
        <v>0</v>
      </c>
      <c r="I230" s="109">
        <v>0</v>
      </c>
      <c r="J230" s="75">
        <f t="shared" si="23"/>
        <v>0</v>
      </c>
      <c r="K230" s="75">
        <f t="shared" si="24"/>
        <v>0</v>
      </c>
      <c r="L230" s="109"/>
      <c r="M230" s="110"/>
    </row>
    <row r="231" spans="1:13" ht="13.5" x14ac:dyDescent="0.25">
      <c r="A231" s="860" t="s">
        <v>1948</v>
      </c>
      <c r="B231" s="857"/>
      <c r="C231" s="382"/>
      <c r="D231" s="109">
        <v>0</v>
      </c>
      <c r="E231" s="109">
        <v>0</v>
      </c>
      <c r="F231" s="109">
        <v>0</v>
      </c>
      <c r="G231" s="109">
        <v>0</v>
      </c>
      <c r="H231" s="109">
        <v>0</v>
      </c>
      <c r="I231" s="109">
        <v>0</v>
      </c>
      <c r="J231" s="75"/>
      <c r="K231" s="75"/>
      <c r="L231" s="109"/>
      <c r="M231" s="110"/>
    </row>
    <row r="232" spans="1:13" ht="13.5" x14ac:dyDescent="0.25">
      <c r="A232" s="860" t="s">
        <v>1851</v>
      </c>
      <c r="B232" s="857"/>
      <c r="C232" s="382"/>
      <c r="D232" s="109">
        <v>0</v>
      </c>
      <c r="E232" s="109">
        <v>0</v>
      </c>
      <c r="F232" s="109">
        <v>0</v>
      </c>
      <c r="G232" s="109">
        <v>0</v>
      </c>
      <c r="H232" s="109">
        <v>0</v>
      </c>
      <c r="I232" s="109">
        <v>0</v>
      </c>
      <c r="J232" s="75"/>
      <c r="K232" s="75"/>
      <c r="L232" s="109"/>
      <c r="M232" s="110"/>
    </row>
    <row r="233" spans="1:13" ht="13.5" x14ac:dyDescent="0.25">
      <c r="A233" s="860" t="s">
        <v>1852</v>
      </c>
      <c r="B233" s="857"/>
      <c r="C233" s="382"/>
      <c r="D233" s="109">
        <v>0</v>
      </c>
      <c r="E233" s="109">
        <v>0</v>
      </c>
      <c r="F233" s="109">
        <v>0</v>
      </c>
      <c r="G233" s="109">
        <v>0</v>
      </c>
      <c r="H233" s="109">
        <v>0</v>
      </c>
      <c r="I233" s="109">
        <v>0</v>
      </c>
      <c r="J233" s="75"/>
      <c r="K233" s="75"/>
      <c r="L233" s="109"/>
      <c r="M233" s="110"/>
    </row>
    <row r="234" spans="1:13" ht="13.5" x14ac:dyDescent="0.25">
      <c r="A234" s="860" t="s">
        <v>1853</v>
      </c>
      <c r="B234" s="857"/>
      <c r="C234" s="382"/>
      <c r="D234" s="109">
        <v>0</v>
      </c>
      <c r="E234" s="109">
        <v>0</v>
      </c>
      <c r="F234" s="109">
        <v>0</v>
      </c>
      <c r="G234" s="109">
        <v>0</v>
      </c>
      <c r="H234" s="109">
        <v>0</v>
      </c>
      <c r="I234" s="109">
        <v>0</v>
      </c>
      <c r="J234" s="75"/>
      <c r="K234" s="75"/>
      <c r="L234" s="109"/>
      <c r="M234" s="110"/>
    </row>
    <row r="235" spans="1:13" ht="13.5" x14ac:dyDescent="0.25">
      <c r="A235" s="860" t="s">
        <v>1854</v>
      </c>
      <c r="B235" s="857"/>
      <c r="C235" s="382"/>
      <c r="D235" s="109">
        <v>0</v>
      </c>
      <c r="E235" s="109">
        <v>0</v>
      </c>
      <c r="F235" s="109">
        <v>0</v>
      </c>
      <c r="G235" s="109">
        <v>0</v>
      </c>
      <c r="H235" s="109">
        <v>0</v>
      </c>
      <c r="I235" s="109">
        <v>0</v>
      </c>
      <c r="J235" s="75"/>
      <c r="K235" s="75"/>
      <c r="L235" s="109"/>
      <c r="M235" s="110"/>
    </row>
    <row r="236" spans="1:13" ht="13.5" x14ac:dyDescent="0.25">
      <c r="A236" s="860" t="s">
        <v>1855</v>
      </c>
      <c r="B236" s="857"/>
      <c r="C236" s="382"/>
      <c r="D236" s="109">
        <v>0</v>
      </c>
      <c r="E236" s="109">
        <v>0</v>
      </c>
      <c r="F236" s="109">
        <v>0</v>
      </c>
      <c r="G236" s="109">
        <v>0</v>
      </c>
      <c r="H236" s="109">
        <v>0</v>
      </c>
      <c r="I236" s="109">
        <v>0</v>
      </c>
      <c r="J236" s="75"/>
      <c r="K236" s="75"/>
      <c r="L236" s="109"/>
      <c r="M236" s="110"/>
    </row>
    <row r="237" spans="1:13" ht="13.5" x14ac:dyDescent="0.25">
      <c r="A237" s="860" t="s">
        <v>1856</v>
      </c>
      <c r="B237" s="857"/>
      <c r="C237" s="382"/>
      <c r="D237" s="109">
        <v>0</v>
      </c>
      <c r="E237" s="109">
        <v>0</v>
      </c>
      <c r="F237" s="109">
        <v>0</v>
      </c>
      <c r="G237" s="109">
        <v>0</v>
      </c>
      <c r="H237" s="109">
        <v>0</v>
      </c>
      <c r="I237" s="109">
        <v>0</v>
      </c>
      <c r="J237" s="75"/>
      <c r="K237" s="75"/>
      <c r="L237" s="109"/>
      <c r="M237" s="110"/>
    </row>
    <row r="238" spans="1:13" ht="13.5" x14ac:dyDescent="0.25">
      <c r="A238" s="860"/>
      <c r="B238" s="857"/>
      <c r="C238" s="382"/>
      <c r="D238" s="109">
        <v>0</v>
      </c>
      <c r="E238" s="109">
        <v>0</v>
      </c>
      <c r="F238" s="109">
        <v>0</v>
      </c>
      <c r="G238" s="109">
        <v>0</v>
      </c>
      <c r="H238" s="109">
        <v>0</v>
      </c>
      <c r="I238" s="109">
        <v>0</v>
      </c>
      <c r="J238" s="75"/>
      <c r="K238" s="75"/>
      <c r="L238" s="109"/>
      <c r="M238" s="110"/>
    </row>
    <row r="239" spans="1:13" ht="13.5" x14ac:dyDescent="0.25">
      <c r="A239" s="860"/>
      <c r="B239" s="857"/>
      <c r="C239" s="382"/>
      <c r="D239" s="109">
        <v>0</v>
      </c>
      <c r="E239" s="109">
        <v>0</v>
      </c>
      <c r="F239" s="109">
        <v>0</v>
      </c>
      <c r="G239" s="109">
        <v>0</v>
      </c>
      <c r="H239" s="109">
        <v>0</v>
      </c>
      <c r="I239" s="109">
        <v>0</v>
      </c>
      <c r="J239" s="75"/>
      <c r="K239" s="75"/>
      <c r="L239" s="109"/>
      <c r="M239" s="110"/>
    </row>
    <row r="240" spans="1:13" ht="13.5" x14ac:dyDescent="0.25">
      <c r="A240" s="860">
        <f>B5B!A62</f>
        <v>0</v>
      </c>
      <c r="B240" s="859"/>
      <c r="C240" s="382"/>
      <c r="D240" s="109">
        <v>0</v>
      </c>
      <c r="E240" s="109">
        <v>0</v>
      </c>
      <c r="F240" s="109">
        <v>0</v>
      </c>
      <c r="G240" s="109">
        <v>0</v>
      </c>
      <c r="H240" s="109">
        <v>0</v>
      </c>
      <c r="I240" s="109">
        <v>0</v>
      </c>
      <c r="J240" s="75">
        <f t="shared" si="23"/>
        <v>0</v>
      </c>
      <c r="K240" s="75">
        <f t="shared" si="24"/>
        <v>0</v>
      </c>
      <c r="L240" s="109"/>
      <c r="M240" s="110"/>
    </row>
    <row r="241" spans="1:18" ht="13.5" x14ac:dyDescent="0.25">
      <c r="A241" s="858" t="s">
        <v>1949</v>
      </c>
      <c r="B241" s="857"/>
      <c r="C241" s="733">
        <f t="shared" ref="C241:I241" si="29">SUM(C242:C253)</f>
        <v>2526661</v>
      </c>
      <c r="D241" s="732">
        <f t="shared" si="29"/>
        <v>2526661</v>
      </c>
      <c r="E241" s="732">
        <f t="shared" si="29"/>
        <v>0</v>
      </c>
      <c r="F241" s="732">
        <f t="shared" si="29"/>
        <v>0</v>
      </c>
      <c r="G241" s="732">
        <f t="shared" si="29"/>
        <v>0</v>
      </c>
      <c r="H241" s="732">
        <f t="shared" si="29"/>
        <v>0</v>
      </c>
      <c r="I241" s="732">
        <f t="shared" si="29"/>
        <v>-825309</v>
      </c>
      <c r="J241" s="75">
        <f t="shared" si="23"/>
        <v>-825309</v>
      </c>
      <c r="K241" s="75">
        <f t="shared" si="24"/>
        <v>1701352</v>
      </c>
      <c r="L241" s="732">
        <f>SUM(L242:L253)</f>
        <v>2516348</v>
      </c>
      <c r="M241" s="760">
        <f>SUM(M242:M253)</f>
        <v>8384004</v>
      </c>
    </row>
    <row r="242" spans="1:18" ht="13.5" x14ac:dyDescent="0.25">
      <c r="A242" s="860" t="s">
        <v>1950</v>
      </c>
      <c r="B242" s="857"/>
      <c r="C242" s="382"/>
      <c r="D242" s="109">
        <v>0</v>
      </c>
      <c r="E242" s="109">
        <v>0</v>
      </c>
      <c r="F242" s="109">
        <v>0</v>
      </c>
      <c r="G242" s="109">
        <v>0</v>
      </c>
      <c r="H242" s="109">
        <v>0</v>
      </c>
      <c r="I242" s="109">
        <v>0</v>
      </c>
      <c r="J242" s="75">
        <f t="shared" si="23"/>
        <v>0</v>
      </c>
      <c r="K242" s="75">
        <f t="shared" si="24"/>
        <v>0</v>
      </c>
      <c r="L242" s="109"/>
      <c r="M242" s="110"/>
    </row>
    <row r="243" spans="1:18" ht="13.5" x14ac:dyDescent="0.25">
      <c r="A243" s="860" t="s">
        <v>1951</v>
      </c>
      <c r="B243" s="857"/>
      <c r="C243" s="382"/>
      <c r="D243" s="109">
        <v>0</v>
      </c>
      <c r="E243" s="109">
        <v>0</v>
      </c>
      <c r="F243" s="109">
        <v>0</v>
      </c>
      <c r="G243" s="109">
        <v>0</v>
      </c>
      <c r="H243" s="109">
        <v>0</v>
      </c>
      <c r="I243" s="109">
        <v>0</v>
      </c>
      <c r="J243" s="75">
        <f t="shared" si="23"/>
        <v>0</v>
      </c>
      <c r="K243" s="75">
        <f t="shared" si="24"/>
        <v>0</v>
      </c>
      <c r="L243" s="109"/>
      <c r="M243" s="110"/>
    </row>
    <row r="244" spans="1:18" ht="13.5" x14ac:dyDescent="0.25">
      <c r="A244" s="860" t="s">
        <v>1952</v>
      </c>
      <c r="B244" s="857"/>
      <c r="C244" s="382"/>
      <c r="D244" s="109">
        <v>0</v>
      </c>
      <c r="E244" s="109">
        <v>0</v>
      </c>
      <c r="F244" s="109">
        <v>0</v>
      </c>
      <c r="G244" s="109">
        <v>0</v>
      </c>
      <c r="H244" s="109">
        <v>0</v>
      </c>
      <c r="I244" s="109">
        <v>0</v>
      </c>
      <c r="J244" s="75">
        <f t="shared" si="23"/>
        <v>0</v>
      </c>
      <c r="K244" s="75">
        <f t="shared" si="24"/>
        <v>0</v>
      </c>
      <c r="L244" s="109"/>
      <c r="M244" s="110"/>
    </row>
    <row r="245" spans="1:18" ht="13.5" x14ac:dyDescent="0.25">
      <c r="A245" s="860" t="s">
        <v>1953</v>
      </c>
      <c r="B245" s="857"/>
      <c r="C245" s="382"/>
      <c r="D245" s="109">
        <v>0</v>
      </c>
      <c r="E245" s="109">
        <v>0</v>
      </c>
      <c r="F245" s="109">
        <v>0</v>
      </c>
      <c r="G245" s="109">
        <v>0</v>
      </c>
      <c r="H245" s="109">
        <v>0</v>
      </c>
      <c r="I245" s="109">
        <v>0</v>
      </c>
      <c r="J245" s="75">
        <f t="shared" si="23"/>
        <v>0</v>
      </c>
      <c r="K245" s="75">
        <f t="shared" si="24"/>
        <v>0</v>
      </c>
      <c r="L245" s="109"/>
      <c r="M245" s="110"/>
    </row>
    <row r="246" spans="1:18" ht="13.5" x14ac:dyDescent="0.25">
      <c r="A246" s="860" t="s">
        <v>1954</v>
      </c>
      <c r="B246" s="857"/>
      <c r="C246" s="382"/>
      <c r="D246" s="109">
        <v>0</v>
      </c>
      <c r="E246" s="109">
        <v>0</v>
      </c>
      <c r="F246" s="109">
        <v>0</v>
      </c>
      <c r="G246" s="109">
        <v>0</v>
      </c>
      <c r="H246" s="109">
        <v>0</v>
      </c>
      <c r="I246" s="109">
        <v>0</v>
      </c>
      <c r="J246" s="75">
        <f t="shared" si="23"/>
        <v>0</v>
      </c>
      <c r="K246" s="75">
        <f t="shared" si="24"/>
        <v>0</v>
      </c>
      <c r="L246" s="109"/>
      <c r="M246" s="110"/>
    </row>
    <row r="247" spans="1:18" ht="13.5" x14ac:dyDescent="0.25">
      <c r="A247" s="860" t="s">
        <v>1955</v>
      </c>
      <c r="B247" s="857"/>
      <c r="C247" s="382"/>
      <c r="D247" s="109">
        <v>0</v>
      </c>
      <c r="E247" s="109">
        <v>0</v>
      </c>
      <c r="F247" s="109">
        <v>0</v>
      </c>
      <c r="G247" s="109">
        <v>0</v>
      </c>
      <c r="H247" s="109">
        <v>0</v>
      </c>
      <c r="I247" s="109">
        <v>0</v>
      </c>
      <c r="J247" s="75">
        <f t="shared" si="23"/>
        <v>0</v>
      </c>
      <c r="K247" s="75">
        <f t="shared" si="24"/>
        <v>0</v>
      </c>
      <c r="L247" s="109"/>
      <c r="M247" s="110"/>
    </row>
    <row r="248" spans="1:18" ht="13.5" x14ac:dyDescent="0.25">
      <c r="A248" s="860" t="s">
        <v>1956</v>
      </c>
      <c r="B248" s="857"/>
      <c r="C248" s="382"/>
      <c r="D248" s="109">
        <v>0</v>
      </c>
      <c r="E248" s="109">
        <v>0</v>
      </c>
      <c r="F248" s="109">
        <v>0</v>
      </c>
      <c r="G248" s="109">
        <v>0</v>
      </c>
      <c r="H248" s="109">
        <v>0</v>
      </c>
      <c r="I248" s="109">
        <v>0</v>
      </c>
      <c r="J248" s="75">
        <f t="shared" si="23"/>
        <v>0</v>
      </c>
      <c r="K248" s="75">
        <f t="shared" si="24"/>
        <v>0</v>
      </c>
      <c r="L248" s="109"/>
      <c r="M248" s="110"/>
    </row>
    <row r="249" spans="1:18" ht="13.5" x14ac:dyDescent="0.25">
      <c r="A249" s="860" t="s">
        <v>1957</v>
      </c>
      <c r="B249" s="859"/>
      <c r="C249" s="382"/>
      <c r="D249" s="109">
        <v>0</v>
      </c>
      <c r="E249" s="109">
        <v>0</v>
      </c>
      <c r="F249" s="109">
        <v>0</v>
      </c>
      <c r="G249" s="109">
        <v>0</v>
      </c>
      <c r="H249" s="109">
        <v>0</v>
      </c>
      <c r="I249" s="109">
        <v>0</v>
      </c>
      <c r="J249" s="75">
        <f t="shared" si="23"/>
        <v>0</v>
      </c>
      <c r="K249" s="75">
        <f t="shared" si="24"/>
        <v>0</v>
      </c>
      <c r="L249" s="109"/>
      <c r="M249" s="110"/>
    </row>
    <row r="250" spans="1:18" ht="13.5" x14ac:dyDescent="0.25">
      <c r="A250" s="860" t="s">
        <v>1958</v>
      </c>
      <c r="B250" s="859"/>
      <c r="C250" s="382"/>
      <c r="D250" s="109">
        <v>0</v>
      </c>
      <c r="E250" s="109">
        <v>0</v>
      </c>
      <c r="F250" s="109">
        <v>0</v>
      </c>
      <c r="G250" s="109">
        <v>0</v>
      </c>
      <c r="H250" s="109">
        <v>0</v>
      </c>
      <c r="I250" s="109">
        <v>0</v>
      </c>
      <c r="J250" s="75"/>
      <c r="K250" s="75"/>
      <c r="L250" s="109"/>
      <c r="M250" s="110"/>
    </row>
    <row r="251" spans="1:18" ht="13.5" x14ac:dyDescent="0.25">
      <c r="A251" s="860" t="s">
        <v>1959</v>
      </c>
      <c r="B251" s="859"/>
      <c r="C251" s="382">
        <v>2526661</v>
      </c>
      <c r="D251" s="109">
        <v>2526661</v>
      </c>
      <c r="E251" s="109">
        <v>0</v>
      </c>
      <c r="F251" s="109">
        <v>0</v>
      </c>
      <c r="G251" s="109">
        <v>0</v>
      </c>
      <c r="H251" s="109">
        <v>0</v>
      </c>
      <c r="I251" s="109">
        <v>-825309</v>
      </c>
      <c r="J251" s="75"/>
      <c r="K251" s="75"/>
      <c r="L251" s="109">
        <v>2516348</v>
      </c>
      <c r="M251" s="110">
        <v>8384004</v>
      </c>
    </row>
    <row r="252" spans="1:18" ht="13.5" x14ac:dyDescent="0.25">
      <c r="A252" s="860">
        <f>B5B!A72</f>
        <v>0</v>
      </c>
      <c r="B252" s="857"/>
      <c r="C252" s="382"/>
      <c r="D252" s="109">
        <v>0</v>
      </c>
      <c r="E252" s="109">
        <v>0</v>
      </c>
      <c r="F252" s="109">
        <v>0</v>
      </c>
      <c r="G252" s="109">
        <v>0</v>
      </c>
      <c r="H252" s="109">
        <v>0</v>
      </c>
      <c r="I252" s="109">
        <v>0</v>
      </c>
      <c r="J252" s="75">
        <f t="shared" ref="J252:J325" si="30">SUM(E252:I252)</f>
        <v>0</v>
      </c>
      <c r="K252" s="75">
        <f t="shared" ref="K252:K325" si="31">IF(D252=0,C252+J252,D252+J252)</f>
        <v>0</v>
      </c>
      <c r="L252" s="109"/>
      <c r="M252" s="110"/>
    </row>
    <row r="253" spans="1:18" ht="13.5" x14ac:dyDescent="0.25">
      <c r="A253" s="860">
        <f>B5B!A73</f>
        <v>0</v>
      </c>
      <c r="B253" s="857"/>
      <c r="C253" s="382"/>
      <c r="D253" s="109">
        <v>0</v>
      </c>
      <c r="E253" s="109">
        <v>0</v>
      </c>
      <c r="F253" s="109">
        <v>0</v>
      </c>
      <c r="G253" s="109">
        <v>0</v>
      </c>
      <c r="H253" s="109">
        <v>0</v>
      </c>
      <c r="I253" s="109">
        <v>0</v>
      </c>
      <c r="J253" s="75">
        <f t="shared" si="30"/>
        <v>0</v>
      </c>
      <c r="K253" s="75">
        <f t="shared" si="31"/>
        <v>0</v>
      </c>
      <c r="L253" s="109"/>
      <c r="M253" s="110"/>
      <c r="R253">
        <v>6</v>
      </c>
    </row>
    <row r="254" spans="1:18" ht="13.5" x14ac:dyDescent="0.25">
      <c r="A254" s="858" t="s">
        <v>1960</v>
      </c>
      <c r="B254" s="857"/>
      <c r="C254" s="733">
        <f t="shared" ref="C254:I254" si="32">SUM(C255:C270)</f>
        <v>31043486</v>
      </c>
      <c r="D254" s="732">
        <f t="shared" si="32"/>
        <v>107543486</v>
      </c>
      <c r="E254" s="732">
        <f t="shared" si="32"/>
        <v>0</v>
      </c>
      <c r="F254" s="732">
        <f t="shared" si="32"/>
        <v>0</v>
      </c>
      <c r="G254" s="732">
        <f t="shared" si="32"/>
        <v>0</v>
      </c>
      <c r="H254" s="732">
        <f t="shared" si="32"/>
        <v>0</v>
      </c>
      <c r="I254" s="732">
        <f t="shared" si="32"/>
        <v>-58685000</v>
      </c>
      <c r="J254" s="75">
        <f t="shared" si="30"/>
        <v>-58685000</v>
      </c>
      <c r="K254" s="75">
        <f t="shared" si="31"/>
        <v>48858486</v>
      </c>
      <c r="L254" s="732">
        <f>SUM(L255:L270)</f>
        <v>24459609</v>
      </c>
      <c r="M254" s="760">
        <f>SUM(M255:M270)</f>
        <v>20406914</v>
      </c>
    </row>
    <row r="255" spans="1:18" ht="13.5" x14ac:dyDescent="0.25">
      <c r="A255" s="860" t="s">
        <v>1961</v>
      </c>
      <c r="B255" s="857"/>
      <c r="C255" s="382">
        <v>31043486</v>
      </c>
      <c r="D255" s="109">
        <v>107543486</v>
      </c>
      <c r="E255" s="109">
        <v>0</v>
      </c>
      <c r="F255" s="109">
        <v>0</v>
      </c>
      <c r="G255" s="109">
        <v>0</v>
      </c>
      <c r="H255" s="109">
        <v>0</v>
      </c>
      <c r="I255" s="109">
        <v>-58685000</v>
      </c>
      <c r="J255" s="75">
        <f t="shared" si="30"/>
        <v>-58685000</v>
      </c>
      <c r="K255" s="75">
        <f t="shared" si="31"/>
        <v>48858486</v>
      </c>
      <c r="L255" s="109">
        <v>24459609</v>
      </c>
      <c r="M255" s="110">
        <v>20406914</v>
      </c>
    </row>
    <row r="256" spans="1:18" ht="13.5" x14ac:dyDescent="0.25">
      <c r="A256" s="860" t="s">
        <v>1962</v>
      </c>
      <c r="B256" s="857"/>
      <c r="C256" s="382"/>
      <c r="D256" s="109">
        <v>0</v>
      </c>
      <c r="E256" s="109">
        <v>0</v>
      </c>
      <c r="F256" s="109">
        <v>0</v>
      </c>
      <c r="G256" s="109">
        <v>0</v>
      </c>
      <c r="H256" s="109">
        <v>0</v>
      </c>
      <c r="I256" s="109">
        <v>0</v>
      </c>
      <c r="J256" s="75">
        <f t="shared" si="30"/>
        <v>0</v>
      </c>
      <c r="K256" s="75">
        <f t="shared" si="31"/>
        <v>0</v>
      </c>
      <c r="L256" s="109"/>
      <c r="M256" s="110"/>
    </row>
    <row r="257" spans="1:13" ht="13.5" x14ac:dyDescent="0.25">
      <c r="A257" s="860" t="s">
        <v>1963</v>
      </c>
      <c r="B257" s="857"/>
      <c r="C257" s="382"/>
      <c r="D257" s="109">
        <v>0</v>
      </c>
      <c r="E257" s="109">
        <v>0</v>
      </c>
      <c r="F257" s="109">
        <v>0</v>
      </c>
      <c r="G257" s="109">
        <v>0</v>
      </c>
      <c r="H257" s="109">
        <v>0</v>
      </c>
      <c r="I257" s="109">
        <v>0</v>
      </c>
      <c r="J257" s="75">
        <f t="shared" si="30"/>
        <v>0</v>
      </c>
      <c r="K257" s="75">
        <f t="shared" si="31"/>
        <v>0</v>
      </c>
      <c r="L257" s="109"/>
      <c r="M257" s="110"/>
    </row>
    <row r="258" spans="1:13" ht="13.5" x14ac:dyDescent="0.25">
      <c r="A258" s="860" t="s">
        <v>1964</v>
      </c>
      <c r="B258" s="857"/>
      <c r="C258" s="382"/>
      <c r="D258" s="109">
        <v>0</v>
      </c>
      <c r="E258" s="109">
        <v>0</v>
      </c>
      <c r="F258" s="109">
        <v>0</v>
      </c>
      <c r="G258" s="109">
        <v>0</v>
      </c>
      <c r="H258" s="109">
        <v>0</v>
      </c>
      <c r="I258" s="109">
        <v>0</v>
      </c>
      <c r="J258" s="75">
        <f t="shared" si="30"/>
        <v>0</v>
      </c>
      <c r="K258" s="75">
        <f t="shared" si="31"/>
        <v>0</v>
      </c>
      <c r="L258" s="109"/>
      <c r="M258" s="110"/>
    </row>
    <row r="259" spans="1:13" ht="13.5" x14ac:dyDescent="0.25">
      <c r="A259" s="860" t="s">
        <v>1965</v>
      </c>
      <c r="B259" s="857"/>
      <c r="C259" s="382"/>
      <c r="D259" s="109">
        <v>0</v>
      </c>
      <c r="E259" s="109">
        <v>0</v>
      </c>
      <c r="F259" s="109">
        <v>0</v>
      </c>
      <c r="G259" s="109">
        <v>0</v>
      </c>
      <c r="H259" s="109">
        <v>0</v>
      </c>
      <c r="I259" s="109">
        <v>0</v>
      </c>
      <c r="J259" s="75">
        <f t="shared" si="30"/>
        <v>0</v>
      </c>
      <c r="K259" s="75">
        <f t="shared" si="31"/>
        <v>0</v>
      </c>
      <c r="L259" s="109"/>
      <c r="M259" s="110"/>
    </row>
    <row r="260" spans="1:13" ht="13.5" x14ac:dyDescent="0.25">
      <c r="A260" s="860" t="s">
        <v>1966</v>
      </c>
      <c r="B260" s="857"/>
      <c r="C260" s="382"/>
      <c r="D260" s="109">
        <v>0</v>
      </c>
      <c r="E260" s="109">
        <v>0</v>
      </c>
      <c r="F260" s="109">
        <v>0</v>
      </c>
      <c r="G260" s="109">
        <v>0</v>
      </c>
      <c r="H260" s="109">
        <v>0</v>
      </c>
      <c r="I260" s="109">
        <v>0</v>
      </c>
      <c r="J260" s="75">
        <f t="shared" si="30"/>
        <v>0</v>
      </c>
      <c r="K260" s="75">
        <f t="shared" si="31"/>
        <v>0</v>
      </c>
      <c r="L260" s="109"/>
      <c r="M260" s="110"/>
    </row>
    <row r="261" spans="1:13" ht="13.5" x14ac:dyDescent="0.25">
      <c r="A261" s="860" t="s">
        <v>1967</v>
      </c>
      <c r="B261" s="857"/>
      <c r="C261" s="382"/>
      <c r="D261" s="109">
        <v>0</v>
      </c>
      <c r="E261" s="109">
        <v>0</v>
      </c>
      <c r="F261" s="109">
        <v>0</v>
      </c>
      <c r="G261" s="109">
        <v>0</v>
      </c>
      <c r="H261" s="109">
        <v>0</v>
      </c>
      <c r="I261" s="109">
        <v>0</v>
      </c>
      <c r="J261" s="75">
        <f t="shared" si="30"/>
        <v>0</v>
      </c>
      <c r="K261" s="75">
        <f t="shared" si="31"/>
        <v>0</v>
      </c>
      <c r="L261" s="109"/>
      <c r="M261" s="110"/>
    </row>
    <row r="262" spans="1:13" ht="13.5" x14ac:dyDescent="0.25">
      <c r="A262" s="860" t="s">
        <v>1968</v>
      </c>
      <c r="B262" s="857"/>
      <c r="C262" s="382"/>
      <c r="D262" s="109">
        <v>0</v>
      </c>
      <c r="E262" s="109">
        <v>0</v>
      </c>
      <c r="F262" s="109">
        <v>0</v>
      </c>
      <c r="G262" s="109">
        <v>0</v>
      </c>
      <c r="H262" s="109">
        <v>0</v>
      </c>
      <c r="I262" s="109">
        <v>0</v>
      </c>
      <c r="J262" s="75">
        <f t="shared" si="30"/>
        <v>0</v>
      </c>
      <c r="K262" s="75">
        <f t="shared" si="31"/>
        <v>0</v>
      </c>
      <c r="L262" s="109"/>
      <c r="M262" s="110"/>
    </row>
    <row r="263" spans="1:13" ht="13.5" x14ac:dyDescent="0.25">
      <c r="A263" s="860" t="s">
        <v>1969</v>
      </c>
      <c r="B263" s="857"/>
      <c r="C263" s="382"/>
      <c r="D263" s="109">
        <v>0</v>
      </c>
      <c r="E263" s="109">
        <v>0</v>
      </c>
      <c r="F263" s="109">
        <v>0</v>
      </c>
      <c r="G263" s="109">
        <v>0</v>
      </c>
      <c r="H263" s="109">
        <v>0</v>
      </c>
      <c r="I263" s="109">
        <v>0</v>
      </c>
      <c r="J263" s="75">
        <f t="shared" si="30"/>
        <v>0</v>
      </c>
      <c r="K263" s="75">
        <f t="shared" si="31"/>
        <v>0</v>
      </c>
      <c r="L263" s="109"/>
      <c r="M263" s="110"/>
    </row>
    <row r="264" spans="1:13" ht="13.5" x14ac:dyDescent="0.25">
      <c r="A264" s="860" t="s">
        <v>1970</v>
      </c>
      <c r="B264" s="857"/>
      <c r="C264" s="382"/>
      <c r="D264" s="109">
        <v>0</v>
      </c>
      <c r="E264" s="109">
        <v>0</v>
      </c>
      <c r="F264" s="109">
        <v>0</v>
      </c>
      <c r="G264" s="109">
        <v>0</v>
      </c>
      <c r="H264" s="109">
        <v>0</v>
      </c>
      <c r="I264" s="109">
        <v>0</v>
      </c>
      <c r="J264" s="75"/>
      <c r="K264" s="75"/>
      <c r="L264" s="109"/>
      <c r="M264" s="110"/>
    </row>
    <row r="265" spans="1:13" ht="13.5" x14ac:dyDescent="0.25">
      <c r="A265" s="860" t="s">
        <v>1879</v>
      </c>
      <c r="B265" s="857"/>
      <c r="C265" s="382"/>
      <c r="D265" s="109">
        <v>0</v>
      </c>
      <c r="E265" s="109">
        <v>0</v>
      </c>
      <c r="F265" s="109">
        <v>0</v>
      </c>
      <c r="G265" s="109">
        <v>0</v>
      </c>
      <c r="H265" s="109">
        <v>0</v>
      </c>
      <c r="I265" s="109">
        <v>0</v>
      </c>
      <c r="J265" s="75"/>
      <c r="K265" s="75"/>
      <c r="L265" s="109"/>
      <c r="M265" s="110"/>
    </row>
    <row r="266" spans="1:13" ht="13.5" x14ac:dyDescent="0.25">
      <c r="A266" s="860" t="s">
        <v>1880</v>
      </c>
      <c r="B266" s="857"/>
      <c r="C266" s="382"/>
      <c r="D266" s="109">
        <v>0</v>
      </c>
      <c r="E266" s="109">
        <v>0</v>
      </c>
      <c r="F266" s="109">
        <v>0</v>
      </c>
      <c r="G266" s="109">
        <v>0</v>
      </c>
      <c r="H266" s="109">
        <v>0</v>
      </c>
      <c r="I266" s="109">
        <v>0</v>
      </c>
      <c r="J266" s="75"/>
      <c r="K266" s="75"/>
      <c r="L266" s="109"/>
      <c r="M266" s="110"/>
    </row>
    <row r="267" spans="1:13" ht="13.5" x14ac:dyDescent="0.25">
      <c r="A267" s="860" t="s">
        <v>1881</v>
      </c>
      <c r="B267" s="857"/>
      <c r="C267" s="382"/>
      <c r="D267" s="109">
        <v>0</v>
      </c>
      <c r="E267" s="109">
        <v>0</v>
      </c>
      <c r="F267" s="109">
        <v>0</v>
      </c>
      <c r="G267" s="109">
        <v>0</v>
      </c>
      <c r="H267" s="109">
        <v>0</v>
      </c>
      <c r="I267" s="109">
        <v>0</v>
      </c>
      <c r="J267" s="75"/>
      <c r="K267" s="75"/>
      <c r="L267" s="109"/>
      <c r="M267" s="110"/>
    </row>
    <row r="268" spans="1:13" ht="13.5" x14ac:dyDescent="0.25">
      <c r="A268" s="860" t="s">
        <v>1882</v>
      </c>
      <c r="B268" s="857"/>
      <c r="C268" s="382"/>
      <c r="D268" s="109">
        <v>0</v>
      </c>
      <c r="E268" s="109">
        <v>0</v>
      </c>
      <c r="F268" s="109">
        <v>0</v>
      </c>
      <c r="G268" s="109">
        <v>0</v>
      </c>
      <c r="H268" s="109">
        <v>0</v>
      </c>
      <c r="I268" s="109">
        <v>0</v>
      </c>
      <c r="J268" s="75"/>
      <c r="K268" s="75"/>
      <c r="L268" s="109"/>
      <c r="M268" s="110"/>
    </row>
    <row r="269" spans="1:13" ht="13.5" x14ac:dyDescent="0.25">
      <c r="A269" s="860"/>
      <c r="B269" s="857"/>
      <c r="C269" s="382"/>
      <c r="D269" s="109">
        <v>0</v>
      </c>
      <c r="E269" s="109">
        <v>0</v>
      </c>
      <c r="F269" s="109">
        <v>0</v>
      </c>
      <c r="G269" s="109">
        <v>0</v>
      </c>
      <c r="H269" s="109">
        <v>0</v>
      </c>
      <c r="I269" s="109">
        <v>0</v>
      </c>
      <c r="J269" s="75"/>
      <c r="K269" s="75"/>
      <c r="L269" s="109"/>
      <c r="M269" s="110"/>
    </row>
    <row r="270" spans="1:13" ht="13.5" x14ac:dyDescent="0.25">
      <c r="A270" s="860">
        <f>B5B!A84</f>
        <v>0</v>
      </c>
      <c r="B270" s="857"/>
      <c r="C270" s="382"/>
      <c r="D270" s="109">
        <v>0</v>
      </c>
      <c r="E270" s="109">
        <v>0</v>
      </c>
      <c r="F270" s="109">
        <v>0</v>
      </c>
      <c r="G270" s="109">
        <v>0</v>
      </c>
      <c r="H270" s="109">
        <v>0</v>
      </c>
      <c r="I270" s="109">
        <v>0</v>
      </c>
      <c r="J270" s="75">
        <f t="shared" si="30"/>
        <v>0</v>
      </c>
      <c r="K270" s="75">
        <f t="shared" si="31"/>
        <v>0</v>
      </c>
      <c r="L270" s="109"/>
      <c r="M270" s="110"/>
    </row>
    <row r="271" spans="1:13" ht="13.5" x14ac:dyDescent="0.25">
      <c r="A271" s="858" t="s">
        <v>1971</v>
      </c>
      <c r="B271" s="857"/>
      <c r="C271" s="733">
        <f t="shared" ref="C271:I271" si="33">SUM(C272:C285)</f>
        <v>5805203</v>
      </c>
      <c r="D271" s="732">
        <f t="shared" si="33"/>
        <v>5805203</v>
      </c>
      <c r="E271" s="732">
        <f t="shared" si="33"/>
        <v>0</v>
      </c>
      <c r="F271" s="732">
        <f t="shared" si="33"/>
        <v>0</v>
      </c>
      <c r="G271" s="732">
        <f t="shared" si="33"/>
        <v>0</v>
      </c>
      <c r="H271" s="732">
        <f t="shared" si="33"/>
        <v>0</v>
      </c>
      <c r="I271" s="732">
        <f t="shared" si="33"/>
        <v>1631482</v>
      </c>
      <c r="J271" s="75">
        <f t="shared" si="30"/>
        <v>1631482</v>
      </c>
      <c r="K271" s="75">
        <f t="shared" si="31"/>
        <v>7436685</v>
      </c>
      <c r="L271" s="732">
        <f>SUM(L272:L285)</f>
        <v>7771868</v>
      </c>
      <c r="M271" s="760">
        <f>SUM(M272:M285)</f>
        <v>7657123</v>
      </c>
    </row>
    <row r="272" spans="1:13" ht="13.5" x14ac:dyDescent="0.25">
      <c r="A272" s="860" t="s">
        <v>1972</v>
      </c>
      <c r="B272" s="857"/>
      <c r="C272" s="382"/>
      <c r="D272" s="109">
        <v>0</v>
      </c>
      <c r="E272" s="109">
        <v>0</v>
      </c>
      <c r="F272" s="109">
        <v>0</v>
      </c>
      <c r="G272" s="109">
        <v>0</v>
      </c>
      <c r="H272" s="109">
        <v>0</v>
      </c>
      <c r="I272" s="109">
        <v>0</v>
      </c>
      <c r="J272" s="75">
        <f t="shared" si="30"/>
        <v>0</v>
      </c>
      <c r="K272" s="75">
        <f t="shared" si="31"/>
        <v>0</v>
      </c>
      <c r="L272" s="109"/>
      <c r="M272" s="110"/>
    </row>
    <row r="273" spans="1:13" ht="13.5" x14ac:dyDescent="0.25">
      <c r="A273" s="860" t="s">
        <v>1973</v>
      </c>
      <c r="B273" s="857"/>
      <c r="C273" s="382"/>
      <c r="D273" s="109">
        <v>0</v>
      </c>
      <c r="E273" s="109">
        <v>0</v>
      </c>
      <c r="F273" s="109">
        <v>0</v>
      </c>
      <c r="G273" s="109">
        <v>0</v>
      </c>
      <c r="H273" s="109">
        <v>0</v>
      </c>
      <c r="I273" s="109">
        <v>0</v>
      </c>
      <c r="J273" s="75">
        <f t="shared" si="30"/>
        <v>0</v>
      </c>
      <c r="K273" s="75">
        <f t="shared" si="31"/>
        <v>0</v>
      </c>
      <c r="L273" s="109"/>
      <c r="M273" s="110"/>
    </row>
    <row r="274" spans="1:13" ht="13.5" x14ac:dyDescent="0.25">
      <c r="A274" s="860" t="s">
        <v>1974</v>
      </c>
      <c r="B274" s="857"/>
      <c r="C274" s="382">
        <v>5805203</v>
      </c>
      <c r="D274" s="109">
        <v>5805203</v>
      </c>
      <c r="E274" s="109">
        <v>0</v>
      </c>
      <c r="F274" s="109">
        <v>0</v>
      </c>
      <c r="G274" s="109">
        <v>0</v>
      </c>
      <c r="H274" s="109">
        <v>0</v>
      </c>
      <c r="I274" s="109">
        <v>1631482</v>
      </c>
      <c r="J274" s="75">
        <f t="shared" si="30"/>
        <v>1631482</v>
      </c>
      <c r="K274" s="75">
        <f>IF(D274=0,C274+J274,D274+J274)</f>
        <v>7436685</v>
      </c>
      <c r="L274" s="109">
        <v>7771868</v>
      </c>
      <c r="M274" s="110">
        <v>7657123</v>
      </c>
    </row>
    <row r="275" spans="1:13" ht="13.5" x14ac:dyDescent="0.25">
      <c r="A275" s="860" t="s">
        <v>1975</v>
      </c>
      <c r="B275" s="857"/>
      <c r="C275" s="382"/>
      <c r="D275" s="109">
        <v>0</v>
      </c>
      <c r="E275" s="109">
        <v>0</v>
      </c>
      <c r="F275" s="109">
        <v>0</v>
      </c>
      <c r="G275" s="109">
        <v>0</v>
      </c>
      <c r="H275" s="109">
        <v>0</v>
      </c>
      <c r="I275" s="109">
        <v>0</v>
      </c>
      <c r="J275" s="75">
        <f t="shared" si="30"/>
        <v>0</v>
      </c>
      <c r="K275" s="75">
        <f t="shared" si="31"/>
        <v>0</v>
      </c>
      <c r="L275" s="109"/>
      <c r="M275" s="110"/>
    </row>
    <row r="276" spans="1:13" ht="13.5" x14ac:dyDescent="0.25">
      <c r="A276" s="860" t="s">
        <v>1976</v>
      </c>
      <c r="B276" s="857"/>
      <c r="C276" s="382"/>
      <c r="D276" s="109">
        <v>0</v>
      </c>
      <c r="E276" s="109">
        <v>0</v>
      </c>
      <c r="F276" s="109">
        <v>0</v>
      </c>
      <c r="G276" s="109">
        <v>0</v>
      </c>
      <c r="H276" s="109">
        <v>0</v>
      </c>
      <c r="I276" s="109">
        <v>0</v>
      </c>
      <c r="J276" s="75">
        <f t="shared" si="30"/>
        <v>0</v>
      </c>
      <c r="K276" s="75">
        <f t="shared" si="31"/>
        <v>0</v>
      </c>
      <c r="L276" s="109"/>
      <c r="M276" s="110"/>
    </row>
    <row r="277" spans="1:13" ht="13.5" x14ac:dyDescent="0.25">
      <c r="A277" s="860" t="s">
        <v>1977</v>
      </c>
      <c r="B277" s="857"/>
      <c r="C277" s="382"/>
      <c r="D277" s="109">
        <v>0</v>
      </c>
      <c r="E277" s="109">
        <v>0</v>
      </c>
      <c r="F277" s="109">
        <v>0</v>
      </c>
      <c r="G277" s="109">
        <v>0</v>
      </c>
      <c r="H277" s="109">
        <v>0</v>
      </c>
      <c r="I277" s="109">
        <v>0</v>
      </c>
      <c r="J277" s="75">
        <f t="shared" si="30"/>
        <v>0</v>
      </c>
      <c r="K277" s="75">
        <f t="shared" si="31"/>
        <v>0</v>
      </c>
      <c r="L277" s="109"/>
      <c r="M277" s="110"/>
    </row>
    <row r="278" spans="1:13" ht="13.5" x14ac:dyDescent="0.25">
      <c r="A278" s="860" t="s">
        <v>1978</v>
      </c>
      <c r="B278" s="857"/>
      <c r="C278" s="382"/>
      <c r="D278" s="109">
        <v>0</v>
      </c>
      <c r="E278" s="109">
        <v>0</v>
      </c>
      <c r="F278" s="109">
        <v>0</v>
      </c>
      <c r="G278" s="109">
        <v>0</v>
      </c>
      <c r="H278" s="109">
        <v>0</v>
      </c>
      <c r="I278" s="109">
        <v>0</v>
      </c>
      <c r="J278" s="75">
        <f t="shared" si="30"/>
        <v>0</v>
      </c>
      <c r="K278" s="75">
        <f t="shared" si="31"/>
        <v>0</v>
      </c>
      <c r="L278" s="109"/>
      <c r="M278" s="110"/>
    </row>
    <row r="279" spans="1:13" ht="13.5" x14ac:dyDescent="0.25">
      <c r="A279" s="860" t="s">
        <v>1979</v>
      </c>
      <c r="B279" s="857"/>
      <c r="C279" s="382"/>
      <c r="D279" s="109">
        <v>0</v>
      </c>
      <c r="E279" s="109">
        <v>0</v>
      </c>
      <c r="F279" s="109">
        <v>0</v>
      </c>
      <c r="G279" s="109">
        <v>0</v>
      </c>
      <c r="H279" s="109">
        <v>0</v>
      </c>
      <c r="I279" s="109">
        <v>0</v>
      </c>
      <c r="J279" s="75">
        <f t="shared" si="30"/>
        <v>0</v>
      </c>
      <c r="K279" s="75">
        <f t="shared" si="31"/>
        <v>0</v>
      </c>
      <c r="L279" s="109"/>
      <c r="M279" s="110"/>
    </row>
    <row r="280" spans="1:13" ht="13.5" x14ac:dyDescent="0.25">
      <c r="A280" s="860" t="s">
        <v>1980</v>
      </c>
      <c r="B280" s="857"/>
      <c r="C280" s="382"/>
      <c r="D280" s="109">
        <v>0</v>
      </c>
      <c r="E280" s="109">
        <v>0</v>
      </c>
      <c r="F280" s="109">
        <v>0</v>
      </c>
      <c r="G280" s="109">
        <v>0</v>
      </c>
      <c r="H280" s="109">
        <v>0</v>
      </c>
      <c r="I280" s="109">
        <v>0</v>
      </c>
      <c r="J280" s="75">
        <f t="shared" si="30"/>
        <v>0</v>
      </c>
      <c r="K280" s="75">
        <f t="shared" si="31"/>
        <v>0</v>
      </c>
      <c r="L280" s="109"/>
      <c r="M280" s="110"/>
    </row>
    <row r="281" spans="1:13" ht="13.5" x14ac:dyDescent="0.25">
      <c r="A281" s="860" t="s">
        <v>1981</v>
      </c>
      <c r="B281" s="857"/>
      <c r="C281" s="382"/>
      <c r="D281" s="109">
        <v>0</v>
      </c>
      <c r="E281" s="109">
        <v>0</v>
      </c>
      <c r="F281" s="109">
        <v>0</v>
      </c>
      <c r="G281" s="109">
        <v>0</v>
      </c>
      <c r="H281" s="109">
        <v>0</v>
      </c>
      <c r="I281" s="109">
        <v>0</v>
      </c>
      <c r="J281" s="75"/>
      <c r="K281" s="75"/>
      <c r="L281" s="109"/>
      <c r="M281" s="110"/>
    </row>
    <row r="282" spans="1:13" ht="13.5" x14ac:dyDescent="0.25">
      <c r="A282" s="860"/>
      <c r="B282" s="857"/>
      <c r="C282" s="382"/>
      <c r="D282" s="109">
        <v>0</v>
      </c>
      <c r="E282" s="109">
        <v>0</v>
      </c>
      <c r="F282" s="109">
        <v>0</v>
      </c>
      <c r="G282" s="109">
        <v>0</v>
      </c>
      <c r="H282" s="109">
        <v>0</v>
      </c>
      <c r="I282" s="109">
        <v>0</v>
      </c>
      <c r="J282" s="75"/>
      <c r="K282" s="75"/>
      <c r="L282" s="109"/>
      <c r="M282" s="110"/>
    </row>
    <row r="283" spans="1:13" ht="13.5" x14ac:dyDescent="0.25">
      <c r="A283" s="860"/>
      <c r="B283" s="857"/>
      <c r="C283" s="382"/>
      <c r="D283" s="109">
        <v>0</v>
      </c>
      <c r="E283" s="109">
        <v>0</v>
      </c>
      <c r="F283" s="109">
        <v>0</v>
      </c>
      <c r="G283" s="109">
        <v>0</v>
      </c>
      <c r="H283" s="109">
        <v>0</v>
      </c>
      <c r="I283" s="109">
        <v>0</v>
      </c>
      <c r="J283" s="75"/>
      <c r="K283" s="75"/>
      <c r="L283" s="109"/>
      <c r="M283" s="110"/>
    </row>
    <row r="284" spans="1:13" ht="13.5" x14ac:dyDescent="0.25">
      <c r="A284" s="860"/>
      <c r="B284" s="857"/>
      <c r="C284" s="382"/>
      <c r="D284" s="109">
        <v>0</v>
      </c>
      <c r="E284" s="109">
        <v>0</v>
      </c>
      <c r="F284" s="109">
        <v>0</v>
      </c>
      <c r="G284" s="109">
        <v>0</v>
      </c>
      <c r="H284" s="109">
        <v>0</v>
      </c>
      <c r="I284" s="109">
        <v>0</v>
      </c>
      <c r="J284" s="75"/>
      <c r="K284" s="75"/>
      <c r="L284" s="109"/>
      <c r="M284" s="110"/>
    </row>
    <row r="285" spans="1:13" ht="13.5" x14ac:dyDescent="0.25">
      <c r="A285" s="860">
        <f>B5B!A95</f>
        <v>0</v>
      </c>
      <c r="B285" s="857"/>
      <c r="C285" s="382"/>
      <c r="D285" s="109">
        <v>0</v>
      </c>
      <c r="E285" s="109">
        <v>0</v>
      </c>
      <c r="F285" s="109">
        <v>0</v>
      </c>
      <c r="G285" s="109">
        <v>0</v>
      </c>
      <c r="H285" s="109">
        <v>0</v>
      </c>
      <c r="I285" s="109">
        <v>0</v>
      </c>
      <c r="J285" s="75">
        <f t="shared" si="30"/>
        <v>0</v>
      </c>
      <c r="K285" s="75">
        <f t="shared" si="31"/>
        <v>0</v>
      </c>
      <c r="L285" s="109"/>
      <c r="M285" s="110"/>
    </row>
    <row r="286" spans="1:13" ht="13.5" x14ac:dyDescent="0.25">
      <c r="A286" s="858" t="s">
        <v>1982</v>
      </c>
      <c r="B286" s="857"/>
      <c r="C286" s="733">
        <f t="shared" ref="C286:I286" si="34">SUM(C287:C296)</f>
        <v>1000398</v>
      </c>
      <c r="D286" s="732">
        <f t="shared" si="34"/>
        <v>1000398</v>
      </c>
      <c r="E286" s="732">
        <f t="shared" si="34"/>
        <v>0</v>
      </c>
      <c r="F286" s="732">
        <f t="shared" si="34"/>
        <v>0</v>
      </c>
      <c r="G286" s="732">
        <f t="shared" si="34"/>
        <v>0</v>
      </c>
      <c r="H286" s="732">
        <f t="shared" si="34"/>
        <v>0</v>
      </c>
      <c r="I286" s="732">
        <f t="shared" si="34"/>
        <v>30684686</v>
      </c>
      <c r="J286" s="75">
        <f t="shared" si="30"/>
        <v>30684686</v>
      </c>
      <c r="K286" s="75">
        <f t="shared" si="31"/>
        <v>31685084</v>
      </c>
      <c r="L286" s="732">
        <f>SUM(L287:L296)</f>
        <v>0</v>
      </c>
      <c r="M286" s="760">
        <f>SUM(M287:M296)</f>
        <v>0</v>
      </c>
    </row>
    <row r="287" spans="1:13" ht="13.5" x14ac:dyDescent="0.25">
      <c r="A287" s="860" t="s">
        <v>1983</v>
      </c>
      <c r="B287" s="857"/>
      <c r="C287" s="382"/>
      <c r="D287" s="109">
        <v>0</v>
      </c>
      <c r="E287" s="109">
        <v>0</v>
      </c>
      <c r="F287" s="109">
        <v>0</v>
      </c>
      <c r="G287" s="109">
        <v>0</v>
      </c>
      <c r="H287" s="109">
        <v>0</v>
      </c>
      <c r="I287" s="109">
        <v>0</v>
      </c>
      <c r="J287" s="75">
        <f t="shared" si="30"/>
        <v>0</v>
      </c>
      <c r="K287" s="75">
        <f t="shared" si="31"/>
        <v>0</v>
      </c>
      <c r="L287" s="109"/>
      <c r="M287" s="110"/>
    </row>
    <row r="288" spans="1:13" ht="13.5" x14ac:dyDescent="0.25">
      <c r="A288" s="860" t="s">
        <v>1984</v>
      </c>
      <c r="B288" s="857"/>
      <c r="C288" s="382"/>
      <c r="D288" s="109">
        <v>0</v>
      </c>
      <c r="E288" s="109">
        <v>0</v>
      </c>
      <c r="F288" s="109">
        <v>0</v>
      </c>
      <c r="G288" s="109">
        <v>0</v>
      </c>
      <c r="H288" s="109">
        <v>0</v>
      </c>
      <c r="I288" s="109">
        <v>0</v>
      </c>
      <c r="J288" s="75">
        <f t="shared" si="30"/>
        <v>0</v>
      </c>
      <c r="K288" s="75">
        <f t="shared" si="31"/>
        <v>0</v>
      </c>
      <c r="L288" s="109"/>
      <c r="M288" s="110"/>
    </row>
    <row r="289" spans="1:13" ht="13.5" x14ac:dyDescent="0.25">
      <c r="A289" s="860" t="s">
        <v>1985</v>
      </c>
      <c r="B289" s="857"/>
      <c r="C289" s="382">
        <v>1000398</v>
      </c>
      <c r="D289" s="109">
        <v>1000398</v>
      </c>
      <c r="E289" s="109">
        <v>0</v>
      </c>
      <c r="F289" s="109">
        <v>0</v>
      </c>
      <c r="G289" s="109">
        <v>0</v>
      </c>
      <c r="H289" s="109">
        <v>0</v>
      </c>
      <c r="I289" s="109">
        <v>30684686</v>
      </c>
      <c r="J289" s="75">
        <f t="shared" si="30"/>
        <v>30684686</v>
      </c>
      <c r="K289" s="75">
        <f t="shared" si="31"/>
        <v>31685084</v>
      </c>
      <c r="L289" s="109"/>
      <c r="M289" s="110"/>
    </row>
    <row r="290" spans="1:13" ht="13.5" x14ac:dyDescent="0.25">
      <c r="A290" s="860" t="s">
        <v>1986</v>
      </c>
      <c r="B290" s="857"/>
      <c r="C290" s="382"/>
      <c r="D290" s="109">
        <v>0</v>
      </c>
      <c r="E290" s="109">
        <v>0</v>
      </c>
      <c r="F290" s="109">
        <v>0</v>
      </c>
      <c r="G290" s="109">
        <v>0</v>
      </c>
      <c r="H290" s="109">
        <v>0</v>
      </c>
      <c r="I290" s="109">
        <v>0</v>
      </c>
      <c r="J290" s="75">
        <f t="shared" si="30"/>
        <v>0</v>
      </c>
      <c r="K290" s="75">
        <f t="shared" si="31"/>
        <v>0</v>
      </c>
      <c r="L290" s="109"/>
      <c r="M290" s="110"/>
    </row>
    <row r="291" spans="1:13" ht="13.5" x14ac:dyDescent="0.25">
      <c r="A291" s="860" t="s">
        <v>1987</v>
      </c>
      <c r="B291" s="857"/>
      <c r="C291" s="382"/>
      <c r="D291" s="109">
        <v>0</v>
      </c>
      <c r="E291" s="109">
        <v>0</v>
      </c>
      <c r="F291" s="109">
        <v>0</v>
      </c>
      <c r="G291" s="109">
        <v>0</v>
      </c>
      <c r="H291" s="109">
        <v>0</v>
      </c>
      <c r="I291" s="109">
        <v>0</v>
      </c>
      <c r="J291" s="75">
        <f t="shared" si="30"/>
        <v>0</v>
      </c>
      <c r="K291" s="75">
        <f t="shared" si="31"/>
        <v>0</v>
      </c>
      <c r="L291" s="109"/>
      <c r="M291" s="110"/>
    </row>
    <row r="292" spans="1:13" ht="13.5" x14ac:dyDescent="0.25">
      <c r="A292" s="860" t="s">
        <v>1988</v>
      </c>
      <c r="B292" s="857"/>
      <c r="C292" s="382"/>
      <c r="D292" s="109">
        <v>0</v>
      </c>
      <c r="E292" s="109">
        <v>0</v>
      </c>
      <c r="F292" s="109">
        <v>0</v>
      </c>
      <c r="G292" s="109">
        <v>0</v>
      </c>
      <c r="H292" s="109">
        <v>0</v>
      </c>
      <c r="I292" s="109">
        <v>0</v>
      </c>
      <c r="J292" s="75">
        <f t="shared" si="30"/>
        <v>0</v>
      </c>
      <c r="K292" s="75">
        <f t="shared" si="31"/>
        <v>0</v>
      </c>
      <c r="L292" s="109"/>
      <c r="M292" s="110"/>
    </row>
    <row r="293" spans="1:13" ht="13.5" x14ac:dyDescent="0.25">
      <c r="A293" s="860" t="s">
        <v>1989</v>
      </c>
      <c r="B293" s="857"/>
      <c r="C293" s="382"/>
      <c r="D293" s="109">
        <v>0</v>
      </c>
      <c r="E293" s="109">
        <v>0</v>
      </c>
      <c r="F293" s="109">
        <v>0</v>
      </c>
      <c r="G293" s="109">
        <v>0</v>
      </c>
      <c r="H293" s="109">
        <v>0</v>
      </c>
      <c r="I293" s="109">
        <v>0</v>
      </c>
      <c r="J293" s="75">
        <f t="shared" si="30"/>
        <v>0</v>
      </c>
      <c r="K293" s="75">
        <f t="shared" si="31"/>
        <v>0</v>
      </c>
      <c r="L293" s="109"/>
      <c r="M293" s="110"/>
    </row>
    <row r="294" spans="1:13" ht="13.5" x14ac:dyDescent="0.25">
      <c r="A294" s="860">
        <f>B5B!A104</f>
        <v>0</v>
      </c>
      <c r="B294" s="857"/>
      <c r="C294" s="382"/>
      <c r="D294" s="109">
        <v>0</v>
      </c>
      <c r="E294" s="109">
        <v>0</v>
      </c>
      <c r="F294" s="109">
        <v>0</v>
      </c>
      <c r="G294" s="109">
        <v>0</v>
      </c>
      <c r="H294" s="109">
        <v>0</v>
      </c>
      <c r="I294" s="109">
        <v>0</v>
      </c>
      <c r="J294" s="75">
        <f t="shared" si="30"/>
        <v>0</v>
      </c>
      <c r="K294" s="75">
        <f t="shared" si="31"/>
        <v>0</v>
      </c>
      <c r="L294" s="109"/>
      <c r="M294" s="110"/>
    </row>
    <row r="295" spans="1:13" ht="13.5" x14ac:dyDescent="0.25">
      <c r="A295" s="860">
        <f>B5B!A105</f>
        <v>0</v>
      </c>
      <c r="B295" s="857"/>
      <c r="C295" s="382"/>
      <c r="D295" s="109">
        <v>0</v>
      </c>
      <c r="E295" s="109">
        <v>0</v>
      </c>
      <c r="F295" s="109">
        <v>0</v>
      </c>
      <c r="G295" s="109">
        <v>0</v>
      </c>
      <c r="H295" s="109">
        <v>0</v>
      </c>
      <c r="I295" s="109">
        <v>0</v>
      </c>
      <c r="J295" s="75">
        <f t="shared" si="30"/>
        <v>0</v>
      </c>
      <c r="K295" s="75">
        <f t="shared" si="31"/>
        <v>0</v>
      </c>
      <c r="L295" s="109"/>
      <c r="M295" s="110"/>
    </row>
    <row r="296" spans="1:13" ht="13.5" x14ac:dyDescent="0.25">
      <c r="A296" s="860">
        <f>B5B!A106</f>
        <v>0</v>
      </c>
      <c r="B296" s="857"/>
      <c r="C296" s="382"/>
      <c r="D296" s="109">
        <v>0</v>
      </c>
      <c r="E296" s="109">
        <v>0</v>
      </c>
      <c r="F296" s="109">
        <v>0</v>
      </c>
      <c r="G296" s="109">
        <v>0</v>
      </c>
      <c r="H296" s="109">
        <v>0</v>
      </c>
      <c r="I296" s="109">
        <v>0</v>
      </c>
      <c r="J296" s="75">
        <f t="shared" si="30"/>
        <v>0</v>
      </c>
      <c r="K296" s="75">
        <f t="shared" si="31"/>
        <v>0</v>
      </c>
      <c r="L296" s="109"/>
      <c r="M296" s="110"/>
    </row>
    <row r="297" spans="1:13" ht="13.5" x14ac:dyDescent="0.25">
      <c r="A297" s="858" t="s">
        <v>1990</v>
      </c>
      <c r="B297" s="857"/>
      <c r="C297" s="733">
        <f t="shared" ref="C297:I297" si="35">SUM(C298:C307)</f>
        <v>534570062</v>
      </c>
      <c r="D297" s="732">
        <f t="shared" si="35"/>
        <v>500024062</v>
      </c>
      <c r="E297" s="732">
        <f t="shared" si="35"/>
        <v>0</v>
      </c>
      <c r="F297" s="732">
        <f t="shared" si="35"/>
        <v>0</v>
      </c>
      <c r="G297" s="732">
        <f t="shared" si="35"/>
        <v>0</v>
      </c>
      <c r="H297" s="732">
        <f t="shared" si="35"/>
        <v>31374025</v>
      </c>
      <c r="I297" s="732">
        <f t="shared" si="35"/>
        <v>-197658567</v>
      </c>
      <c r="J297" s="75">
        <f t="shared" si="30"/>
        <v>-166284542</v>
      </c>
      <c r="K297" s="75">
        <f t="shared" si="31"/>
        <v>333739520</v>
      </c>
      <c r="L297" s="732">
        <f>SUM(L298:L307)</f>
        <v>320413839</v>
      </c>
      <c r="M297" s="760">
        <f>SUM(M298:M307)</f>
        <v>327433714</v>
      </c>
    </row>
    <row r="298" spans="1:13" ht="13.5" x14ac:dyDescent="0.25">
      <c r="A298" s="860" t="s">
        <v>1991</v>
      </c>
      <c r="B298" s="857"/>
      <c r="C298" s="382"/>
      <c r="D298" s="109">
        <v>0</v>
      </c>
      <c r="E298" s="109">
        <v>0</v>
      </c>
      <c r="F298" s="109">
        <v>0</v>
      </c>
      <c r="G298" s="109">
        <v>0</v>
      </c>
      <c r="H298" s="109">
        <v>0</v>
      </c>
      <c r="I298" s="109">
        <v>0</v>
      </c>
      <c r="J298" s="75">
        <f t="shared" si="30"/>
        <v>0</v>
      </c>
      <c r="K298" s="75">
        <f t="shared" si="31"/>
        <v>0</v>
      </c>
      <c r="L298" s="109"/>
      <c r="M298" s="110"/>
    </row>
    <row r="299" spans="1:13" ht="13.5" x14ac:dyDescent="0.25">
      <c r="A299" s="860" t="s">
        <v>1992</v>
      </c>
      <c r="B299" s="857"/>
      <c r="C299" s="382"/>
      <c r="D299" s="109">
        <v>0</v>
      </c>
      <c r="E299" s="109">
        <v>0</v>
      </c>
      <c r="F299" s="109">
        <v>0</v>
      </c>
      <c r="G299" s="109">
        <v>0</v>
      </c>
      <c r="H299" s="109">
        <v>0</v>
      </c>
      <c r="I299" s="109">
        <v>0</v>
      </c>
      <c r="J299" s="75">
        <f t="shared" si="30"/>
        <v>0</v>
      </c>
      <c r="K299" s="75">
        <f t="shared" si="31"/>
        <v>0</v>
      </c>
      <c r="L299" s="109"/>
      <c r="M299" s="110"/>
    </row>
    <row r="300" spans="1:13" ht="13.5" x14ac:dyDescent="0.25">
      <c r="A300" s="860" t="s">
        <v>1993</v>
      </c>
      <c r="B300" s="857"/>
      <c r="C300" s="382"/>
      <c r="D300" s="109">
        <v>0</v>
      </c>
      <c r="E300" s="109">
        <v>0</v>
      </c>
      <c r="F300" s="109">
        <v>0</v>
      </c>
      <c r="G300" s="109">
        <v>0</v>
      </c>
      <c r="H300" s="109">
        <v>0</v>
      </c>
      <c r="I300" s="109">
        <v>0</v>
      </c>
      <c r="J300" s="75">
        <f t="shared" si="30"/>
        <v>0</v>
      </c>
      <c r="K300" s="75">
        <f t="shared" si="31"/>
        <v>0</v>
      </c>
      <c r="L300" s="109"/>
      <c r="M300" s="110"/>
    </row>
    <row r="301" spans="1:13" ht="13.5" x14ac:dyDescent="0.25">
      <c r="A301" s="860" t="s">
        <v>1994</v>
      </c>
      <c r="B301" s="857"/>
      <c r="C301" s="382"/>
      <c r="D301" s="109">
        <v>0</v>
      </c>
      <c r="E301" s="109">
        <v>0</v>
      </c>
      <c r="F301" s="109">
        <v>0</v>
      </c>
      <c r="G301" s="109">
        <v>0</v>
      </c>
      <c r="H301" s="109">
        <v>0</v>
      </c>
      <c r="I301" s="109">
        <v>0</v>
      </c>
      <c r="J301" s="75">
        <f t="shared" si="30"/>
        <v>0</v>
      </c>
      <c r="K301" s="75">
        <f t="shared" si="31"/>
        <v>0</v>
      </c>
      <c r="L301" s="109"/>
      <c r="M301" s="110"/>
    </row>
    <row r="302" spans="1:13" ht="13.5" x14ac:dyDescent="0.25">
      <c r="A302" s="860" t="s">
        <v>1995</v>
      </c>
      <c r="B302" s="857"/>
      <c r="C302" s="382"/>
      <c r="D302" s="109">
        <v>0</v>
      </c>
      <c r="E302" s="109">
        <v>0</v>
      </c>
      <c r="F302" s="109">
        <v>0</v>
      </c>
      <c r="G302" s="109">
        <v>0</v>
      </c>
      <c r="H302" s="109">
        <v>0</v>
      </c>
      <c r="I302" s="109">
        <v>0</v>
      </c>
      <c r="J302" s="75">
        <f t="shared" si="30"/>
        <v>0</v>
      </c>
      <c r="K302" s="75">
        <f t="shared" si="31"/>
        <v>0</v>
      </c>
      <c r="L302" s="109"/>
      <c r="M302" s="110"/>
    </row>
    <row r="303" spans="1:13" ht="13.5" x14ac:dyDescent="0.25">
      <c r="A303" s="860" t="s">
        <v>1996</v>
      </c>
      <c r="B303" s="857"/>
      <c r="C303" s="382"/>
      <c r="D303" s="109">
        <v>0</v>
      </c>
      <c r="E303" s="109">
        <v>0</v>
      </c>
      <c r="F303" s="109">
        <v>0</v>
      </c>
      <c r="G303" s="109">
        <v>0</v>
      </c>
      <c r="H303" s="109">
        <v>0</v>
      </c>
      <c r="I303" s="109">
        <v>0</v>
      </c>
      <c r="J303" s="75">
        <f t="shared" si="30"/>
        <v>0</v>
      </c>
      <c r="K303" s="75">
        <f t="shared" si="31"/>
        <v>0</v>
      </c>
      <c r="L303" s="109"/>
      <c r="M303" s="110"/>
    </row>
    <row r="304" spans="1:13" ht="13.5" x14ac:dyDescent="0.25">
      <c r="A304" s="860" t="s">
        <v>1997</v>
      </c>
      <c r="B304" s="857"/>
      <c r="C304" s="382">
        <v>534570062</v>
      </c>
      <c r="D304" s="109">
        <v>500024062</v>
      </c>
      <c r="E304" s="109">
        <v>0</v>
      </c>
      <c r="F304" s="109">
        <v>0</v>
      </c>
      <c r="G304" s="109">
        <v>0</v>
      </c>
      <c r="H304" s="109">
        <v>31374025</v>
      </c>
      <c r="I304" s="109">
        <v>-197658567</v>
      </c>
      <c r="J304" s="75">
        <f t="shared" si="30"/>
        <v>-166284542</v>
      </c>
      <c r="K304" s="75">
        <f t="shared" si="31"/>
        <v>333739520</v>
      </c>
      <c r="L304" s="109">
        <v>320413839</v>
      </c>
      <c r="M304" s="110">
        <v>327433714</v>
      </c>
    </row>
    <row r="305" spans="1:13" ht="13.5" x14ac:dyDescent="0.25">
      <c r="A305" s="860" t="s">
        <v>1998</v>
      </c>
      <c r="B305" s="857"/>
      <c r="C305" s="382"/>
      <c r="D305" s="109">
        <v>0</v>
      </c>
      <c r="E305" s="109">
        <v>0</v>
      </c>
      <c r="F305" s="109">
        <v>0</v>
      </c>
      <c r="G305" s="109">
        <v>0</v>
      </c>
      <c r="H305" s="109">
        <v>0</v>
      </c>
      <c r="I305" s="109">
        <v>0</v>
      </c>
      <c r="J305" s="75">
        <f t="shared" si="30"/>
        <v>0</v>
      </c>
      <c r="K305" s="75">
        <f t="shared" si="31"/>
        <v>0</v>
      </c>
      <c r="L305" s="109"/>
      <c r="M305" s="110"/>
    </row>
    <row r="306" spans="1:13" ht="13.5" x14ac:dyDescent="0.25">
      <c r="A306" s="860">
        <f>B5B!A116</f>
        <v>0</v>
      </c>
      <c r="B306" s="857"/>
      <c r="C306" s="382"/>
      <c r="D306" s="109">
        <v>0</v>
      </c>
      <c r="E306" s="109">
        <v>0</v>
      </c>
      <c r="F306" s="109">
        <v>0</v>
      </c>
      <c r="G306" s="109">
        <v>0</v>
      </c>
      <c r="H306" s="109">
        <v>0</v>
      </c>
      <c r="I306" s="109">
        <v>0</v>
      </c>
      <c r="J306" s="75">
        <f t="shared" si="30"/>
        <v>0</v>
      </c>
      <c r="K306" s="75">
        <f t="shared" si="31"/>
        <v>0</v>
      </c>
      <c r="L306" s="109"/>
      <c r="M306" s="110"/>
    </row>
    <row r="307" spans="1:13" ht="13.5" x14ac:dyDescent="0.25">
      <c r="A307" s="860">
        <f>B5B!A117</f>
        <v>0</v>
      </c>
      <c r="B307" s="857"/>
      <c r="C307" s="382"/>
      <c r="D307" s="109">
        <v>0</v>
      </c>
      <c r="E307" s="109">
        <v>0</v>
      </c>
      <c r="F307" s="109">
        <v>0</v>
      </c>
      <c r="G307" s="109">
        <v>0</v>
      </c>
      <c r="H307" s="109">
        <v>0</v>
      </c>
      <c r="I307" s="109">
        <v>0</v>
      </c>
      <c r="J307" s="75">
        <f t="shared" si="30"/>
        <v>0</v>
      </c>
      <c r="K307" s="75">
        <f t="shared" si="31"/>
        <v>0</v>
      </c>
      <c r="L307" s="109"/>
      <c r="M307" s="110"/>
    </row>
    <row r="308" spans="1:13" ht="13.5" x14ac:dyDescent="0.25">
      <c r="A308" s="858" t="s">
        <v>1999</v>
      </c>
      <c r="B308" s="857"/>
      <c r="C308" s="733">
        <f t="shared" ref="C308:I308" si="36">SUM(C309:C318)</f>
        <v>0</v>
      </c>
      <c r="D308" s="732">
        <f t="shared" si="36"/>
        <v>0</v>
      </c>
      <c r="E308" s="732">
        <f t="shared" si="36"/>
        <v>0</v>
      </c>
      <c r="F308" s="732">
        <f t="shared" si="36"/>
        <v>0</v>
      </c>
      <c r="G308" s="732">
        <f t="shared" si="36"/>
        <v>0</v>
      </c>
      <c r="H308" s="732">
        <f t="shared" si="36"/>
        <v>0</v>
      </c>
      <c r="I308" s="732">
        <f t="shared" si="36"/>
        <v>0</v>
      </c>
      <c r="J308" s="75">
        <f t="shared" si="30"/>
        <v>0</v>
      </c>
      <c r="K308" s="75">
        <f t="shared" si="31"/>
        <v>0</v>
      </c>
      <c r="L308" s="732">
        <f>SUM(L309:L318)</f>
        <v>0</v>
      </c>
      <c r="M308" s="760">
        <f>SUM(M309:M318)</f>
        <v>0</v>
      </c>
    </row>
    <row r="309" spans="1:13" ht="13.5" x14ac:dyDescent="0.25">
      <c r="A309" s="860" t="s">
        <v>2000</v>
      </c>
      <c r="B309" s="857"/>
      <c r="C309" s="382"/>
      <c r="D309" s="109">
        <v>0</v>
      </c>
      <c r="E309" s="109">
        <v>0</v>
      </c>
      <c r="F309" s="109">
        <v>0</v>
      </c>
      <c r="G309" s="109">
        <v>0</v>
      </c>
      <c r="H309" s="109">
        <v>0</v>
      </c>
      <c r="I309" s="109">
        <v>0</v>
      </c>
      <c r="J309" s="75">
        <f t="shared" si="30"/>
        <v>0</v>
      </c>
      <c r="K309" s="75">
        <f t="shared" si="31"/>
        <v>0</v>
      </c>
      <c r="L309" s="109"/>
      <c r="M309" s="110"/>
    </row>
    <row r="310" spans="1:13" ht="13.5" x14ac:dyDescent="0.25">
      <c r="A310" s="860" t="s">
        <v>2001</v>
      </c>
      <c r="B310" s="857"/>
      <c r="C310" s="382"/>
      <c r="D310" s="109">
        <v>0</v>
      </c>
      <c r="E310" s="109">
        <v>0</v>
      </c>
      <c r="F310" s="109">
        <v>0</v>
      </c>
      <c r="G310" s="109">
        <v>0</v>
      </c>
      <c r="H310" s="109">
        <v>0</v>
      </c>
      <c r="I310" s="109">
        <v>0</v>
      </c>
      <c r="J310" s="75">
        <f t="shared" si="30"/>
        <v>0</v>
      </c>
      <c r="K310" s="75">
        <f t="shared" si="31"/>
        <v>0</v>
      </c>
      <c r="L310" s="109"/>
      <c r="M310" s="110"/>
    </row>
    <row r="311" spans="1:13" ht="13.5" x14ac:dyDescent="0.25">
      <c r="A311" s="860" t="s">
        <v>2002</v>
      </c>
      <c r="B311" s="857"/>
      <c r="C311" s="382"/>
      <c r="D311" s="109">
        <v>0</v>
      </c>
      <c r="E311" s="109">
        <v>0</v>
      </c>
      <c r="F311" s="109">
        <v>0</v>
      </c>
      <c r="G311" s="109">
        <v>0</v>
      </c>
      <c r="H311" s="109">
        <v>0</v>
      </c>
      <c r="I311" s="109">
        <v>0</v>
      </c>
      <c r="J311" s="75">
        <f t="shared" si="30"/>
        <v>0</v>
      </c>
      <c r="K311" s="75">
        <f t="shared" si="31"/>
        <v>0</v>
      </c>
      <c r="L311" s="109"/>
      <c r="M311" s="110"/>
    </row>
    <row r="312" spans="1:13" ht="13.5" x14ac:dyDescent="0.25">
      <c r="A312" s="860">
        <f>B5B!A122</f>
        <v>0</v>
      </c>
      <c r="B312" s="857"/>
      <c r="C312" s="382"/>
      <c r="D312" s="109">
        <v>0</v>
      </c>
      <c r="E312" s="109">
        <v>0</v>
      </c>
      <c r="F312" s="109">
        <v>0</v>
      </c>
      <c r="G312" s="109">
        <v>0</v>
      </c>
      <c r="H312" s="109">
        <v>0</v>
      </c>
      <c r="I312" s="109">
        <v>0</v>
      </c>
      <c r="J312" s="75">
        <f t="shared" si="30"/>
        <v>0</v>
      </c>
      <c r="K312" s="75">
        <f t="shared" si="31"/>
        <v>0</v>
      </c>
      <c r="L312" s="109"/>
      <c r="M312" s="110"/>
    </row>
    <row r="313" spans="1:13" ht="13.5" x14ac:dyDescent="0.25">
      <c r="A313" s="860">
        <f>B5B!A123</f>
        <v>0</v>
      </c>
      <c r="B313" s="857"/>
      <c r="C313" s="382"/>
      <c r="D313" s="109">
        <v>0</v>
      </c>
      <c r="E313" s="109">
        <v>0</v>
      </c>
      <c r="F313" s="109">
        <v>0</v>
      </c>
      <c r="G313" s="109">
        <v>0</v>
      </c>
      <c r="H313" s="109">
        <v>0</v>
      </c>
      <c r="I313" s="109">
        <v>0</v>
      </c>
      <c r="J313" s="75">
        <f t="shared" si="30"/>
        <v>0</v>
      </c>
      <c r="K313" s="75">
        <f t="shared" si="31"/>
        <v>0</v>
      </c>
      <c r="L313" s="109"/>
      <c r="M313" s="110"/>
    </row>
    <row r="314" spans="1:13" ht="13.5" x14ac:dyDescent="0.25">
      <c r="A314" s="860">
        <f>B5B!A124</f>
        <v>0</v>
      </c>
      <c r="B314" s="857"/>
      <c r="C314" s="382"/>
      <c r="D314" s="109">
        <v>0</v>
      </c>
      <c r="E314" s="109">
        <v>0</v>
      </c>
      <c r="F314" s="109">
        <v>0</v>
      </c>
      <c r="G314" s="109">
        <v>0</v>
      </c>
      <c r="H314" s="109">
        <v>0</v>
      </c>
      <c r="I314" s="109">
        <v>0</v>
      </c>
      <c r="J314" s="75">
        <f t="shared" si="30"/>
        <v>0</v>
      </c>
      <c r="K314" s="75">
        <f t="shared" si="31"/>
        <v>0</v>
      </c>
      <c r="L314" s="109"/>
      <c r="M314" s="110"/>
    </row>
    <row r="315" spans="1:13" ht="13.5" x14ac:dyDescent="0.25">
      <c r="A315" s="860">
        <f>B5B!A125</f>
        <v>0</v>
      </c>
      <c r="B315" s="857"/>
      <c r="C315" s="382"/>
      <c r="D315" s="109">
        <v>0</v>
      </c>
      <c r="E315" s="109">
        <v>0</v>
      </c>
      <c r="F315" s="109">
        <v>0</v>
      </c>
      <c r="G315" s="109">
        <v>0</v>
      </c>
      <c r="H315" s="109">
        <v>0</v>
      </c>
      <c r="I315" s="109">
        <v>0</v>
      </c>
      <c r="J315" s="75">
        <f t="shared" si="30"/>
        <v>0</v>
      </c>
      <c r="K315" s="75">
        <f t="shared" si="31"/>
        <v>0</v>
      </c>
      <c r="L315" s="109"/>
      <c r="M315" s="110"/>
    </row>
    <row r="316" spans="1:13" ht="13.5" x14ac:dyDescent="0.25">
      <c r="A316" s="860">
        <f>B5B!A126</f>
        <v>0</v>
      </c>
      <c r="B316" s="857"/>
      <c r="C316" s="382"/>
      <c r="D316" s="109">
        <v>0</v>
      </c>
      <c r="E316" s="109">
        <v>0</v>
      </c>
      <c r="F316" s="109">
        <v>0</v>
      </c>
      <c r="G316" s="109">
        <v>0</v>
      </c>
      <c r="H316" s="109">
        <v>0</v>
      </c>
      <c r="I316" s="109">
        <v>0</v>
      </c>
      <c r="J316" s="75">
        <f t="shared" si="30"/>
        <v>0</v>
      </c>
      <c r="K316" s="75">
        <f t="shared" si="31"/>
        <v>0</v>
      </c>
      <c r="L316" s="109"/>
      <c r="M316" s="110"/>
    </row>
    <row r="317" spans="1:13" ht="13.5" x14ac:dyDescent="0.25">
      <c r="A317" s="860">
        <f>B5B!A127</f>
        <v>0</v>
      </c>
      <c r="B317" s="857"/>
      <c r="C317" s="382"/>
      <c r="D317" s="109">
        <v>0</v>
      </c>
      <c r="E317" s="109">
        <v>0</v>
      </c>
      <c r="F317" s="109">
        <v>0</v>
      </c>
      <c r="G317" s="109">
        <v>0</v>
      </c>
      <c r="H317" s="109">
        <v>0</v>
      </c>
      <c r="I317" s="109">
        <v>0</v>
      </c>
      <c r="J317" s="75">
        <f t="shared" si="30"/>
        <v>0</v>
      </c>
      <c r="K317" s="75">
        <f t="shared" si="31"/>
        <v>0</v>
      </c>
      <c r="L317" s="109"/>
      <c r="M317" s="110"/>
    </row>
    <row r="318" spans="1:13" ht="13.5" x14ac:dyDescent="0.25">
      <c r="A318" s="860">
        <f>B5B!A128</f>
        <v>0</v>
      </c>
      <c r="B318" s="857"/>
      <c r="C318" s="382"/>
      <c r="D318" s="109">
        <v>0</v>
      </c>
      <c r="E318" s="109">
        <v>0</v>
      </c>
      <c r="F318" s="109">
        <v>0</v>
      </c>
      <c r="G318" s="109">
        <v>0</v>
      </c>
      <c r="H318" s="109">
        <v>0</v>
      </c>
      <c r="I318" s="109">
        <v>0</v>
      </c>
      <c r="J318" s="75">
        <f t="shared" si="30"/>
        <v>0</v>
      </c>
      <c r="K318" s="75">
        <f t="shared" si="31"/>
        <v>0</v>
      </c>
      <c r="L318" s="109"/>
      <c r="M318" s="110"/>
    </row>
    <row r="319" spans="1:13" ht="13.5" x14ac:dyDescent="0.25">
      <c r="A319" s="858" t="str">
        <f>B5B!A129</f>
        <v>Vote 12 - [NAME OF VOTE 12]</v>
      </c>
      <c r="B319" s="857"/>
      <c r="C319" s="733">
        <f t="shared" ref="C319:I319" si="37">SUM(C320:C329)</f>
        <v>0</v>
      </c>
      <c r="D319" s="732">
        <f t="shared" si="37"/>
        <v>0</v>
      </c>
      <c r="E319" s="732">
        <f t="shared" si="37"/>
        <v>0</v>
      </c>
      <c r="F319" s="732">
        <f t="shared" si="37"/>
        <v>0</v>
      </c>
      <c r="G319" s="732">
        <f t="shared" si="37"/>
        <v>0</v>
      </c>
      <c r="H319" s="732">
        <f t="shared" si="37"/>
        <v>0</v>
      </c>
      <c r="I319" s="732">
        <f t="shared" si="37"/>
        <v>0</v>
      </c>
      <c r="J319" s="75">
        <f t="shared" si="30"/>
        <v>0</v>
      </c>
      <c r="K319" s="75">
        <f t="shared" si="31"/>
        <v>0</v>
      </c>
      <c r="L319" s="732">
        <f>SUM(L320:L329)</f>
        <v>0</v>
      </c>
      <c r="M319" s="760">
        <f>SUM(M320:M329)</f>
        <v>0</v>
      </c>
    </row>
    <row r="320" spans="1:13" ht="13.5" x14ac:dyDescent="0.25">
      <c r="A320" s="860" t="str">
        <f>B5B!A130</f>
        <v>12.1 - [Name of sub-vote]</v>
      </c>
      <c r="B320" s="857"/>
      <c r="C320" s="382"/>
      <c r="D320" s="109">
        <v>0</v>
      </c>
      <c r="E320" s="109">
        <v>0</v>
      </c>
      <c r="F320" s="109">
        <v>0</v>
      </c>
      <c r="G320" s="109">
        <v>0</v>
      </c>
      <c r="H320" s="109">
        <v>0</v>
      </c>
      <c r="I320" s="109">
        <v>0</v>
      </c>
      <c r="J320" s="75">
        <f t="shared" si="30"/>
        <v>0</v>
      </c>
      <c r="K320" s="75">
        <f t="shared" si="31"/>
        <v>0</v>
      </c>
      <c r="L320" s="109"/>
      <c r="M320" s="110"/>
    </row>
    <row r="321" spans="1:13" ht="13.5" x14ac:dyDescent="0.25">
      <c r="A321" s="860">
        <f>B5B!A131</f>
        <v>0</v>
      </c>
      <c r="B321" s="857"/>
      <c r="C321" s="382"/>
      <c r="D321" s="109">
        <v>0</v>
      </c>
      <c r="E321" s="109">
        <v>0</v>
      </c>
      <c r="F321" s="109">
        <v>0</v>
      </c>
      <c r="G321" s="109">
        <v>0</v>
      </c>
      <c r="H321" s="109">
        <v>0</v>
      </c>
      <c r="I321" s="109">
        <v>0</v>
      </c>
      <c r="J321" s="75">
        <f t="shared" si="30"/>
        <v>0</v>
      </c>
      <c r="K321" s="75">
        <f t="shared" si="31"/>
        <v>0</v>
      </c>
      <c r="L321" s="109"/>
      <c r="M321" s="110"/>
    </row>
    <row r="322" spans="1:13" ht="13.5" x14ac:dyDescent="0.25">
      <c r="A322" s="860">
        <f>B5B!A132</f>
        <v>0</v>
      </c>
      <c r="B322" s="857"/>
      <c r="C322" s="382"/>
      <c r="D322" s="109">
        <v>0</v>
      </c>
      <c r="E322" s="109">
        <v>0</v>
      </c>
      <c r="F322" s="109">
        <v>0</v>
      </c>
      <c r="G322" s="109">
        <v>0</v>
      </c>
      <c r="H322" s="109">
        <v>0</v>
      </c>
      <c r="I322" s="109">
        <v>0</v>
      </c>
      <c r="J322" s="75">
        <f t="shared" si="30"/>
        <v>0</v>
      </c>
      <c r="K322" s="75">
        <f t="shared" si="31"/>
        <v>0</v>
      </c>
      <c r="L322" s="109"/>
      <c r="M322" s="110"/>
    </row>
    <row r="323" spans="1:13" ht="13.5" x14ac:dyDescent="0.25">
      <c r="A323" s="860">
        <f>B5B!A133</f>
        <v>0</v>
      </c>
      <c r="B323" s="857"/>
      <c r="C323" s="382"/>
      <c r="D323" s="109">
        <v>0</v>
      </c>
      <c r="E323" s="109">
        <v>0</v>
      </c>
      <c r="F323" s="109">
        <v>0</v>
      </c>
      <c r="G323" s="109">
        <v>0</v>
      </c>
      <c r="H323" s="109">
        <v>0</v>
      </c>
      <c r="I323" s="109">
        <v>0</v>
      </c>
      <c r="J323" s="75">
        <f t="shared" si="30"/>
        <v>0</v>
      </c>
      <c r="K323" s="75">
        <f t="shared" si="31"/>
        <v>0</v>
      </c>
      <c r="L323" s="109"/>
      <c r="M323" s="110"/>
    </row>
    <row r="324" spans="1:13" ht="13.5" x14ac:dyDescent="0.25">
      <c r="A324" s="860">
        <f>B5B!A134</f>
        <v>0</v>
      </c>
      <c r="B324" s="857"/>
      <c r="C324" s="382"/>
      <c r="D324" s="109">
        <v>0</v>
      </c>
      <c r="E324" s="109">
        <v>0</v>
      </c>
      <c r="F324" s="109">
        <v>0</v>
      </c>
      <c r="G324" s="109">
        <v>0</v>
      </c>
      <c r="H324" s="109">
        <v>0</v>
      </c>
      <c r="I324" s="109">
        <v>0</v>
      </c>
      <c r="J324" s="75">
        <f t="shared" si="30"/>
        <v>0</v>
      </c>
      <c r="K324" s="75">
        <f t="shared" si="31"/>
        <v>0</v>
      </c>
      <c r="L324" s="109"/>
      <c r="M324" s="110"/>
    </row>
    <row r="325" spans="1:13" ht="13.5" x14ac:dyDescent="0.25">
      <c r="A325" s="860">
        <f>B5B!A135</f>
        <v>0</v>
      </c>
      <c r="B325" s="857"/>
      <c r="C325" s="382"/>
      <c r="D325" s="109">
        <v>0</v>
      </c>
      <c r="E325" s="109">
        <v>0</v>
      </c>
      <c r="F325" s="109">
        <v>0</v>
      </c>
      <c r="G325" s="109">
        <v>0</v>
      </c>
      <c r="H325" s="109">
        <v>0</v>
      </c>
      <c r="I325" s="109">
        <v>0</v>
      </c>
      <c r="J325" s="75">
        <f t="shared" si="30"/>
        <v>0</v>
      </c>
      <c r="K325" s="75">
        <f t="shared" si="31"/>
        <v>0</v>
      </c>
      <c r="L325" s="109"/>
      <c r="M325" s="110"/>
    </row>
    <row r="326" spans="1:13" ht="13.5" x14ac:dyDescent="0.25">
      <c r="A326" s="860">
        <f>B5B!A136</f>
        <v>0</v>
      </c>
      <c r="B326" s="857"/>
      <c r="C326" s="382"/>
      <c r="D326" s="109">
        <v>0</v>
      </c>
      <c r="E326" s="109">
        <v>0</v>
      </c>
      <c r="F326" s="109">
        <v>0</v>
      </c>
      <c r="G326" s="109">
        <v>0</v>
      </c>
      <c r="H326" s="109">
        <v>0</v>
      </c>
      <c r="I326" s="109">
        <v>0</v>
      </c>
      <c r="J326" s="75">
        <f t="shared" ref="J326:J363" si="38">SUM(E326:I326)</f>
        <v>0</v>
      </c>
      <c r="K326" s="75">
        <f t="shared" ref="K326:K363" si="39">IF(D326=0,C326+J326,D326+J326)</f>
        <v>0</v>
      </c>
      <c r="L326" s="109"/>
      <c r="M326" s="110"/>
    </row>
    <row r="327" spans="1:13" ht="13.5" x14ac:dyDescent="0.25">
      <c r="A327" s="860">
        <f>B5B!A137</f>
        <v>0</v>
      </c>
      <c r="B327" s="857"/>
      <c r="C327" s="382"/>
      <c r="D327" s="109">
        <v>0</v>
      </c>
      <c r="E327" s="109">
        <v>0</v>
      </c>
      <c r="F327" s="109">
        <v>0</v>
      </c>
      <c r="G327" s="109">
        <v>0</v>
      </c>
      <c r="H327" s="109">
        <v>0</v>
      </c>
      <c r="I327" s="109">
        <v>0</v>
      </c>
      <c r="J327" s="75">
        <f t="shared" si="38"/>
        <v>0</v>
      </c>
      <c r="K327" s="75">
        <f t="shared" si="39"/>
        <v>0</v>
      </c>
      <c r="L327" s="109"/>
      <c r="M327" s="110"/>
    </row>
    <row r="328" spans="1:13" ht="13.5" x14ac:dyDescent="0.25">
      <c r="A328" s="860">
        <f>B5B!A138</f>
        <v>0</v>
      </c>
      <c r="B328" s="857"/>
      <c r="C328" s="382"/>
      <c r="D328" s="109">
        <v>0</v>
      </c>
      <c r="E328" s="109">
        <v>0</v>
      </c>
      <c r="F328" s="109">
        <v>0</v>
      </c>
      <c r="G328" s="109">
        <v>0</v>
      </c>
      <c r="H328" s="109">
        <v>0</v>
      </c>
      <c r="I328" s="109">
        <v>0</v>
      </c>
      <c r="J328" s="75">
        <f t="shared" si="38"/>
        <v>0</v>
      </c>
      <c r="K328" s="75">
        <f t="shared" si="39"/>
        <v>0</v>
      </c>
      <c r="L328" s="109"/>
      <c r="M328" s="110"/>
    </row>
    <row r="329" spans="1:13" ht="13.5" x14ac:dyDescent="0.25">
      <c r="A329" s="860">
        <f>B5B!A139</f>
        <v>0</v>
      </c>
      <c r="B329" s="857"/>
      <c r="C329" s="382"/>
      <c r="D329" s="109">
        <v>0</v>
      </c>
      <c r="E329" s="109">
        <v>0</v>
      </c>
      <c r="F329" s="109">
        <v>0</v>
      </c>
      <c r="G329" s="109">
        <v>0</v>
      </c>
      <c r="H329" s="109">
        <v>0</v>
      </c>
      <c r="I329" s="109">
        <v>0</v>
      </c>
      <c r="J329" s="75">
        <f t="shared" si="38"/>
        <v>0</v>
      </c>
      <c r="K329" s="75">
        <f t="shared" si="39"/>
        <v>0</v>
      </c>
      <c r="L329" s="109"/>
      <c r="M329" s="110"/>
    </row>
    <row r="330" spans="1:13" ht="13.5" x14ac:dyDescent="0.25">
      <c r="A330" s="858" t="str">
        <f>B5B!A140</f>
        <v>Vote 13 - [NAME OF VOTE 13]</v>
      </c>
      <c r="B330" s="857"/>
      <c r="C330" s="733">
        <f t="shared" ref="C330:I330" si="40">SUM(C331:C340)</f>
        <v>0</v>
      </c>
      <c r="D330" s="732">
        <f t="shared" si="40"/>
        <v>0</v>
      </c>
      <c r="E330" s="732">
        <f t="shared" si="40"/>
        <v>0</v>
      </c>
      <c r="F330" s="732">
        <f t="shared" si="40"/>
        <v>0</v>
      </c>
      <c r="G330" s="732">
        <f t="shared" si="40"/>
        <v>0</v>
      </c>
      <c r="H330" s="732">
        <f t="shared" si="40"/>
        <v>0</v>
      </c>
      <c r="I330" s="732">
        <f t="shared" si="40"/>
        <v>0</v>
      </c>
      <c r="J330" s="75">
        <f t="shared" si="38"/>
        <v>0</v>
      </c>
      <c r="K330" s="75">
        <f t="shared" si="39"/>
        <v>0</v>
      </c>
      <c r="L330" s="732">
        <f>SUM(L331:L340)</f>
        <v>0</v>
      </c>
      <c r="M330" s="760">
        <f>SUM(M331:M340)</f>
        <v>0</v>
      </c>
    </row>
    <row r="331" spans="1:13" ht="13.5" x14ac:dyDescent="0.25">
      <c r="A331" s="860" t="str">
        <f>B5B!A141</f>
        <v>13.1 - [Name of sub-vote]</v>
      </c>
      <c r="B331" s="857"/>
      <c r="C331" s="382"/>
      <c r="D331" s="109">
        <v>0</v>
      </c>
      <c r="E331" s="109">
        <v>0</v>
      </c>
      <c r="F331" s="109">
        <v>0</v>
      </c>
      <c r="G331" s="109">
        <v>0</v>
      </c>
      <c r="H331" s="109">
        <v>0</v>
      </c>
      <c r="I331" s="109">
        <v>0</v>
      </c>
      <c r="J331" s="75">
        <f t="shared" si="38"/>
        <v>0</v>
      </c>
      <c r="K331" s="75">
        <f t="shared" si="39"/>
        <v>0</v>
      </c>
      <c r="L331" s="109"/>
      <c r="M331" s="110"/>
    </row>
    <row r="332" spans="1:13" ht="13.5" x14ac:dyDescent="0.25">
      <c r="A332" s="860">
        <f>B5B!A142</f>
        <v>0</v>
      </c>
      <c r="B332" s="857"/>
      <c r="C332" s="382"/>
      <c r="D332" s="109">
        <v>0</v>
      </c>
      <c r="E332" s="109">
        <v>0</v>
      </c>
      <c r="F332" s="109">
        <v>0</v>
      </c>
      <c r="G332" s="109">
        <v>0</v>
      </c>
      <c r="H332" s="109">
        <v>0</v>
      </c>
      <c r="I332" s="109">
        <v>0</v>
      </c>
      <c r="J332" s="75">
        <f t="shared" si="38"/>
        <v>0</v>
      </c>
      <c r="K332" s="75">
        <f t="shared" si="39"/>
        <v>0</v>
      </c>
      <c r="L332" s="109"/>
      <c r="M332" s="110"/>
    </row>
    <row r="333" spans="1:13" ht="13.5" x14ac:dyDescent="0.25">
      <c r="A333" s="860">
        <f>B5B!A143</f>
        <v>0</v>
      </c>
      <c r="B333" s="857"/>
      <c r="C333" s="382"/>
      <c r="D333" s="109">
        <v>0</v>
      </c>
      <c r="E333" s="109">
        <v>0</v>
      </c>
      <c r="F333" s="109">
        <v>0</v>
      </c>
      <c r="G333" s="109">
        <v>0</v>
      </c>
      <c r="H333" s="109">
        <v>0</v>
      </c>
      <c r="I333" s="109">
        <v>0</v>
      </c>
      <c r="J333" s="75">
        <f t="shared" si="38"/>
        <v>0</v>
      </c>
      <c r="K333" s="75">
        <f t="shared" si="39"/>
        <v>0</v>
      </c>
      <c r="L333" s="109"/>
      <c r="M333" s="110"/>
    </row>
    <row r="334" spans="1:13" ht="13.5" x14ac:dyDescent="0.25">
      <c r="A334" s="860">
        <f>B5B!A144</f>
        <v>0</v>
      </c>
      <c r="B334" s="857"/>
      <c r="C334" s="382"/>
      <c r="D334" s="109">
        <v>0</v>
      </c>
      <c r="E334" s="109">
        <v>0</v>
      </c>
      <c r="F334" s="109">
        <v>0</v>
      </c>
      <c r="G334" s="109">
        <v>0</v>
      </c>
      <c r="H334" s="109">
        <v>0</v>
      </c>
      <c r="I334" s="109">
        <v>0</v>
      </c>
      <c r="J334" s="75">
        <f t="shared" si="38"/>
        <v>0</v>
      </c>
      <c r="K334" s="75">
        <f t="shared" si="39"/>
        <v>0</v>
      </c>
      <c r="L334" s="109"/>
      <c r="M334" s="110"/>
    </row>
    <row r="335" spans="1:13" ht="13.5" x14ac:dyDescent="0.25">
      <c r="A335" s="860">
        <f>B5B!A145</f>
        <v>0</v>
      </c>
      <c r="B335" s="857"/>
      <c r="C335" s="382"/>
      <c r="D335" s="109">
        <v>0</v>
      </c>
      <c r="E335" s="109">
        <v>0</v>
      </c>
      <c r="F335" s="109">
        <v>0</v>
      </c>
      <c r="G335" s="109">
        <v>0</v>
      </c>
      <c r="H335" s="109">
        <v>0</v>
      </c>
      <c r="I335" s="109">
        <v>0</v>
      </c>
      <c r="J335" s="75">
        <f t="shared" si="38"/>
        <v>0</v>
      </c>
      <c r="K335" s="75">
        <f t="shared" si="39"/>
        <v>0</v>
      </c>
      <c r="L335" s="109"/>
      <c r="M335" s="110"/>
    </row>
    <row r="336" spans="1:13" ht="13.5" x14ac:dyDescent="0.25">
      <c r="A336" s="860">
        <f>B5B!A146</f>
        <v>0</v>
      </c>
      <c r="B336" s="857"/>
      <c r="C336" s="382"/>
      <c r="D336" s="109">
        <v>0</v>
      </c>
      <c r="E336" s="109">
        <v>0</v>
      </c>
      <c r="F336" s="109">
        <v>0</v>
      </c>
      <c r="G336" s="109">
        <v>0</v>
      </c>
      <c r="H336" s="109">
        <v>0</v>
      </c>
      <c r="I336" s="109">
        <v>0</v>
      </c>
      <c r="J336" s="75">
        <f t="shared" si="38"/>
        <v>0</v>
      </c>
      <c r="K336" s="75">
        <f t="shared" si="39"/>
        <v>0</v>
      </c>
      <c r="L336" s="109"/>
      <c r="M336" s="110"/>
    </row>
    <row r="337" spans="1:13" ht="13.5" x14ac:dyDescent="0.25">
      <c r="A337" s="860">
        <f>B5B!A147</f>
        <v>0</v>
      </c>
      <c r="B337" s="857"/>
      <c r="C337" s="382"/>
      <c r="D337" s="109">
        <v>0</v>
      </c>
      <c r="E337" s="109">
        <v>0</v>
      </c>
      <c r="F337" s="109">
        <v>0</v>
      </c>
      <c r="G337" s="109">
        <v>0</v>
      </c>
      <c r="H337" s="109">
        <v>0</v>
      </c>
      <c r="I337" s="109">
        <v>0</v>
      </c>
      <c r="J337" s="75">
        <f t="shared" si="38"/>
        <v>0</v>
      </c>
      <c r="K337" s="75">
        <f t="shared" si="39"/>
        <v>0</v>
      </c>
      <c r="L337" s="109"/>
      <c r="M337" s="110"/>
    </row>
    <row r="338" spans="1:13" ht="13.5" x14ac:dyDescent="0.25">
      <c r="A338" s="860">
        <f>B5B!A148</f>
        <v>0</v>
      </c>
      <c r="B338" s="857"/>
      <c r="C338" s="382"/>
      <c r="D338" s="109">
        <v>0</v>
      </c>
      <c r="E338" s="109">
        <v>0</v>
      </c>
      <c r="F338" s="109">
        <v>0</v>
      </c>
      <c r="G338" s="109">
        <v>0</v>
      </c>
      <c r="H338" s="109">
        <v>0</v>
      </c>
      <c r="I338" s="109">
        <v>0</v>
      </c>
      <c r="J338" s="75">
        <f t="shared" si="38"/>
        <v>0</v>
      </c>
      <c r="K338" s="75">
        <f t="shared" si="39"/>
        <v>0</v>
      </c>
      <c r="L338" s="109"/>
      <c r="M338" s="110"/>
    </row>
    <row r="339" spans="1:13" ht="13.5" x14ac:dyDescent="0.25">
      <c r="A339" s="860">
        <f>B5B!A149</f>
        <v>0</v>
      </c>
      <c r="B339" s="857"/>
      <c r="C339" s="382"/>
      <c r="D339" s="109">
        <v>0</v>
      </c>
      <c r="E339" s="109">
        <v>0</v>
      </c>
      <c r="F339" s="109">
        <v>0</v>
      </c>
      <c r="G339" s="109">
        <v>0</v>
      </c>
      <c r="H339" s="109">
        <v>0</v>
      </c>
      <c r="I339" s="109">
        <v>0</v>
      </c>
      <c r="J339" s="75">
        <f t="shared" si="38"/>
        <v>0</v>
      </c>
      <c r="K339" s="75">
        <f t="shared" si="39"/>
        <v>0</v>
      </c>
      <c r="L339" s="109"/>
      <c r="M339" s="110"/>
    </row>
    <row r="340" spans="1:13" ht="13.5" x14ac:dyDescent="0.25">
      <c r="A340" s="860">
        <f>B5B!A150</f>
        <v>0</v>
      </c>
      <c r="B340" s="857"/>
      <c r="C340" s="382"/>
      <c r="D340" s="109">
        <v>0</v>
      </c>
      <c r="E340" s="109">
        <v>0</v>
      </c>
      <c r="F340" s="109">
        <v>0</v>
      </c>
      <c r="G340" s="109">
        <v>0</v>
      </c>
      <c r="H340" s="109">
        <v>0</v>
      </c>
      <c r="I340" s="109">
        <v>0</v>
      </c>
      <c r="J340" s="75">
        <f t="shared" si="38"/>
        <v>0</v>
      </c>
      <c r="K340" s="75">
        <f t="shared" si="39"/>
        <v>0</v>
      </c>
      <c r="L340" s="109"/>
      <c r="M340" s="110"/>
    </row>
    <row r="341" spans="1:13" ht="13.5" x14ac:dyDescent="0.25">
      <c r="A341" s="858" t="str">
        <f>B5B!A151</f>
        <v>Vote 14 - [NAME OF VOTE 14]</v>
      </c>
      <c r="B341" s="857"/>
      <c r="C341" s="733">
        <f t="shared" ref="C341:I341" si="41">SUM(C342:C351)</f>
        <v>0</v>
      </c>
      <c r="D341" s="732">
        <f t="shared" si="41"/>
        <v>0</v>
      </c>
      <c r="E341" s="732">
        <f t="shared" si="41"/>
        <v>0</v>
      </c>
      <c r="F341" s="732">
        <f t="shared" si="41"/>
        <v>0</v>
      </c>
      <c r="G341" s="732">
        <f t="shared" si="41"/>
        <v>0</v>
      </c>
      <c r="H341" s="732">
        <f t="shared" si="41"/>
        <v>0</v>
      </c>
      <c r="I341" s="732">
        <f t="shared" si="41"/>
        <v>0</v>
      </c>
      <c r="J341" s="75">
        <f t="shared" si="38"/>
        <v>0</v>
      </c>
      <c r="K341" s="75">
        <f t="shared" si="39"/>
        <v>0</v>
      </c>
      <c r="L341" s="732">
        <f>SUM(L342:L351)</f>
        <v>0</v>
      </c>
      <c r="M341" s="760">
        <f>SUM(M342:M351)</f>
        <v>0</v>
      </c>
    </row>
    <row r="342" spans="1:13" ht="13.5" x14ac:dyDescent="0.25">
      <c r="A342" s="860" t="str">
        <f>B5B!A152</f>
        <v>14.1 - [Name of sub-vote]</v>
      </c>
      <c r="B342" s="857"/>
      <c r="C342" s="382"/>
      <c r="D342" s="109">
        <v>0</v>
      </c>
      <c r="E342" s="109">
        <v>0</v>
      </c>
      <c r="F342" s="109">
        <v>0</v>
      </c>
      <c r="G342" s="109">
        <v>0</v>
      </c>
      <c r="H342" s="109">
        <v>0</v>
      </c>
      <c r="I342" s="109">
        <v>0</v>
      </c>
      <c r="J342" s="75">
        <f t="shared" si="38"/>
        <v>0</v>
      </c>
      <c r="K342" s="75">
        <f t="shared" si="39"/>
        <v>0</v>
      </c>
      <c r="L342" s="109"/>
      <c r="M342" s="110"/>
    </row>
    <row r="343" spans="1:13" ht="13.5" x14ac:dyDescent="0.25">
      <c r="A343" s="860">
        <f>B5B!A153</f>
        <v>0</v>
      </c>
      <c r="B343" s="857"/>
      <c r="C343" s="382"/>
      <c r="D343" s="109">
        <v>0</v>
      </c>
      <c r="E343" s="109">
        <v>0</v>
      </c>
      <c r="F343" s="109">
        <v>0</v>
      </c>
      <c r="G343" s="109">
        <v>0</v>
      </c>
      <c r="H343" s="109">
        <v>0</v>
      </c>
      <c r="I343" s="109">
        <v>0</v>
      </c>
      <c r="J343" s="75">
        <f t="shared" si="38"/>
        <v>0</v>
      </c>
      <c r="K343" s="75">
        <f t="shared" si="39"/>
        <v>0</v>
      </c>
      <c r="L343" s="109"/>
      <c r="M343" s="110"/>
    </row>
    <row r="344" spans="1:13" ht="13.5" x14ac:dyDescent="0.25">
      <c r="A344" s="860">
        <f>B5B!A154</f>
        <v>0</v>
      </c>
      <c r="B344" s="857"/>
      <c r="C344" s="382"/>
      <c r="D344" s="109">
        <v>0</v>
      </c>
      <c r="E344" s="109">
        <v>0</v>
      </c>
      <c r="F344" s="109">
        <v>0</v>
      </c>
      <c r="G344" s="109">
        <v>0</v>
      </c>
      <c r="H344" s="109">
        <v>0</v>
      </c>
      <c r="I344" s="109">
        <v>0</v>
      </c>
      <c r="J344" s="75">
        <f t="shared" si="38"/>
        <v>0</v>
      </c>
      <c r="K344" s="75">
        <f t="shared" si="39"/>
        <v>0</v>
      </c>
      <c r="L344" s="109"/>
      <c r="M344" s="110"/>
    </row>
    <row r="345" spans="1:13" ht="13.5" x14ac:dyDescent="0.25">
      <c r="A345" s="860">
        <f>B5B!A155</f>
        <v>0</v>
      </c>
      <c r="B345" s="857"/>
      <c r="C345" s="382"/>
      <c r="D345" s="109">
        <v>0</v>
      </c>
      <c r="E345" s="109">
        <v>0</v>
      </c>
      <c r="F345" s="109">
        <v>0</v>
      </c>
      <c r="G345" s="109">
        <v>0</v>
      </c>
      <c r="H345" s="109">
        <v>0</v>
      </c>
      <c r="I345" s="109">
        <v>0</v>
      </c>
      <c r="J345" s="75">
        <f t="shared" si="38"/>
        <v>0</v>
      </c>
      <c r="K345" s="75">
        <f t="shared" si="39"/>
        <v>0</v>
      </c>
      <c r="L345" s="109"/>
      <c r="M345" s="110"/>
    </row>
    <row r="346" spans="1:13" ht="13.5" x14ac:dyDescent="0.25">
      <c r="A346" s="860">
        <f>B5B!A156</f>
        <v>0</v>
      </c>
      <c r="B346" s="857"/>
      <c r="C346" s="382"/>
      <c r="D346" s="109">
        <v>0</v>
      </c>
      <c r="E346" s="109">
        <v>0</v>
      </c>
      <c r="F346" s="109">
        <v>0</v>
      </c>
      <c r="G346" s="109">
        <v>0</v>
      </c>
      <c r="H346" s="109">
        <v>0</v>
      </c>
      <c r="I346" s="109">
        <v>0</v>
      </c>
      <c r="J346" s="75">
        <f t="shared" si="38"/>
        <v>0</v>
      </c>
      <c r="K346" s="75">
        <f t="shared" si="39"/>
        <v>0</v>
      </c>
      <c r="L346" s="109"/>
      <c r="M346" s="110"/>
    </row>
    <row r="347" spans="1:13" ht="13.5" x14ac:dyDescent="0.25">
      <c r="A347" s="860">
        <f>B5B!A157</f>
        <v>0</v>
      </c>
      <c r="B347" s="857"/>
      <c r="C347" s="382"/>
      <c r="D347" s="109">
        <v>0</v>
      </c>
      <c r="E347" s="109">
        <v>0</v>
      </c>
      <c r="F347" s="109">
        <v>0</v>
      </c>
      <c r="G347" s="109">
        <v>0</v>
      </c>
      <c r="H347" s="109">
        <v>0</v>
      </c>
      <c r="I347" s="109">
        <v>0</v>
      </c>
      <c r="J347" s="75">
        <f t="shared" si="38"/>
        <v>0</v>
      </c>
      <c r="K347" s="75">
        <f t="shared" si="39"/>
        <v>0</v>
      </c>
      <c r="L347" s="109"/>
      <c r="M347" s="110"/>
    </row>
    <row r="348" spans="1:13" ht="13.5" x14ac:dyDescent="0.25">
      <c r="A348" s="860">
        <f>B5B!A158</f>
        <v>0</v>
      </c>
      <c r="B348" s="857"/>
      <c r="C348" s="382"/>
      <c r="D348" s="109">
        <v>0</v>
      </c>
      <c r="E348" s="109">
        <v>0</v>
      </c>
      <c r="F348" s="109">
        <v>0</v>
      </c>
      <c r="G348" s="109">
        <v>0</v>
      </c>
      <c r="H348" s="109">
        <v>0</v>
      </c>
      <c r="I348" s="109">
        <v>0</v>
      </c>
      <c r="J348" s="75">
        <f t="shared" si="38"/>
        <v>0</v>
      </c>
      <c r="K348" s="75">
        <f t="shared" si="39"/>
        <v>0</v>
      </c>
      <c r="L348" s="109"/>
      <c r="M348" s="110"/>
    </row>
    <row r="349" spans="1:13" ht="13.5" x14ac:dyDescent="0.25">
      <c r="A349" s="860">
        <f>B5B!A159</f>
        <v>0</v>
      </c>
      <c r="B349" s="857"/>
      <c r="C349" s="382"/>
      <c r="D349" s="109">
        <v>0</v>
      </c>
      <c r="E349" s="109">
        <v>0</v>
      </c>
      <c r="F349" s="109">
        <v>0</v>
      </c>
      <c r="G349" s="109">
        <v>0</v>
      </c>
      <c r="H349" s="109">
        <v>0</v>
      </c>
      <c r="I349" s="109">
        <v>0</v>
      </c>
      <c r="J349" s="75">
        <f t="shared" si="38"/>
        <v>0</v>
      </c>
      <c r="K349" s="75">
        <f t="shared" si="39"/>
        <v>0</v>
      </c>
      <c r="L349" s="109"/>
      <c r="M349" s="110"/>
    </row>
    <row r="350" spans="1:13" ht="13.5" x14ac:dyDescent="0.25">
      <c r="A350" s="860">
        <f>B5B!A160</f>
        <v>0</v>
      </c>
      <c r="B350" s="857"/>
      <c r="C350" s="382"/>
      <c r="D350" s="109">
        <v>0</v>
      </c>
      <c r="E350" s="109">
        <v>0</v>
      </c>
      <c r="F350" s="109">
        <v>0</v>
      </c>
      <c r="G350" s="109">
        <v>0</v>
      </c>
      <c r="H350" s="109">
        <v>0</v>
      </c>
      <c r="I350" s="109">
        <v>0</v>
      </c>
      <c r="J350" s="75">
        <f t="shared" si="38"/>
        <v>0</v>
      </c>
      <c r="K350" s="75">
        <f t="shared" si="39"/>
        <v>0</v>
      </c>
      <c r="L350" s="109"/>
      <c r="M350" s="110"/>
    </row>
    <row r="351" spans="1:13" ht="13.5" x14ac:dyDescent="0.25">
      <c r="A351" s="860">
        <f>B5B!A161</f>
        <v>0</v>
      </c>
      <c r="B351" s="857"/>
      <c r="C351" s="382"/>
      <c r="D351" s="109">
        <v>0</v>
      </c>
      <c r="E351" s="109">
        <v>0</v>
      </c>
      <c r="F351" s="109">
        <v>0</v>
      </c>
      <c r="G351" s="109">
        <v>0</v>
      </c>
      <c r="H351" s="109">
        <v>0</v>
      </c>
      <c r="I351" s="109">
        <v>0</v>
      </c>
      <c r="J351" s="75">
        <f t="shared" si="38"/>
        <v>0</v>
      </c>
      <c r="K351" s="75">
        <f t="shared" si="39"/>
        <v>0</v>
      </c>
      <c r="L351" s="109"/>
      <c r="M351" s="110"/>
    </row>
    <row r="352" spans="1:13" ht="13.5" x14ac:dyDescent="0.25">
      <c r="A352" s="858" t="str">
        <f>B5B!A162</f>
        <v>Vote 15 - [NAME OF VOTE 15]</v>
      </c>
      <c r="B352" s="857"/>
      <c r="C352" s="733">
        <f t="shared" ref="C352:I352" si="42">SUM(C353:C362)</f>
        <v>0</v>
      </c>
      <c r="D352" s="732">
        <f t="shared" si="42"/>
        <v>0</v>
      </c>
      <c r="E352" s="732">
        <f t="shared" si="42"/>
        <v>0</v>
      </c>
      <c r="F352" s="732">
        <f t="shared" si="42"/>
        <v>0</v>
      </c>
      <c r="G352" s="732">
        <f t="shared" si="42"/>
        <v>0</v>
      </c>
      <c r="H352" s="732">
        <f t="shared" si="42"/>
        <v>0</v>
      </c>
      <c r="I352" s="732">
        <f t="shared" si="42"/>
        <v>0</v>
      </c>
      <c r="J352" s="75">
        <f t="shared" si="38"/>
        <v>0</v>
      </c>
      <c r="K352" s="75">
        <f t="shared" si="39"/>
        <v>0</v>
      </c>
      <c r="L352" s="732">
        <f>SUM(L353:L362)</f>
        <v>0</v>
      </c>
      <c r="M352" s="760">
        <f>SUM(M353:M362)</f>
        <v>0</v>
      </c>
    </row>
    <row r="353" spans="1:13" ht="13.5" x14ac:dyDescent="0.25">
      <c r="A353" s="860" t="str">
        <f>B5B!A163</f>
        <v>15.1 - [Name of sub-vote]</v>
      </c>
      <c r="B353" s="857"/>
      <c r="C353" s="382"/>
      <c r="D353" s="109">
        <v>0</v>
      </c>
      <c r="E353" s="109">
        <v>0</v>
      </c>
      <c r="F353" s="109">
        <v>0</v>
      </c>
      <c r="G353" s="109">
        <v>0</v>
      </c>
      <c r="H353" s="109">
        <v>0</v>
      </c>
      <c r="I353" s="109">
        <v>0</v>
      </c>
      <c r="J353" s="75">
        <f t="shared" si="38"/>
        <v>0</v>
      </c>
      <c r="K353" s="75">
        <f t="shared" si="39"/>
        <v>0</v>
      </c>
      <c r="L353" s="109"/>
      <c r="M353" s="110"/>
    </row>
    <row r="354" spans="1:13" ht="13.5" x14ac:dyDescent="0.25">
      <c r="A354" s="860">
        <f>B5B!A164</f>
        <v>0</v>
      </c>
      <c r="B354" s="857"/>
      <c r="C354" s="382"/>
      <c r="D354" s="109">
        <v>0</v>
      </c>
      <c r="E354" s="109">
        <v>0</v>
      </c>
      <c r="F354" s="109">
        <v>0</v>
      </c>
      <c r="G354" s="109">
        <v>0</v>
      </c>
      <c r="H354" s="109">
        <v>0</v>
      </c>
      <c r="I354" s="109">
        <v>0</v>
      </c>
      <c r="J354" s="75">
        <f t="shared" si="38"/>
        <v>0</v>
      </c>
      <c r="K354" s="75">
        <f t="shared" si="39"/>
        <v>0</v>
      </c>
      <c r="L354" s="109"/>
      <c r="M354" s="110"/>
    </row>
    <row r="355" spans="1:13" ht="13.5" x14ac:dyDescent="0.25">
      <c r="A355" s="860">
        <f>B5B!A165</f>
        <v>0</v>
      </c>
      <c r="B355" s="857"/>
      <c r="C355" s="382"/>
      <c r="D355" s="109">
        <v>0</v>
      </c>
      <c r="E355" s="109">
        <v>0</v>
      </c>
      <c r="F355" s="109">
        <v>0</v>
      </c>
      <c r="G355" s="109">
        <v>0</v>
      </c>
      <c r="H355" s="109">
        <v>0</v>
      </c>
      <c r="I355" s="109">
        <v>0</v>
      </c>
      <c r="J355" s="75">
        <f t="shared" si="38"/>
        <v>0</v>
      </c>
      <c r="K355" s="75">
        <f t="shared" si="39"/>
        <v>0</v>
      </c>
      <c r="L355" s="109"/>
      <c r="M355" s="110"/>
    </row>
    <row r="356" spans="1:13" ht="13.5" x14ac:dyDescent="0.25">
      <c r="A356" s="860">
        <f>B5B!A166</f>
        <v>0</v>
      </c>
      <c r="B356" s="857"/>
      <c r="C356" s="382"/>
      <c r="D356" s="109">
        <v>0</v>
      </c>
      <c r="E356" s="109">
        <v>0</v>
      </c>
      <c r="F356" s="109">
        <v>0</v>
      </c>
      <c r="G356" s="109">
        <v>0</v>
      </c>
      <c r="H356" s="109">
        <v>0</v>
      </c>
      <c r="I356" s="109">
        <v>0</v>
      </c>
      <c r="J356" s="75">
        <f t="shared" si="38"/>
        <v>0</v>
      </c>
      <c r="K356" s="75">
        <f t="shared" si="39"/>
        <v>0</v>
      </c>
      <c r="L356" s="109"/>
      <c r="M356" s="110"/>
    </row>
    <row r="357" spans="1:13" ht="13.5" x14ac:dyDescent="0.25">
      <c r="A357" s="860">
        <f>B5B!A167</f>
        <v>0</v>
      </c>
      <c r="B357" s="857"/>
      <c r="C357" s="382"/>
      <c r="D357" s="109">
        <v>0</v>
      </c>
      <c r="E357" s="109">
        <v>0</v>
      </c>
      <c r="F357" s="109">
        <v>0</v>
      </c>
      <c r="G357" s="109">
        <v>0</v>
      </c>
      <c r="H357" s="109">
        <v>0</v>
      </c>
      <c r="I357" s="109">
        <v>0</v>
      </c>
      <c r="J357" s="75">
        <f t="shared" si="38"/>
        <v>0</v>
      </c>
      <c r="K357" s="75">
        <f t="shared" si="39"/>
        <v>0</v>
      </c>
      <c r="L357" s="109"/>
      <c r="M357" s="110"/>
    </row>
    <row r="358" spans="1:13" ht="13.5" x14ac:dyDescent="0.25">
      <c r="A358" s="860">
        <f>B5B!A168</f>
        <v>0</v>
      </c>
      <c r="B358" s="857"/>
      <c r="C358" s="382"/>
      <c r="D358" s="109">
        <v>0</v>
      </c>
      <c r="E358" s="109">
        <v>0</v>
      </c>
      <c r="F358" s="109">
        <v>0</v>
      </c>
      <c r="G358" s="109">
        <v>0</v>
      </c>
      <c r="H358" s="109">
        <v>0</v>
      </c>
      <c r="I358" s="109">
        <v>0</v>
      </c>
      <c r="J358" s="75">
        <f t="shared" si="38"/>
        <v>0</v>
      </c>
      <c r="K358" s="75">
        <f t="shared" si="39"/>
        <v>0</v>
      </c>
      <c r="L358" s="109"/>
      <c r="M358" s="110"/>
    </row>
    <row r="359" spans="1:13" ht="13.5" x14ac:dyDescent="0.25">
      <c r="A359" s="860">
        <f>B5B!A169</f>
        <v>0</v>
      </c>
      <c r="B359" s="857"/>
      <c r="C359" s="382"/>
      <c r="D359" s="109">
        <v>0</v>
      </c>
      <c r="E359" s="109">
        <v>0</v>
      </c>
      <c r="F359" s="109">
        <v>0</v>
      </c>
      <c r="G359" s="109">
        <v>0</v>
      </c>
      <c r="H359" s="109">
        <v>0</v>
      </c>
      <c r="I359" s="109">
        <v>0</v>
      </c>
      <c r="J359" s="75">
        <f t="shared" si="38"/>
        <v>0</v>
      </c>
      <c r="K359" s="75">
        <f t="shared" si="39"/>
        <v>0</v>
      </c>
      <c r="L359" s="109"/>
      <c r="M359" s="110"/>
    </row>
    <row r="360" spans="1:13" ht="13.5" x14ac:dyDescent="0.25">
      <c r="A360" s="860">
        <f>B5B!A170</f>
        <v>0</v>
      </c>
      <c r="B360" s="857"/>
      <c r="C360" s="382"/>
      <c r="D360" s="109">
        <v>0</v>
      </c>
      <c r="E360" s="109">
        <v>0</v>
      </c>
      <c r="F360" s="109">
        <v>0</v>
      </c>
      <c r="G360" s="109">
        <v>0</v>
      </c>
      <c r="H360" s="109">
        <v>0</v>
      </c>
      <c r="I360" s="109">
        <v>0</v>
      </c>
      <c r="J360" s="75">
        <f t="shared" si="38"/>
        <v>0</v>
      </c>
      <c r="K360" s="75">
        <f t="shared" si="39"/>
        <v>0</v>
      </c>
      <c r="L360" s="109"/>
      <c r="M360" s="110"/>
    </row>
    <row r="361" spans="1:13" ht="13.5" x14ac:dyDescent="0.25">
      <c r="A361" s="860">
        <f>B5B!A171</f>
        <v>0</v>
      </c>
      <c r="B361" s="857"/>
      <c r="C361" s="382"/>
      <c r="D361" s="109">
        <v>0</v>
      </c>
      <c r="E361" s="109">
        <v>0</v>
      </c>
      <c r="F361" s="109">
        <v>0</v>
      </c>
      <c r="G361" s="109">
        <v>0</v>
      </c>
      <c r="H361" s="109">
        <v>0</v>
      </c>
      <c r="I361" s="109">
        <v>0</v>
      </c>
      <c r="J361" s="75">
        <f t="shared" si="38"/>
        <v>0</v>
      </c>
      <c r="K361" s="75">
        <f t="shared" si="39"/>
        <v>0</v>
      </c>
      <c r="L361" s="109"/>
      <c r="M361" s="110"/>
    </row>
    <row r="362" spans="1:13" ht="13.5" x14ac:dyDescent="0.25">
      <c r="A362" s="860">
        <f>B5B!A172</f>
        <v>0</v>
      </c>
      <c r="B362" s="857"/>
      <c r="C362" s="382"/>
      <c r="D362" s="109">
        <v>0</v>
      </c>
      <c r="E362" s="109">
        <v>0</v>
      </c>
      <c r="F362" s="109">
        <v>0</v>
      </c>
      <c r="G362" s="109">
        <v>0</v>
      </c>
      <c r="H362" s="109">
        <v>0</v>
      </c>
      <c r="I362" s="109">
        <v>0</v>
      </c>
      <c r="J362" s="75">
        <f t="shared" si="38"/>
        <v>0</v>
      </c>
      <c r="K362" s="75">
        <f t="shared" si="39"/>
        <v>0</v>
      </c>
      <c r="L362" s="109"/>
      <c r="M362" s="110"/>
    </row>
    <row r="363" spans="1:13" ht="11.25" customHeight="1" x14ac:dyDescent="0.25">
      <c r="A363" s="858" t="s">
        <v>664</v>
      </c>
      <c r="B363" s="857"/>
      <c r="C363" s="302">
        <f>C177+C188+C199+C210+C221+C241+C254+C271+C286+C308+C319+C330+C341+C352+C297</f>
        <v>1201498682</v>
      </c>
      <c r="D363" s="151">
        <f t="shared" ref="D363:I363" si="43">D177+D188+D199+D210+D221+D241+D254+D271+D286+D308+D319+D330+D341+D352+D297</f>
        <v>1231141682</v>
      </c>
      <c r="E363" s="151">
        <f t="shared" si="43"/>
        <v>0</v>
      </c>
      <c r="F363" s="151">
        <f t="shared" si="43"/>
        <v>0</v>
      </c>
      <c r="G363" s="151">
        <f t="shared" si="43"/>
        <v>0</v>
      </c>
      <c r="H363" s="151">
        <f t="shared" si="43"/>
        <v>62291861.859999999</v>
      </c>
      <c r="I363" s="151">
        <f t="shared" si="43"/>
        <v>-256402898.86000001</v>
      </c>
      <c r="J363" s="480">
        <f t="shared" si="38"/>
        <v>-194111037</v>
      </c>
      <c r="K363" s="480">
        <f t="shared" si="39"/>
        <v>1037030645</v>
      </c>
      <c r="L363" s="151">
        <f>L177+L188+L199+L210+L221+L241+L254+L271+L286+L308+L319+L330+L341+L352+L297</f>
        <v>728151750</v>
      </c>
      <c r="M363" s="152">
        <f>M177+M188+M199+M210+M221+M241+M254+M271+M286+M308+M319+M330+M341+M352+M297</f>
        <v>641813437</v>
      </c>
    </row>
    <row r="364" spans="1:13" ht="14.25" customHeight="1" x14ac:dyDescent="0.25">
      <c r="A364" s="866" t="s">
        <v>474</v>
      </c>
      <c r="B364" s="867"/>
      <c r="C364" s="771">
        <f>C363+C173</f>
        <v>1201498682</v>
      </c>
      <c r="D364" s="772">
        <f t="shared" ref="D364:I364" si="44">D363+D173</f>
        <v>1231141682</v>
      </c>
      <c r="E364" s="772">
        <f t="shared" si="44"/>
        <v>0</v>
      </c>
      <c r="F364" s="772">
        <f t="shared" si="44"/>
        <v>0</v>
      </c>
      <c r="G364" s="772">
        <f t="shared" si="44"/>
        <v>0</v>
      </c>
      <c r="H364" s="772">
        <f t="shared" si="44"/>
        <v>62291861.859999999</v>
      </c>
      <c r="I364" s="772">
        <f t="shared" si="44"/>
        <v>-256402898.86000001</v>
      </c>
      <c r="J364" s="773">
        <f>SUM(E364:I364)</f>
        <v>-194111037</v>
      </c>
      <c r="K364" s="773">
        <f>IF(D364=0,C364+J364,D364+J364)</f>
        <v>1037030645</v>
      </c>
      <c r="L364" s="772">
        <f>L363+L173</f>
        <v>728151750</v>
      </c>
      <c r="M364" s="774">
        <f>M363+M173</f>
        <v>641813437</v>
      </c>
    </row>
    <row r="365" spans="1:13" ht="13.5" x14ac:dyDescent="0.25">
      <c r="B365" s="869"/>
      <c r="C365" s="752"/>
      <c r="D365" s="753"/>
      <c r="E365" s="753"/>
      <c r="F365" s="753"/>
      <c r="G365" s="753"/>
      <c r="H365" s="753"/>
      <c r="I365" s="753"/>
      <c r="J365" s="753"/>
      <c r="K365" s="753"/>
    </row>
    <row r="366" spans="1:13" ht="13.5" x14ac:dyDescent="0.25">
      <c r="B366" s="869"/>
      <c r="C366" s="754"/>
      <c r="D366" s="754"/>
      <c r="E366" s="755"/>
      <c r="F366" s="755"/>
      <c r="G366" s="755"/>
      <c r="H366" s="755"/>
      <c r="I366" s="755"/>
      <c r="J366" s="755"/>
      <c r="K366" s="755"/>
    </row>
    <row r="367" spans="1:13" ht="13.5" x14ac:dyDescent="0.25">
      <c r="A367" s="870" t="str">
        <f>head27a</f>
        <v>References</v>
      </c>
      <c r="B367" s="869"/>
      <c r="C367" s="754"/>
      <c r="D367" s="754"/>
      <c r="E367" s="755"/>
      <c r="F367" s="755"/>
      <c r="G367" s="755"/>
      <c r="H367" s="755"/>
      <c r="I367" s="755"/>
      <c r="J367" s="755"/>
      <c r="K367" s="755"/>
    </row>
    <row r="368" spans="1:13" ht="13.5" x14ac:dyDescent="0.25">
      <c r="A368" s="871" t="s">
        <v>1010</v>
      </c>
      <c r="B368" s="872"/>
      <c r="C368" s="757"/>
      <c r="D368" s="757"/>
      <c r="E368" s="758"/>
      <c r="F368" s="758"/>
      <c r="G368" s="758"/>
      <c r="H368" s="758"/>
      <c r="I368" s="758"/>
      <c r="J368" s="758"/>
      <c r="K368" s="758"/>
    </row>
    <row r="369" spans="1:1" ht="13.5" x14ac:dyDescent="0.25">
      <c r="A369" s="873" t="s">
        <v>1011</v>
      </c>
    </row>
    <row r="370" spans="1:1" ht="13.5" x14ac:dyDescent="0.25">
      <c r="A370" s="873" t="s">
        <v>1012</v>
      </c>
    </row>
  </sheetData>
  <dataConsolidate/>
  <mergeCells count="3">
    <mergeCell ref="A2:A3"/>
    <mergeCell ref="B2:B5"/>
    <mergeCell ref="C2:K2"/>
  </mergeCells>
  <phoneticPr fontId="4" type="noConversion"/>
  <pageMargins left="0.75" right="0.75" top="1" bottom="1" header="0.5" footer="0.5"/>
  <pageSetup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6">
    <tabColor indexed="44"/>
    <pageSetUpPr fitToPage="1"/>
  </sheetPr>
  <dimension ref="A1:M97"/>
  <sheetViews>
    <sheetView showGridLines="0" zoomScaleNormal="100" workbookViewId="0">
      <pane xSplit="2" ySplit="5" topLeftCell="C6" activePane="bottomRight" state="frozen"/>
      <selection activeCell="C6" sqref="C6"/>
      <selection pane="topRight" activeCell="C6" sqref="C6"/>
      <selection pane="bottomLeft" activeCell="C6" sqref="C6"/>
      <selection pane="bottomRight" activeCell="M50" sqref="C8:M50"/>
    </sheetView>
  </sheetViews>
  <sheetFormatPr defaultColWidth="9.140625" defaultRowHeight="12.75" x14ac:dyDescent="0.25"/>
  <cols>
    <col min="1" max="1" width="30.7109375" style="5" customWidth="1"/>
    <col min="2" max="2" width="3.140625" style="58" customWidth="1"/>
    <col min="3" max="14" width="8.7109375" style="5" customWidth="1"/>
    <col min="15" max="15" width="9.5703125" style="5" customWidth="1"/>
    <col min="16" max="16" width="9.85546875" style="5" customWidth="1"/>
    <col min="17" max="19" width="9.5703125" style="5" customWidth="1"/>
    <col min="20" max="20" width="9.85546875" style="5" customWidth="1"/>
    <col min="21" max="23" width="9.5703125" style="5" customWidth="1"/>
    <col min="24" max="25" width="9.85546875" style="5" customWidth="1"/>
    <col min="26" max="16384" width="9.140625" style="5"/>
  </cols>
  <sheetData>
    <row r="1" spans="1:13" ht="13.5" x14ac:dyDescent="0.25">
      <c r="A1" s="57" t="str">
        <f>muni&amp;" - "&amp;_ADJ6&amp;" - "&amp;Date</f>
        <v>LIM354 Polokwane - Table B6 Adjustments Budget Financial Position - 2020</v>
      </c>
      <c r="B1" s="5"/>
      <c r="C1" s="58"/>
    </row>
    <row r="2" spans="1:13" ht="38.25" x14ac:dyDescent="0.25">
      <c r="A2" s="1406" t="str">
        <f>desc</f>
        <v>Description</v>
      </c>
      <c r="B2" s="1406" t="str">
        <f>head27</f>
        <v>Ref</v>
      </c>
      <c r="C2" s="1403" t="str">
        <f>Head2</f>
        <v>Budget Year 2020/21</v>
      </c>
      <c r="D2" s="1404"/>
      <c r="E2" s="1404"/>
      <c r="F2" s="1404"/>
      <c r="G2" s="1404"/>
      <c r="H2" s="1404"/>
      <c r="I2" s="1404"/>
      <c r="J2" s="1404"/>
      <c r="K2" s="1405"/>
      <c r="L2" s="169" t="str">
        <f>Head10</f>
        <v>Budget Year +1 2021/22</v>
      </c>
      <c r="M2" s="170" t="str">
        <f>Head11</f>
        <v>Budget Year +2 2022/23</v>
      </c>
    </row>
    <row r="3" spans="1:13" ht="25.5" x14ac:dyDescent="0.25">
      <c r="A3" s="1407"/>
      <c r="B3" s="1407"/>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3" x14ac:dyDescent="0.25">
      <c r="A4" s="1407"/>
      <c r="B4" s="1407"/>
      <c r="C4" s="65"/>
      <c r="D4" s="15">
        <v>3</v>
      </c>
      <c r="E4" s="15">
        <v>4</v>
      </c>
      <c r="F4" s="15">
        <v>5</v>
      </c>
      <c r="G4" s="15">
        <v>6</v>
      </c>
      <c r="H4" s="15">
        <v>7</v>
      </c>
      <c r="I4" s="15">
        <v>8</v>
      </c>
      <c r="J4" s="15">
        <v>9</v>
      </c>
      <c r="K4" s="15">
        <v>10</v>
      </c>
      <c r="L4" s="15"/>
      <c r="M4" s="17"/>
    </row>
    <row r="5" spans="1:13" x14ac:dyDescent="0.25">
      <c r="A5" s="66" t="s">
        <v>603</v>
      </c>
      <c r="B5" s="104"/>
      <c r="C5" s="67" t="s">
        <v>547</v>
      </c>
      <c r="D5" s="68" t="s">
        <v>548</v>
      </c>
      <c r="E5" s="68" t="s">
        <v>549</v>
      </c>
      <c r="F5" s="69" t="s">
        <v>550</v>
      </c>
      <c r="G5" s="69" t="s">
        <v>551</v>
      </c>
      <c r="H5" s="69" t="s">
        <v>552</v>
      </c>
      <c r="I5" s="70" t="s">
        <v>553</v>
      </c>
      <c r="J5" s="70" t="s">
        <v>554</v>
      </c>
      <c r="K5" s="70" t="s">
        <v>555</v>
      </c>
      <c r="L5" s="70"/>
      <c r="M5" s="71"/>
    </row>
    <row r="6" spans="1:13" ht="12.75" customHeight="1" x14ac:dyDescent="0.25">
      <c r="A6" s="139" t="s">
        <v>672</v>
      </c>
      <c r="B6" s="73"/>
      <c r="C6" s="74"/>
      <c r="D6" s="75"/>
      <c r="E6" s="75"/>
      <c r="F6" s="75"/>
      <c r="G6" s="75"/>
      <c r="H6" s="75"/>
      <c r="I6" s="75"/>
      <c r="J6" s="75"/>
      <c r="K6" s="75"/>
      <c r="L6" s="75"/>
      <c r="M6" s="76"/>
    </row>
    <row r="7" spans="1:13" ht="12.75" customHeight="1" x14ac:dyDescent="0.25">
      <c r="A7" s="139" t="s">
        <v>673</v>
      </c>
      <c r="B7" s="73"/>
      <c r="C7" s="127"/>
      <c r="D7" s="75"/>
      <c r="E7" s="75"/>
      <c r="F7" s="75"/>
      <c r="G7" s="75"/>
      <c r="H7" s="75"/>
      <c r="I7" s="75"/>
      <c r="J7" s="75"/>
      <c r="K7" s="75"/>
      <c r="L7" s="75"/>
      <c r="M7" s="76"/>
    </row>
    <row r="8" spans="1:13" ht="12.75" customHeight="1" x14ac:dyDescent="0.25">
      <c r="A8" s="129" t="s">
        <v>689</v>
      </c>
      <c r="B8" s="73"/>
      <c r="C8" s="130">
        <f>'B7-CFlow'!C42-96000000</f>
        <v>99851553</v>
      </c>
      <c r="D8" s="109">
        <v>187252904.77000001</v>
      </c>
      <c r="E8" s="109">
        <v>0</v>
      </c>
      <c r="F8" s="109">
        <v>0</v>
      </c>
      <c r="G8" s="109">
        <v>0</v>
      </c>
      <c r="H8" s="109">
        <v>0</v>
      </c>
      <c r="I8" s="109">
        <v>-113884575.3000007</v>
      </c>
      <c r="J8" s="75">
        <f t="shared" ref="J8:J13" si="0">SUM(E8:I8)</f>
        <v>-113884575.3000007</v>
      </c>
      <c r="K8" s="75">
        <f t="shared" ref="K8:K13" si="1">IF(D8=0,C8+J8,D8+J8)</f>
        <v>73368329.469999313</v>
      </c>
      <c r="L8" s="109">
        <v>283252905.19777894</v>
      </c>
      <c r="M8" s="110">
        <v>524151922.63214409</v>
      </c>
    </row>
    <row r="9" spans="1:13" ht="12.75" customHeight="1" x14ac:dyDescent="0.25">
      <c r="A9" s="129" t="s">
        <v>690</v>
      </c>
      <c r="B9" s="73">
        <v>1</v>
      </c>
      <c r="C9" s="131">
        <f>'SB2'!C10</f>
        <v>96000000</v>
      </c>
      <c r="D9" s="132">
        <f>'SB2'!D10</f>
        <v>96000000</v>
      </c>
      <c r="E9" s="132">
        <f>'SB2'!E10</f>
        <v>0</v>
      </c>
      <c r="F9" s="132">
        <f>'SB2'!F10</f>
        <v>0</v>
      </c>
      <c r="G9" s="132">
        <f>'SB2'!G10</f>
        <v>0</v>
      </c>
      <c r="H9" s="132">
        <f>'SB2'!H10</f>
        <v>0</v>
      </c>
      <c r="I9" s="132">
        <f>'SB2'!I10</f>
        <v>-96000000</v>
      </c>
      <c r="J9" s="171">
        <f t="shared" si="0"/>
        <v>-96000000</v>
      </c>
      <c r="K9" s="171">
        <f t="shared" si="1"/>
        <v>0</v>
      </c>
      <c r="L9" s="132">
        <f>'SB2'!L10</f>
        <v>96000000</v>
      </c>
      <c r="M9" s="133">
        <f>'SB2'!M10</f>
        <v>96000000</v>
      </c>
    </row>
    <row r="10" spans="1:13" ht="12.75" customHeight="1" x14ac:dyDescent="0.25">
      <c r="A10" s="129" t="s">
        <v>691</v>
      </c>
      <c r="B10" s="73">
        <v>1</v>
      </c>
      <c r="C10" s="131">
        <f>'SB2'!C14</f>
        <v>501565270</v>
      </c>
      <c r="D10" s="132">
        <f>'SB2'!D14</f>
        <v>501565270</v>
      </c>
      <c r="E10" s="132">
        <f>'SB2'!E14</f>
        <v>0</v>
      </c>
      <c r="F10" s="132">
        <f>'SB2'!F14</f>
        <v>0</v>
      </c>
      <c r="G10" s="132">
        <f>'SB2'!G14</f>
        <v>0</v>
      </c>
      <c r="H10" s="132">
        <f>'SB2'!H14</f>
        <v>0</v>
      </c>
      <c r="I10" s="132">
        <f>'SB2'!I14</f>
        <v>0</v>
      </c>
      <c r="J10" s="171">
        <f t="shared" si="0"/>
        <v>0</v>
      </c>
      <c r="K10" s="171">
        <f t="shared" si="1"/>
        <v>501565270</v>
      </c>
      <c r="L10" s="132">
        <f>'SB2'!L14</f>
        <v>534086009.20000005</v>
      </c>
      <c r="M10" s="133">
        <f>'SB2'!M14</f>
        <v>484086009.19999981</v>
      </c>
    </row>
    <row r="11" spans="1:13" ht="12.75" customHeight="1" x14ac:dyDescent="0.25">
      <c r="A11" s="129" t="s">
        <v>692</v>
      </c>
      <c r="B11" s="73"/>
      <c r="C11" s="130">
        <v>45000000</v>
      </c>
      <c r="D11" s="109">
        <v>45000000</v>
      </c>
      <c r="E11" s="109">
        <v>0</v>
      </c>
      <c r="F11" s="109">
        <v>0</v>
      </c>
      <c r="G11" s="109">
        <v>0</v>
      </c>
      <c r="H11" s="109">
        <v>0</v>
      </c>
      <c r="I11" s="109">
        <v>0</v>
      </c>
      <c r="J11" s="75">
        <f t="shared" si="0"/>
        <v>0</v>
      </c>
      <c r="K11" s="75">
        <f t="shared" si="1"/>
        <v>45000000</v>
      </c>
      <c r="L11" s="109">
        <v>45000000</v>
      </c>
      <c r="M11" s="110">
        <v>45000000</v>
      </c>
    </row>
    <row r="12" spans="1:13" ht="12.75" customHeight="1" x14ac:dyDescent="0.25">
      <c r="A12" s="129" t="s">
        <v>693</v>
      </c>
      <c r="B12" s="73"/>
      <c r="C12" s="130">
        <v>500000</v>
      </c>
      <c r="D12" s="109">
        <v>500000</v>
      </c>
      <c r="E12" s="109">
        <v>0</v>
      </c>
      <c r="F12" s="109">
        <v>0</v>
      </c>
      <c r="G12" s="109">
        <v>0</v>
      </c>
      <c r="H12" s="109">
        <v>0</v>
      </c>
      <c r="I12" s="109">
        <v>0</v>
      </c>
      <c r="J12" s="75">
        <f t="shared" si="0"/>
        <v>0</v>
      </c>
      <c r="K12" s="75">
        <f t="shared" si="1"/>
        <v>500000</v>
      </c>
      <c r="L12" s="109">
        <v>500000</v>
      </c>
      <c r="M12" s="110">
        <v>500000</v>
      </c>
    </row>
    <row r="13" spans="1:13" ht="12.75" customHeight="1" x14ac:dyDescent="0.25">
      <c r="A13" s="129" t="s">
        <v>694</v>
      </c>
      <c r="B13" s="73"/>
      <c r="C13" s="130">
        <v>96214114</v>
      </c>
      <c r="D13" s="109">
        <v>96214114</v>
      </c>
      <c r="E13" s="109">
        <v>0</v>
      </c>
      <c r="F13" s="109">
        <v>0</v>
      </c>
      <c r="G13" s="109">
        <v>0</v>
      </c>
      <c r="H13" s="109">
        <v>0</v>
      </c>
      <c r="I13" s="109">
        <v>0</v>
      </c>
      <c r="J13" s="75">
        <f t="shared" si="0"/>
        <v>0</v>
      </c>
      <c r="K13" s="75">
        <f t="shared" si="1"/>
        <v>96214114</v>
      </c>
      <c r="L13" s="109">
        <v>96214114</v>
      </c>
      <c r="M13" s="110">
        <v>96214114</v>
      </c>
    </row>
    <row r="14" spans="1:13" ht="12.75" customHeight="1" x14ac:dyDescent="0.25">
      <c r="A14" s="162" t="s">
        <v>580</v>
      </c>
      <c r="B14" s="79"/>
      <c r="C14" s="80">
        <f t="shared" ref="C14:M14" si="2">SUM(C8:C13)</f>
        <v>839130937</v>
      </c>
      <c r="D14" s="81">
        <f t="shared" si="2"/>
        <v>926532288.76999998</v>
      </c>
      <c r="E14" s="81">
        <f t="shared" si="2"/>
        <v>0</v>
      </c>
      <c r="F14" s="81">
        <f t="shared" si="2"/>
        <v>0</v>
      </c>
      <c r="G14" s="81">
        <f t="shared" si="2"/>
        <v>0</v>
      </c>
      <c r="H14" s="81">
        <f t="shared" si="2"/>
        <v>0</v>
      </c>
      <c r="I14" s="81">
        <f t="shared" si="2"/>
        <v>-209884575.3000007</v>
      </c>
      <c r="J14" s="81">
        <f t="shared" si="2"/>
        <v>-209884575.3000007</v>
      </c>
      <c r="K14" s="81">
        <f t="shared" si="2"/>
        <v>716647713.46999931</v>
      </c>
      <c r="L14" s="81">
        <f t="shared" si="2"/>
        <v>1055053028.397779</v>
      </c>
      <c r="M14" s="82">
        <f t="shared" si="2"/>
        <v>1245952045.8321438</v>
      </c>
    </row>
    <row r="15" spans="1:13" ht="5.0999999999999996" customHeight="1" x14ac:dyDescent="0.25">
      <c r="A15" s="136"/>
      <c r="B15" s="73"/>
      <c r="C15" s="74"/>
      <c r="D15" s="75"/>
      <c r="E15" s="75"/>
      <c r="F15" s="75"/>
      <c r="G15" s="75"/>
      <c r="H15" s="75"/>
      <c r="I15" s="75"/>
      <c r="J15" s="75"/>
      <c r="K15" s="75"/>
      <c r="L15" s="75"/>
      <c r="M15" s="76"/>
    </row>
    <row r="16" spans="1:13" ht="12.75" customHeight="1" x14ac:dyDescent="0.25">
      <c r="A16" s="139" t="s">
        <v>695</v>
      </c>
      <c r="B16" s="73"/>
      <c r="C16" s="74"/>
      <c r="D16" s="75"/>
      <c r="E16" s="75"/>
      <c r="F16" s="75"/>
      <c r="G16" s="75"/>
      <c r="H16" s="75"/>
      <c r="I16" s="75"/>
      <c r="J16" s="75"/>
      <c r="K16" s="75"/>
      <c r="L16" s="75"/>
      <c r="M16" s="76"/>
    </row>
    <row r="17" spans="1:13" ht="12.75" customHeight="1" x14ac:dyDescent="0.25">
      <c r="A17" s="129" t="s">
        <v>696</v>
      </c>
      <c r="B17" s="73"/>
      <c r="C17" s="130">
        <v>0</v>
      </c>
      <c r="D17" s="109">
        <v>0</v>
      </c>
      <c r="E17" s="109">
        <v>0</v>
      </c>
      <c r="F17" s="109">
        <v>0</v>
      </c>
      <c r="G17" s="109">
        <v>0</v>
      </c>
      <c r="H17" s="109">
        <v>0</v>
      </c>
      <c r="I17" s="109">
        <v>0</v>
      </c>
      <c r="J17" s="75">
        <f t="shared" ref="J17:J25" si="3">SUM(E17:I17)</f>
        <v>0</v>
      </c>
      <c r="K17" s="75">
        <f t="shared" ref="K17:K25" si="4">IF(D17=0,C17+J17,D17+J17)</f>
        <v>0</v>
      </c>
      <c r="L17" s="109">
        <v>0</v>
      </c>
      <c r="M17" s="110">
        <v>0</v>
      </c>
    </row>
    <row r="18" spans="1:13" ht="12.75" customHeight="1" x14ac:dyDescent="0.25">
      <c r="A18" s="129" t="s">
        <v>697</v>
      </c>
      <c r="B18" s="73"/>
      <c r="C18" s="130">
        <v>0</v>
      </c>
      <c r="D18" s="109">
        <v>0</v>
      </c>
      <c r="E18" s="109">
        <v>0</v>
      </c>
      <c r="F18" s="109">
        <v>0</v>
      </c>
      <c r="G18" s="109">
        <v>0</v>
      </c>
      <c r="H18" s="109">
        <v>0</v>
      </c>
      <c r="I18" s="109">
        <v>0</v>
      </c>
      <c r="J18" s="75">
        <f t="shared" si="3"/>
        <v>0</v>
      </c>
      <c r="K18" s="75">
        <f t="shared" si="4"/>
        <v>0</v>
      </c>
      <c r="L18" s="109">
        <v>0</v>
      </c>
      <c r="M18" s="110">
        <v>0</v>
      </c>
    </row>
    <row r="19" spans="1:13" ht="12.75" customHeight="1" x14ac:dyDescent="0.25">
      <c r="A19" s="129" t="s">
        <v>698</v>
      </c>
      <c r="B19" s="73"/>
      <c r="C19" s="130">
        <v>732808388</v>
      </c>
      <c r="D19" s="109">
        <v>732808388</v>
      </c>
      <c r="E19" s="109">
        <v>0</v>
      </c>
      <c r="F19" s="109">
        <v>0</v>
      </c>
      <c r="G19" s="109">
        <v>0</v>
      </c>
      <c r="H19" s="109">
        <v>0</v>
      </c>
      <c r="I19" s="109">
        <v>0</v>
      </c>
      <c r="J19" s="75">
        <f t="shared" si="3"/>
        <v>0</v>
      </c>
      <c r="K19" s="75">
        <f t="shared" si="4"/>
        <v>732808388</v>
      </c>
      <c r="L19" s="109">
        <v>732808388</v>
      </c>
      <c r="M19" s="110">
        <v>732808388</v>
      </c>
    </row>
    <row r="20" spans="1:13" ht="12.75" customHeight="1" x14ac:dyDescent="0.25">
      <c r="A20" s="129" t="s">
        <v>989</v>
      </c>
      <c r="B20" s="73"/>
      <c r="C20" s="130">
        <v>1000</v>
      </c>
      <c r="D20" s="109">
        <v>1000</v>
      </c>
      <c r="E20" s="109">
        <v>0</v>
      </c>
      <c r="F20" s="109">
        <v>0</v>
      </c>
      <c r="G20" s="109">
        <v>0</v>
      </c>
      <c r="H20" s="109">
        <v>0</v>
      </c>
      <c r="I20" s="109">
        <v>0</v>
      </c>
      <c r="J20" s="75">
        <f t="shared" si="3"/>
        <v>0</v>
      </c>
      <c r="K20" s="75">
        <f t="shared" si="4"/>
        <v>1000</v>
      </c>
      <c r="L20" s="109">
        <v>1000</v>
      </c>
      <c r="M20" s="110">
        <v>1000</v>
      </c>
    </row>
    <row r="21" spans="1:13" ht="12.75" customHeight="1" x14ac:dyDescent="0.25">
      <c r="A21" s="129" t="s">
        <v>699</v>
      </c>
      <c r="B21" s="73">
        <v>1</v>
      </c>
      <c r="C21" s="131">
        <f>'SB2'!C24</f>
        <v>16541784334</v>
      </c>
      <c r="D21" s="132">
        <f>'SB2'!D24</f>
        <v>16571427334</v>
      </c>
      <c r="E21" s="132">
        <f>'SB2'!E24</f>
        <v>0</v>
      </c>
      <c r="F21" s="132">
        <f>'SB2'!F24</f>
        <v>0</v>
      </c>
      <c r="G21" s="132">
        <f>'SB2'!G24</f>
        <v>0</v>
      </c>
      <c r="H21" s="132">
        <f>'SB2'!H24</f>
        <v>62291861</v>
      </c>
      <c r="I21" s="132">
        <f>'SB2'!I24</f>
        <v>-256402894</v>
      </c>
      <c r="J21" s="132">
        <f t="shared" si="3"/>
        <v>-194111033</v>
      </c>
      <c r="K21" s="132">
        <f t="shared" si="4"/>
        <v>16377316301</v>
      </c>
      <c r="L21" s="132">
        <f>'SB2'!L24</f>
        <v>16984936084</v>
      </c>
      <c r="M21" s="133">
        <f>'SB2'!M24</f>
        <v>17326749521</v>
      </c>
    </row>
    <row r="22" spans="1:13" ht="0.95" customHeight="1" x14ac:dyDescent="0.25">
      <c r="A22" s="129"/>
      <c r="B22" s="73"/>
      <c r="C22" s="131"/>
      <c r="D22" s="132"/>
      <c r="E22" s="132"/>
      <c r="F22" s="132"/>
      <c r="G22" s="132"/>
      <c r="H22" s="132"/>
      <c r="I22" s="132"/>
      <c r="J22" s="132"/>
      <c r="K22" s="132"/>
      <c r="L22" s="132"/>
      <c r="M22" s="133"/>
    </row>
    <row r="23" spans="1:13" ht="12.75" customHeight="1" x14ac:dyDescent="0.25">
      <c r="A23" s="129" t="s">
        <v>701</v>
      </c>
      <c r="B23" s="73"/>
      <c r="C23" s="130">
        <v>11833140</v>
      </c>
      <c r="D23" s="109">
        <v>11833140</v>
      </c>
      <c r="E23" s="109">
        <v>0</v>
      </c>
      <c r="F23" s="109">
        <v>0</v>
      </c>
      <c r="G23" s="109">
        <v>0</v>
      </c>
      <c r="H23" s="109">
        <v>0</v>
      </c>
      <c r="I23" s="109">
        <v>0</v>
      </c>
      <c r="J23" s="75">
        <f t="shared" si="3"/>
        <v>0</v>
      </c>
      <c r="K23" s="75">
        <f t="shared" si="4"/>
        <v>11833140</v>
      </c>
      <c r="L23" s="109">
        <v>11833140</v>
      </c>
      <c r="M23" s="110">
        <v>11833140</v>
      </c>
    </row>
    <row r="24" spans="1:13" ht="12.75" customHeight="1" x14ac:dyDescent="0.25">
      <c r="A24" s="129" t="s">
        <v>702</v>
      </c>
      <c r="B24" s="73"/>
      <c r="C24" s="130">
        <v>11383052</v>
      </c>
      <c r="D24" s="109">
        <v>11383052</v>
      </c>
      <c r="E24" s="109">
        <v>0</v>
      </c>
      <c r="F24" s="109">
        <v>0</v>
      </c>
      <c r="G24" s="109">
        <v>0</v>
      </c>
      <c r="H24" s="109">
        <v>0</v>
      </c>
      <c r="I24" s="109">
        <v>0</v>
      </c>
      <c r="J24" s="75">
        <f t="shared" si="3"/>
        <v>0</v>
      </c>
      <c r="K24" s="75">
        <f t="shared" si="4"/>
        <v>11383052</v>
      </c>
      <c r="L24" s="109">
        <v>11383052</v>
      </c>
      <c r="M24" s="110">
        <v>11383052</v>
      </c>
    </row>
    <row r="25" spans="1:13" ht="12.75" customHeight="1" x14ac:dyDescent="0.25">
      <c r="A25" s="129" t="s">
        <v>703</v>
      </c>
      <c r="B25" s="73"/>
      <c r="C25" s="130">
        <v>0</v>
      </c>
      <c r="D25" s="109">
        <v>0</v>
      </c>
      <c r="E25" s="109">
        <v>0</v>
      </c>
      <c r="F25" s="109">
        <v>0</v>
      </c>
      <c r="G25" s="109">
        <v>0</v>
      </c>
      <c r="H25" s="109">
        <v>0</v>
      </c>
      <c r="I25" s="109">
        <v>0</v>
      </c>
      <c r="J25" s="75">
        <f t="shared" si="3"/>
        <v>0</v>
      </c>
      <c r="K25" s="75">
        <f t="shared" si="4"/>
        <v>0</v>
      </c>
      <c r="L25" s="109">
        <v>0</v>
      </c>
      <c r="M25" s="110">
        <v>0</v>
      </c>
    </row>
    <row r="26" spans="1:13" ht="12.75" customHeight="1" x14ac:dyDescent="0.25">
      <c r="A26" s="162" t="s">
        <v>581</v>
      </c>
      <c r="B26" s="79"/>
      <c r="C26" s="80">
        <f>SUM(C17:C21)+SUM(C23:C25)</f>
        <v>17297809914</v>
      </c>
      <c r="D26" s="81">
        <f t="shared" ref="D26:M26" si="5">SUM(D17:D21)+SUM(D23:D25)</f>
        <v>17327452914</v>
      </c>
      <c r="E26" s="81">
        <f t="shared" si="5"/>
        <v>0</v>
      </c>
      <c r="F26" s="81">
        <f t="shared" si="5"/>
        <v>0</v>
      </c>
      <c r="G26" s="81">
        <f t="shared" si="5"/>
        <v>0</v>
      </c>
      <c r="H26" s="81">
        <f t="shared" si="5"/>
        <v>62291861</v>
      </c>
      <c r="I26" s="81">
        <f t="shared" si="5"/>
        <v>-256402894</v>
      </c>
      <c r="J26" s="81">
        <f t="shared" si="5"/>
        <v>-194111033</v>
      </c>
      <c r="K26" s="81">
        <f t="shared" si="5"/>
        <v>17133341881</v>
      </c>
      <c r="L26" s="81">
        <f t="shared" si="5"/>
        <v>17740961664</v>
      </c>
      <c r="M26" s="82">
        <f t="shared" si="5"/>
        <v>18082775101</v>
      </c>
    </row>
    <row r="27" spans="1:13" ht="12.75" customHeight="1" x14ac:dyDescent="0.25">
      <c r="A27" s="162" t="s">
        <v>704</v>
      </c>
      <c r="B27" s="79"/>
      <c r="C27" s="80">
        <f t="shared" ref="C27:M27" si="6">C14+C26</f>
        <v>18136940851</v>
      </c>
      <c r="D27" s="81">
        <f t="shared" si="6"/>
        <v>18253985202.77</v>
      </c>
      <c r="E27" s="81">
        <f t="shared" si="6"/>
        <v>0</v>
      </c>
      <c r="F27" s="81">
        <f t="shared" si="6"/>
        <v>0</v>
      </c>
      <c r="G27" s="81">
        <f t="shared" si="6"/>
        <v>0</v>
      </c>
      <c r="H27" s="81">
        <f t="shared" si="6"/>
        <v>62291861</v>
      </c>
      <c r="I27" s="81">
        <f t="shared" si="6"/>
        <v>-466287469.30000067</v>
      </c>
      <c r="J27" s="81">
        <f t="shared" si="6"/>
        <v>-403995608.30000067</v>
      </c>
      <c r="K27" s="81">
        <f t="shared" si="6"/>
        <v>17849989594.470001</v>
      </c>
      <c r="L27" s="81">
        <f t="shared" si="6"/>
        <v>18796014692.397778</v>
      </c>
      <c r="M27" s="82">
        <f t="shared" si="6"/>
        <v>19328727146.832146</v>
      </c>
    </row>
    <row r="28" spans="1:13" ht="5.0999999999999996" customHeight="1" x14ac:dyDescent="0.25">
      <c r="A28" s="136"/>
      <c r="B28" s="73"/>
      <c r="C28" s="74"/>
      <c r="D28" s="75"/>
      <c r="E28" s="75"/>
      <c r="F28" s="75"/>
      <c r="G28" s="75"/>
      <c r="H28" s="75"/>
      <c r="I28" s="75"/>
      <c r="J28" s="75"/>
      <c r="K28" s="75"/>
      <c r="L28" s="75"/>
      <c r="M28" s="76"/>
    </row>
    <row r="29" spans="1:13" ht="12.75" customHeight="1" x14ac:dyDescent="0.25">
      <c r="A29" s="139" t="s">
        <v>705</v>
      </c>
      <c r="B29" s="73"/>
      <c r="C29" s="74"/>
      <c r="D29" s="75"/>
      <c r="E29" s="75"/>
      <c r="F29" s="75"/>
      <c r="G29" s="75"/>
      <c r="H29" s="75"/>
      <c r="I29" s="75"/>
      <c r="J29" s="75"/>
      <c r="K29" s="75"/>
      <c r="L29" s="75"/>
      <c r="M29" s="76"/>
    </row>
    <row r="30" spans="1:13" ht="12.75" customHeight="1" x14ac:dyDescent="0.25">
      <c r="A30" s="139" t="s">
        <v>706</v>
      </c>
      <c r="B30" s="115"/>
      <c r="C30" s="74"/>
      <c r="D30" s="75"/>
      <c r="E30" s="75"/>
      <c r="F30" s="75"/>
      <c r="G30" s="75"/>
      <c r="H30" s="75"/>
      <c r="I30" s="75"/>
      <c r="J30" s="75"/>
      <c r="K30" s="75"/>
      <c r="L30" s="75"/>
      <c r="M30" s="76"/>
    </row>
    <row r="31" spans="1:13" ht="12.75" customHeight="1" x14ac:dyDescent="0.25">
      <c r="A31" s="129" t="s">
        <v>707</v>
      </c>
      <c r="B31" s="73"/>
      <c r="C31" s="130">
        <v>0</v>
      </c>
      <c r="D31" s="109">
        <v>0</v>
      </c>
      <c r="E31" s="109">
        <v>0</v>
      </c>
      <c r="F31" s="109">
        <v>0</v>
      </c>
      <c r="G31" s="109">
        <v>0</v>
      </c>
      <c r="H31" s="109">
        <v>0</v>
      </c>
      <c r="I31" s="109">
        <v>0</v>
      </c>
      <c r="J31" s="75">
        <f>SUM(E31:I31)</f>
        <v>0</v>
      </c>
      <c r="K31" s="75">
        <f>IF(D31=0,C31+J31,D31+J31)</f>
        <v>0</v>
      </c>
      <c r="L31" s="109">
        <v>0</v>
      </c>
      <c r="M31" s="110">
        <v>0</v>
      </c>
    </row>
    <row r="32" spans="1:13" ht="12.75" customHeight="1" x14ac:dyDescent="0.25">
      <c r="A32" s="129" t="s">
        <v>576</v>
      </c>
      <c r="B32" s="73"/>
      <c r="C32" s="131">
        <f>'SB2'!C30</f>
        <v>50433331</v>
      </c>
      <c r="D32" s="132">
        <f>'SB2'!D30</f>
        <v>50433331</v>
      </c>
      <c r="E32" s="132">
        <f>'SB2'!E30</f>
        <v>0</v>
      </c>
      <c r="F32" s="132">
        <f>'SB2'!F30</f>
        <v>0</v>
      </c>
      <c r="G32" s="132">
        <f>'SB2'!G30</f>
        <v>0</v>
      </c>
      <c r="H32" s="132">
        <f>'SB2'!H30</f>
        <v>0</v>
      </c>
      <c r="I32" s="132">
        <f>'SB2'!I30</f>
        <v>0</v>
      </c>
      <c r="J32" s="132">
        <f>SUM(E32:I32)</f>
        <v>0</v>
      </c>
      <c r="K32" s="132">
        <f>IF(D32=0,C32+J32,D32+J32)</f>
        <v>50433331</v>
      </c>
      <c r="L32" s="132">
        <f>'SB2'!L30</f>
        <v>23914331</v>
      </c>
      <c r="M32" s="133">
        <f>'SB2'!M30</f>
        <v>28914331</v>
      </c>
    </row>
    <row r="33" spans="1:13" ht="12.75" customHeight="1" x14ac:dyDescent="0.25">
      <c r="A33" s="129" t="s">
        <v>708</v>
      </c>
      <c r="B33" s="73"/>
      <c r="C33" s="130">
        <v>73500000</v>
      </c>
      <c r="D33" s="109">
        <v>73500000</v>
      </c>
      <c r="E33" s="109">
        <v>0</v>
      </c>
      <c r="F33" s="109">
        <v>0</v>
      </c>
      <c r="G33" s="109">
        <v>0</v>
      </c>
      <c r="H33" s="109">
        <v>0</v>
      </c>
      <c r="I33" s="109">
        <v>0</v>
      </c>
      <c r="J33" s="75">
        <f>SUM(E33:I33)</f>
        <v>0</v>
      </c>
      <c r="K33" s="75">
        <f>IF(D33=0,C33+J33,D33+J33)</f>
        <v>73500000</v>
      </c>
      <c r="L33" s="109">
        <v>74000000</v>
      </c>
      <c r="M33" s="110">
        <v>74500000</v>
      </c>
    </row>
    <row r="34" spans="1:13" ht="12.75" customHeight="1" x14ac:dyDescent="0.25">
      <c r="A34" s="129" t="s">
        <v>709</v>
      </c>
      <c r="B34" s="73"/>
      <c r="C34" s="131">
        <f>'SB2'!C36</f>
        <v>538278994.5999999</v>
      </c>
      <c r="D34" s="132">
        <f>'SB2'!D36</f>
        <v>538278994.5999999</v>
      </c>
      <c r="E34" s="132">
        <f>'SB2'!E36</f>
        <v>0</v>
      </c>
      <c r="F34" s="132">
        <f>'SB2'!F36</f>
        <v>0</v>
      </c>
      <c r="G34" s="132">
        <f>'SB2'!G36</f>
        <v>0</v>
      </c>
      <c r="H34" s="132">
        <f>'SB2'!H36</f>
        <v>0</v>
      </c>
      <c r="I34" s="132">
        <f>'SB2'!I36</f>
        <v>0</v>
      </c>
      <c r="J34" s="132">
        <f>SUM(E34:I34)</f>
        <v>0</v>
      </c>
      <c r="K34" s="132">
        <f>IF(D34=0,C34+J34,D34+J34)</f>
        <v>538278994.5999999</v>
      </c>
      <c r="L34" s="132">
        <f>'SB2'!L36</f>
        <v>548279000</v>
      </c>
      <c r="M34" s="133">
        <f>'SB2'!M36</f>
        <v>558279000</v>
      </c>
    </row>
    <row r="35" spans="1:13" ht="12.75" customHeight="1" x14ac:dyDescent="0.25">
      <c r="A35" s="129" t="s">
        <v>710</v>
      </c>
      <c r="B35" s="73"/>
      <c r="C35" s="130">
        <v>10277842</v>
      </c>
      <c r="D35" s="109">
        <v>10277842</v>
      </c>
      <c r="E35" s="109">
        <v>0</v>
      </c>
      <c r="F35" s="109">
        <v>0</v>
      </c>
      <c r="G35" s="109">
        <v>0</v>
      </c>
      <c r="H35" s="109">
        <v>0</v>
      </c>
      <c r="I35" s="109">
        <v>0</v>
      </c>
      <c r="J35" s="75">
        <f>SUM(E35:I35)</f>
        <v>0</v>
      </c>
      <c r="K35" s="75">
        <f>IF(D35=0,C35+J35,D35+J35)</f>
        <v>10277842</v>
      </c>
      <c r="L35" s="109">
        <v>10894513</v>
      </c>
      <c r="M35" s="110">
        <v>11548184</v>
      </c>
    </row>
    <row r="36" spans="1:13" ht="12.75" customHeight="1" x14ac:dyDescent="0.25">
      <c r="A36" s="162" t="s">
        <v>582</v>
      </c>
      <c r="B36" s="79"/>
      <c r="C36" s="80">
        <f t="shared" ref="C36:M36" si="7">SUM(C31:C35)</f>
        <v>672490167.5999999</v>
      </c>
      <c r="D36" s="81">
        <f t="shared" si="7"/>
        <v>672490167.5999999</v>
      </c>
      <c r="E36" s="81">
        <f t="shared" si="7"/>
        <v>0</v>
      </c>
      <c r="F36" s="81">
        <f t="shared" si="7"/>
        <v>0</v>
      </c>
      <c r="G36" s="81">
        <f t="shared" si="7"/>
        <v>0</v>
      </c>
      <c r="H36" s="81">
        <f t="shared" si="7"/>
        <v>0</v>
      </c>
      <c r="I36" s="81">
        <f t="shared" si="7"/>
        <v>0</v>
      </c>
      <c r="J36" s="81">
        <f t="shared" si="7"/>
        <v>0</v>
      </c>
      <c r="K36" s="81">
        <f t="shared" si="7"/>
        <v>672490167.5999999</v>
      </c>
      <c r="L36" s="81">
        <f t="shared" si="7"/>
        <v>657087844</v>
      </c>
      <c r="M36" s="82">
        <f t="shared" si="7"/>
        <v>673241515</v>
      </c>
    </row>
    <row r="37" spans="1:13" ht="5.0999999999999996" customHeight="1" x14ac:dyDescent="0.25">
      <c r="A37" s="136"/>
      <c r="B37" s="73"/>
      <c r="C37" s="74"/>
      <c r="D37" s="75"/>
      <c r="E37" s="75"/>
      <c r="F37" s="75"/>
      <c r="G37" s="75"/>
      <c r="H37" s="75"/>
      <c r="I37" s="75"/>
      <c r="J37" s="75"/>
      <c r="K37" s="75"/>
      <c r="L37" s="75"/>
      <c r="M37" s="76"/>
    </row>
    <row r="38" spans="1:13" ht="12.75" customHeight="1" x14ac:dyDescent="0.25">
      <c r="A38" s="139" t="s">
        <v>711</v>
      </c>
      <c r="B38" s="73"/>
      <c r="C38" s="74"/>
      <c r="D38" s="75"/>
      <c r="E38" s="75"/>
      <c r="F38" s="75"/>
      <c r="G38" s="75"/>
      <c r="H38" s="75"/>
      <c r="I38" s="75"/>
      <c r="J38" s="75"/>
      <c r="K38" s="75"/>
      <c r="L38" s="75"/>
      <c r="M38" s="76"/>
    </row>
    <row r="39" spans="1:13" ht="12.75" customHeight="1" x14ac:dyDescent="0.25">
      <c r="A39" s="129" t="s">
        <v>576</v>
      </c>
      <c r="B39" s="73">
        <v>1</v>
      </c>
      <c r="C39" s="131">
        <f>'SB2'!C40</f>
        <v>712580796</v>
      </c>
      <c r="D39" s="132">
        <f>'SB2'!D40</f>
        <v>712580796</v>
      </c>
      <c r="E39" s="132">
        <f>'SB2'!E40</f>
        <v>0</v>
      </c>
      <c r="F39" s="132">
        <f>'SB2'!F40</f>
        <v>0</v>
      </c>
      <c r="G39" s="132">
        <f>'SB2'!G40</f>
        <v>0</v>
      </c>
      <c r="H39" s="132">
        <f>'SB2'!H40</f>
        <v>0</v>
      </c>
      <c r="I39" s="132">
        <f>'SB2'!I40</f>
        <v>-234922529</v>
      </c>
      <c r="J39" s="132">
        <f>SUM(E39:I39)</f>
        <v>-234922529</v>
      </c>
      <c r="K39" s="132">
        <f>IF(D39=0,C39+J39,D39+J39)</f>
        <v>477658267</v>
      </c>
      <c r="L39" s="132">
        <f>'SB2'!L40</f>
        <v>747473971</v>
      </c>
      <c r="M39" s="133">
        <f>'SB2'!M40</f>
        <v>712881977.28000009</v>
      </c>
    </row>
    <row r="40" spans="1:13" ht="12.75" customHeight="1" x14ac:dyDescent="0.25">
      <c r="A40" s="129" t="s">
        <v>710</v>
      </c>
      <c r="B40" s="73">
        <v>1</v>
      </c>
      <c r="C40" s="131">
        <f>'SB2'!C46</f>
        <v>390281857</v>
      </c>
      <c r="D40" s="132">
        <f>'SB2'!D46</f>
        <v>390281857</v>
      </c>
      <c r="E40" s="132">
        <f>'SB2'!E46</f>
        <v>0</v>
      </c>
      <c r="F40" s="132">
        <f>'SB2'!F46</f>
        <v>0</v>
      </c>
      <c r="G40" s="132">
        <f>'SB2'!G46</f>
        <v>0</v>
      </c>
      <c r="H40" s="132">
        <f>'SB2'!H46</f>
        <v>0</v>
      </c>
      <c r="I40" s="132">
        <f>'SB2'!I46</f>
        <v>0</v>
      </c>
      <c r="J40" s="132">
        <f>SUM(E40:I40)</f>
        <v>0</v>
      </c>
      <c r="K40" s="132">
        <f>IF(D40=0,C40+J40,D40+J40)</f>
        <v>390281857</v>
      </c>
      <c r="L40" s="132">
        <f>'SB2'!L46</f>
        <v>413698768.27160001</v>
      </c>
      <c r="M40" s="133">
        <f>'SB2'!M46</f>
        <v>438520694.36789608</v>
      </c>
    </row>
    <row r="41" spans="1:13" ht="12.75" customHeight="1" x14ac:dyDescent="0.25">
      <c r="A41" s="162" t="s">
        <v>583</v>
      </c>
      <c r="B41" s="79"/>
      <c r="C41" s="80">
        <f t="shared" ref="C41:M41" si="8">SUM(C39:C40)</f>
        <v>1102862653</v>
      </c>
      <c r="D41" s="81">
        <f t="shared" si="8"/>
        <v>1102862653</v>
      </c>
      <c r="E41" s="81">
        <f t="shared" si="8"/>
        <v>0</v>
      </c>
      <c r="F41" s="81">
        <f t="shared" si="8"/>
        <v>0</v>
      </c>
      <c r="G41" s="81">
        <f t="shared" si="8"/>
        <v>0</v>
      </c>
      <c r="H41" s="81">
        <f t="shared" si="8"/>
        <v>0</v>
      </c>
      <c r="I41" s="81">
        <f t="shared" si="8"/>
        <v>-234922529</v>
      </c>
      <c r="J41" s="81">
        <f t="shared" si="8"/>
        <v>-234922529</v>
      </c>
      <c r="K41" s="81">
        <f t="shared" si="8"/>
        <v>867940124</v>
      </c>
      <c r="L41" s="81">
        <f t="shared" si="8"/>
        <v>1161172739.2716</v>
      </c>
      <c r="M41" s="82">
        <f t="shared" si="8"/>
        <v>1151402671.6478963</v>
      </c>
    </row>
    <row r="42" spans="1:13" ht="12.75" customHeight="1" x14ac:dyDescent="0.25">
      <c r="A42" s="162" t="s">
        <v>712</v>
      </c>
      <c r="B42" s="79"/>
      <c r="C42" s="80">
        <f t="shared" ref="C42:M42" si="9">C36+C41</f>
        <v>1775352820.5999999</v>
      </c>
      <c r="D42" s="81">
        <f t="shared" si="9"/>
        <v>1775352820.5999999</v>
      </c>
      <c r="E42" s="81">
        <f t="shared" si="9"/>
        <v>0</v>
      </c>
      <c r="F42" s="81">
        <f t="shared" si="9"/>
        <v>0</v>
      </c>
      <c r="G42" s="81">
        <f t="shared" si="9"/>
        <v>0</v>
      </c>
      <c r="H42" s="81">
        <f t="shared" si="9"/>
        <v>0</v>
      </c>
      <c r="I42" s="81">
        <f t="shared" si="9"/>
        <v>-234922529</v>
      </c>
      <c r="J42" s="81">
        <f t="shared" si="9"/>
        <v>-234922529</v>
      </c>
      <c r="K42" s="81">
        <f t="shared" si="9"/>
        <v>1540430291.5999999</v>
      </c>
      <c r="L42" s="81">
        <f t="shared" si="9"/>
        <v>1818260583.2716</v>
      </c>
      <c r="M42" s="82">
        <f t="shared" si="9"/>
        <v>1824644186.6478963</v>
      </c>
    </row>
    <row r="43" spans="1:13" s="48" customFormat="1" ht="5.0999999999999996" customHeight="1" x14ac:dyDescent="0.25">
      <c r="A43" s="136"/>
      <c r="B43" s="73"/>
      <c r="C43" s="74"/>
      <c r="D43" s="75"/>
      <c r="E43" s="75"/>
      <c r="F43" s="75"/>
      <c r="G43" s="75"/>
      <c r="H43" s="75"/>
      <c r="I43" s="75"/>
      <c r="J43" s="75"/>
      <c r="K43" s="75"/>
      <c r="L43" s="75"/>
      <c r="M43" s="76"/>
    </row>
    <row r="44" spans="1:13" ht="12.75" customHeight="1" x14ac:dyDescent="0.25">
      <c r="A44" s="303" t="s">
        <v>713</v>
      </c>
      <c r="B44" s="154">
        <v>2</v>
      </c>
      <c r="C44" s="517">
        <f t="shared" ref="C44:M44" si="10">C27-C42</f>
        <v>16361588030.4</v>
      </c>
      <c r="D44" s="237">
        <f t="shared" si="10"/>
        <v>16478632382.17</v>
      </c>
      <c r="E44" s="237">
        <f t="shared" si="10"/>
        <v>0</v>
      </c>
      <c r="F44" s="237">
        <f t="shared" si="10"/>
        <v>0</v>
      </c>
      <c r="G44" s="237">
        <f t="shared" si="10"/>
        <v>0</v>
      </c>
      <c r="H44" s="237">
        <f t="shared" si="10"/>
        <v>62291861</v>
      </c>
      <c r="I44" s="237">
        <f t="shared" si="10"/>
        <v>-231364940.30000067</v>
      </c>
      <c r="J44" s="237">
        <f t="shared" si="10"/>
        <v>-169073079.30000067</v>
      </c>
      <c r="K44" s="237">
        <f t="shared" si="10"/>
        <v>16309559302.870001</v>
      </c>
      <c r="L44" s="237">
        <f t="shared" si="10"/>
        <v>16977754109.126177</v>
      </c>
      <c r="M44" s="238">
        <f t="shared" si="10"/>
        <v>17504082960.18425</v>
      </c>
    </row>
    <row r="45" spans="1:13" ht="5.0999999999999996" customHeight="1" x14ac:dyDescent="0.25">
      <c r="A45" s="136"/>
      <c r="B45" s="73"/>
      <c r="C45" s="74"/>
      <c r="D45" s="75"/>
      <c r="E45" s="75"/>
      <c r="F45" s="75"/>
      <c r="G45" s="75"/>
      <c r="H45" s="75"/>
      <c r="I45" s="75"/>
      <c r="J45" s="75"/>
      <c r="K45" s="75"/>
      <c r="L45" s="75"/>
      <c r="M45" s="76"/>
    </row>
    <row r="46" spans="1:13" ht="12.75" customHeight="1" x14ac:dyDescent="0.25">
      <c r="A46" s="139" t="s">
        <v>714</v>
      </c>
      <c r="B46" s="73"/>
      <c r="C46" s="74"/>
      <c r="D46" s="75"/>
      <c r="E46" s="75"/>
      <c r="F46" s="75"/>
      <c r="G46" s="75"/>
      <c r="H46" s="75"/>
      <c r="I46" s="75"/>
      <c r="J46" s="75"/>
      <c r="K46" s="75"/>
      <c r="L46" s="75"/>
      <c r="M46" s="76"/>
    </row>
    <row r="47" spans="1:13" ht="12.75" customHeight="1" x14ac:dyDescent="0.25">
      <c r="A47" s="129" t="s">
        <v>715</v>
      </c>
      <c r="B47" s="73"/>
      <c r="C47" s="131">
        <f>'SB2'!C57</f>
        <v>8859914192.3999996</v>
      </c>
      <c r="D47" s="132">
        <f>'SB2'!D57</f>
        <v>8976958544.1700001</v>
      </c>
      <c r="E47" s="132">
        <f>'SB2'!E57</f>
        <v>0</v>
      </c>
      <c r="F47" s="132">
        <f>'SB2'!F57</f>
        <v>0</v>
      </c>
      <c r="G47" s="132">
        <f>'SB2'!G57</f>
        <v>0</v>
      </c>
      <c r="H47" s="132">
        <f>'SB2'!H57</f>
        <v>62291861</v>
      </c>
      <c r="I47" s="132">
        <f>'SB2'!I57</f>
        <v>-231364940.30000067</v>
      </c>
      <c r="J47" s="132">
        <f>SUM(E47:I47)</f>
        <v>-169073079.30000067</v>
      </c>
      <c r="K47" s="132">
        <f>IF(D47=0,C47+J47,D47+J47)</f>
        <v>8807885464.8699989</v>
      </c>
      <c r="L47" s="132">
        <f>'SB2'!L57</f>
        <v>9476080271.1261787</v>
      </c>
      <c r="M47" s="133">
        <f>'SB2'!M57</f>
        <v>10002409122.18425</v>
      </c>
    </row>
    <row r="48" spans="1:13" ht="12.75" customHeight="1" x14ac:dyDescent="0.25">
      <c r="A48" s="129" t="s">
        <v>716</v>
      </c>
      <c r="B48" s="73"/>
      <c r="C48" s="131">
        <f>'SB2'!C64</f>
        <v>7501673838</v>
      </c>
      <c r="D48" s="132">
        <f>'SB2'!D64</f>
        <v>7501673838</v>
      </c>
      <c r="E48" s="132">
        <f>'SB2'!E64</f>
        <v>0</v>
      </c>
      <c r="F48" s="132">
        <f>'SB2'!F64</f>
        <v>0</v>
      </c>
      <c r="G48" s="132">
        <f>'SB2'!G64</f>
        <v>0</v>
      </c>
      <c r="H48" s="132">
        <f>'SB2'!H64</f>
        <v>0</v>
      </c>
      <c r="I48" s="132">
        <f>'SB2'!I64</f>
        <v>0</v>
      </c>
      <c r="J48" s="132">
        <f>SUM(E48:I48)</f>
        <v>0</v>
      </c>
      <c r="K48" s="132">
        <f>IF(D48=0,C48+J48,D48+J48)</f>
        <v>7501673838</v>
      </c>
      <c r="L48" s="132">
        <f>'SB2'!L64</f>
        <v>7501673838</v>
      </c>
      <c r="M48" s="133">
        <f>'SB2'!M64</f>
        <v>7501673838</v>
      </c>
    </row>
    <row r="49" spans="1:13" ht="0.95" customHeight="1" x14ac:dyDescent="0.25">
      <c r="A49" s="129"/>
      <c r="B49" s="73"/>
      <c r="C49" s="131"/>
      <c r="D49" s="132"/>
      <c r="E49" s="132"/>
      <c r="F49" s="132"/>
      <c r="G49" s="132"/>
      <c r="H49" s="132"/>
      <c r="I49" s="132"/>
      <c r="J49" s="132"/>
      <c r="K49" s="132"/>
      <c r="L49" s="132"/>
      <c r="M49" s="133"/>
    </row>
    <row r="50" spans="1:13" ht="12.75" customHeight="1" x14ac:dyDescent="0.25">
      <c r="A50" s="155" t="s">
        <v>717</v>
      </c>
      <c r="B50" s="156"/>
      <c r="C50" s="157">
        <f>SUM(C47:C48)</f>
        <v>16361588030.4</v>
      </c>
      <c r="D50" s="117">
        <f t="shared" ref="D50:M50" si="11">SUM(D47:D48)</f>
        <v>16478632382.17</v>
      </c>
      <c r="E50" s="117">
        <f t="shared" si="11"/>
        <v>0</v>
      </c>
      <c r="F50" s="117">
        <f t="shared" si="11"/>
        <v>0</v>
      </c>
      <c r="G50" s="117">
        <f t="shared" si="11"/>
        <v>0</v>
      </c>
      <c r="H50" s="117">
        <f t="shared" si="11"/>
        <v>62291861</v>
      </c>
      <c r="I50" s="117">
        <f t="shared" si="11"/>
        <v>-231364940.30000067</v>
      </c>
      <c r="J50" s="117">
        <f t="shared" si="11"/>
        <v>-169073079.30000067</v>
      </c>
      <c r="K50" s="117">
        <f t="shared" si="11"/>
        <v>16309559302.869999</v>
      </c>
      <c r="L50" s="117">
        <f t="shared" si="11"/>
        <v>16977754109.126179</v>
      </c>
      <c r="M50" s="118">
        <f t="shared" si="11"/>
        <v>17504082960.18425</v>
      </c>
    </row>
    <row r="51" spans="1:13" ht="12.75" customHeight="1" x14ac:dyDescent="0.25">
      <c r="A51" s="158" t="str">
        <f>head27a</f>
        <v>References</v>
      </c>
      <c r="B51" s="93"/>
      <c r="C51" s="96"/>
      <c r="D51" s="96"/>
      <c r="E51" s="96"/>
      <c r="F51" s="96"/>
      <c r="G51" s="96"/>
      <c r="H51" s="96"/>
      <c r="I51" s="96"/>
      <c r="J51" s="96"/>
      <c r="K51" s="96"/>
      <c r="L51" s="96"/>
      <c r="M51" s="96"/>
    </row>
    <row r="52" spans="1:13" ht="12.75" customHeight="1" x14ac:dyDescent="0.25">
      <c r="A52" s="99" t="s">
        <v>1041</v>
      </c>
      <c r="B52" s="99"/>
      <c r="C52" s="99"/>
      <c r="D52" s="99"/>
      <c r="E52" s="99"/>
      <c r="F52" s="99"/>
      <c r="G52" s="99"/>
      <c r="H52" s="99"/>
      <c r="I52" s="99"/>
      <c r="J52" s="99"/>
      <c r="K52" s="99"/>
      <c r="L52" s="99"/>
      <c r="M52" s="99"/>
    </row>
    <row r="53" spans="1:13" ht="12.75" customHeight="1" x14ac:dyDescent="0.25">
      <c r="A53" s="99" t="s">
        <v>718</v>
      </c>
      <c r="B53" s="100"/>
      <c r="C53" s="100"/>
      <c r="D53" s="100"/>
      <c r="E53" s="100"/>
      <c r="F53" s="100"/>
      <c r="G53" s="100"/>
      <c r="H53" s="100"/>
      <c r="I53" s="100"/>
      <c r="J53" s="100"/>
      <c r="K53" s="100"/>
      <c r="L53" s="100"/>
      <c r="M53" s="100"/>
    </row>
    <row r="54" spans="1:13" ht="12.75" customHeight="1" x14ac:dyDescent="0.25">
      <c r="A54" s="1408" t="s">
        <v>986</v>
      </c>
      <c r="B54" s="1408"/>
      <c r="C54" s="1408"/>
      <c r="D54" s="1408"/>
      <c r="E54" s="1408"/>
      <c r="F54" s="1408"/>
      <c r="G54" s="1408"/>
      <c r="H54" s="1408"/>
      <c r="I54" s="1408"/>
      <c r="J54" s="1408"/>
      <c r="K54" s="1408"/>
      <c r="L54" s="1408"/>
      <c r="M54" s="1408"/>
    </row>
    <row r="55" spans="1:13" ht="25.5" customHeight="1" x14ac:dyDescent="0.25">
      <c r="A55" s="1408" t="s">
        <v>1030</v>
      </c>
      <c r="B55" s="1408"/>
      <c r="C55" s="1408"/>
      <c r="D55" s="1408"/>
      <c r="E55" s="1408"/>
      <c r="F55" s="1408"/>
      <c r="G55" s="1408"/>
      <c r="H55" s="1408"/>
      <c r="I55" s="1408"/>
      <c r="J55" s="1408"/>
      <c r="K55" s="1408"/>
      <c r="L55" s="1408"/>
      <c r="M55" s="1408"/>
    </row>
    <row r="56" spans="1:13" ht="12.75" customHeight="1" x14ac:dyDescent="0.25">
      <c r="A56" s="1402" t="s">
        <v>1031</v>
      </c>
      <c r="B56" s="1402"/>
      <c r="C56" s="1402"/>
      <c r="D56" s="1402"/>
      <c r="E56" s="1402"/>
      <c r="F56" s="1402"/>
      <c r="G56" s="1402"/>
      <c r="H56" s="1402"/>
      <c r="I56" s="1402"/>
      <c r="J56" s="1402"/>
      <c r="K56" s="1402"/>
      <c r="L56" s="1402"/>
      <c r="M56" s="1402"/>
    </row>
    <row r="57" spans="1:13" ht="12.75" customHeight="1" x14ac:dyDescent="0.25">
      <c r="A57" s="1402" t="s">
        <v>1032</v>
      </c>
      <c r="B57" s="1402"/>
      <c r="C57" s="1402"/>
      <c r="D57" s="1402"/>
      <c r="E57" s="1402"/>
      <c r="F57" s="1402"/>
      <c r="G57" s="1402"/>
      <c r="H57" s="1402"/>
      <c r="I57" s="1402"/>
      <c r="J57" s="1402"/>
      <c r="K57" s="1402"/>
      <c r="L57" s="1402"/>
      <c r="M57" s="1402"/>
    </row>
    <row r="58" spans="1:13" ht="12.75" customHeight="1" x14ac:dyDescent="0.25">
      <c r="A58" s="99" t="s">
        <v>1033</v>
      </c>
      <c r="B58" s="160"/>
      <c r="C58" s="96"/>
      <c r="D58" s="96"/>
      <c r="E58" s="96"/>
      <c r="F58" s="96"/>
      <c r="G58" s="96"/>
      <c r="H58" s="96"/>
      <c r="I58" s="96"/>
      <c r="J58" s="96"/>
      <c r="K58" s="96"/>
      <c r="L58" s="96"/>
      <c r="M58" s="96"/>
    </row>
    <row r="59" spans="1:13" ht="27.75" customHeight="1" x14ac:dyDescent="0.25">
      <c r="A59" s="1402" t="s">
        <v>1034</v>
      </c>
      <c r="B59" s="1402"/>
      <c r="C59" s="1402"/>
      <c r="D59" s="1402"/>
      <c r="E59" s="1402"/>
      <c r="F59" s="1402"/>
      <c r="G59" s="1402"/>
      <c r="H59" s="1402"/>
      <c r="I59" s="1402"/>
      <c r="J59" s="1402"/>
      <c r="K59" s="1402"/>
      <c r="L59" s="1402"/>
      <c r="M59" s="1402"/>
    </row>
    <row r="60" spans="1:13" ht="12.75" customHeight="1" x14ac:dyDescent="0.25">
      <c r="A60" s="99" t="s">
        <v>608</v>
      </c>
      <c r="B60" s="93"/>
      <c r="C60" s="96"/>
      <c r="D60" s="96"/>
      <c r="E60" s="96"/>
      <c r="F60" s="96"/>
      <c r="G60" s="96"/>
      <c r="H60" s="96"/>
      <c r="I60" s="96"/>
      <c r="J60" s="96"/>
      <c r="K60" s="96"/>
      <c r="L60" s="96"/>
      <c r="M60" s="96"/>
    </row>
    <row r="61" spans="1:13" ht="12.75" customHeight="1" x14ac:dyDescent="0.25">
      <c r="A61" s="1402" t="s">
        <v>609</v>
      </c>
      <c r="B61" s="1402"/>
      <c r="C61" s="1402"/>
      <c r="D61" s="1402"/>
      <c r="E61" s="1402"/>
      <c r="F61" s="1402"/>
      <c r="G61" s="1402"/>
      <c r="H61" s="1402"/>
      <c r="I61" s="1402"/>
      <c r="J61" s="1402"/>
      <c r="K61" s="1402"/>
      <c r="L61" s="1402"/>
      <c r="M61" s="1402"/>
    </row>
    <row r="62" spans="1:13" ht="11.25" customHeight="1" x14ac:dyDescent="0.25">
      <c r="A62" s="48"/>
      <c r="B62" s="121"/>
      <c r="C62" s="53"/>
      <c r="D62" s="53"/>
      <c r="E62" s="53"/>
      <c r="F62" s="53"/>
      <c r="G62" s="53"/>
      <c r="H62" s="53"/>
      <c r="I62" s="53"/>
      <c r="J62" s="53"/>
      <c r="K62" s="53"/>
      <c r="L62" s="53"/>
      <c r="M62" s="53"/>
    </row>
    <row r="63" spans="1:13" ht="11.25" customHeight="1" x14ac:dyDescent="0.25">
      <c r="A63" s="122" t="s">
        <v>671</v>
      </c>
      <c r="B63" s="93"/>
      <c r="C63" s="102">
        <f t="shared" ref="C63:M63" si="12">C44-C50</f>
        <v>0</v>
      </c>
      <c r="D63" s="102">
        <f t="shared" si="12"/>
        <v>0</v>
      </c>
      <c r="E63" s="102">
        <f t="shared" si="12"/>
        <v>0</v>
      </c>
      <c r="F63" s="102">
        <f t="shared" si="12"/>
        <v>0</v>
      </c>
      <c r="G63" s="102">
        <f t="shared" si="12"/>
        <v>0</v>
      </c>
      <c r="H63" s="102">
        <f t="shared" si="12"/>
        <v>0</v>
      </c>
      <c r="I63" s="102">
        <f t="shared" si="12"/>
        <v>0</v>
      </c>
      <c r="J63" s="102">
        <f t="shared" si="12"/>
        <v>0</v>
      </c>
      <c r="K63" s="102">
        <f t="shared" si="12"/>
        <v>0</v>
      </c>
      <c r="L63" s="102">
        <f t="shared" si="12"/>
        <v>0</v>
      </c>
      <c r="M63" s="102">
        <f t="shared" si="12"/>
        <v>0</v>
      </c>
    </row>
    <row r="64" spans="1:13" ht="11.25" customHeight="1" x14ac:dyDescent="0.25">
      <c r="B64" s="5"/>
    </row>
    <row r="65" spans="2:2" ht="11.25" customHeight="1" x14ac:dyDescent="0.25">
      <c r="B65" s="5"/>
    </row>
    <row r="66" spans="2:2" ht="11.25" customHeight="1" x14ac:dyDescent="0.25">
      <c r="B66" s="5"/>
    </row>
    <row r="67" spans="2:2" ht="11.25" customHeight="1" x14ac:dyDescent="0.25">
      <c r="B67" s="5"/>
    </row>
    <row r="68" spans="2:2" ht="11.25" customHeight="1" x14ac:dyDescent="0.25">
      <c r="B68" s="5"/>
    </row>
    <row r="69" spans="2:2" ht="11.25" customHeight="1" x14ac:dyDescent="0.25">
      <c r="B69" s="5"/>
    </row>
    <row r="70" spans="2:2" ht="11.25" customHeight="1" x14ac:dyDescent="0.25">
      <c r="B70" s="5"/>
    </row>
    <row r="71" spans="2:2" ht="11.25" customHeight="1" x14ac:dyDescent="0.25">
      <c r="B71" s="5"/>
    </row>
    <row r="72" spans="2:2" ht="11.25" customHeight="1" x14ac:dyDescent="0.25">
      <c r="B72" s="5"/>
    </row>
    <row r="73" spans="2:2" ht="11.25" customHeight="1" x14ac:dyDescent="0.25">
      <c r="B73" s="5"/>
    </row>
    <row r="74" spans="2:2" ht="11.25" customHeight="1" x14ac:dyDescent="0.25">
      <c r="B74" s="5"/>
    </row>
    <row r="75" spans="2:2" ht="11.25" customHeight="1" x14ac:dyDescent="0.25">
      <c r="B75" s="5"/>
    </row>
    <row r="76" spans="2:2" ht="11.25" customHeight="1" x14ac:dyDescent="0.25">
      <c r="B76" s="5"/>
    </row>
    <row r="77" spans="2:2" ht="11.25" customHeight="1" x14ac:dyDescent="0.25">
      <c r="B77" s="5"/>
    </row>
    <row r="78" spans="2:2" ht="11.25" customHeight="1" x14ac:dyDescent="0.25">
      <c r="B78" s="5"/>
    </row>
    <row r="79" spans="2:2" ht="11.25" customHeight="1" x14ac:dyDescent="0.25">
      <c r="B79" s="5"/>
    </row>
    <row r="80" spans="2:2" ht="11.25" customHeight="1" x14ac:dyDescent="0.25">
      <c r="B80" s="5"/>
    </row>
    <row r="81" spans="2:2" ht="11.25" customHeight="1" x14ac:dyDescent="0.25">
      <c r="B81" s="5"/>
    </row>
    <row r="82" spans="2:2" ht="11.25" customHeight="1" x14ac:dyDescent="0.25">
      <c r="B82" s="5"/>
    </row>
    <row r="83" spans="2:2" ht="11.25" customHeight="1" x14ac:dyDescent="0.25">
      <c r="B83" s="5"/>
    </row>
    <row r="84" spans="2:2" ht="11.25" customHeight="1" x14ac:dyDescent="0.25">
      <c r="B84" s="5"/>
    </row>
    <row r="85" spans="2:2" ht="11.25" customHeight="1" x14ac:dyDescent="0.25">
      <c r="B85" s="5"/>
    </row>
    <row r="86" spans="2:2" ht="11.25" customHeight="1" x14ac:dyDescent="0.25">
      <c r="B86" s="5"/>
    </row>
    <row r="87" spans="2:2" ht="11.25" customHeight="1" x14ac:dyDescent="0.25">
      <c r="B87" s="5"/>
    </row>
    <row r="88" spans="2:2" ht="11.25" customHeight="1" x14ac:dyDescent="0.25">
      <c r="B88" s="5"/>
    </row>
    <row r="89" spans="2:2" ht="11.25" customHeight="1" x14ac:dyDescent="0.25">
      <c r="B89" s="5"/>
    </row>
    <row r="90" spans="2:2" ht="11.25" customHeight="1" x14ac:dyDescent="0.25"/>
    <row r="91" spans="2:2" ht="11.25" customHeight="1" x14ac:dyDescent="0.25"/>
    <row r="92" spans="2:2" ht="11.25" customHeight="1" x14ac:dyDescent="0.25"/>
    <row r="93" spans="2:2" ht="11.25" customHeight="1" x14ac:dyDescent="0.25"/>
    <row r="94" spans="2:2" ht="11.25" customHeight="1" x14ac:dyDescent="0.25"/>
    <row r="95" spans="2:2" ht="11.25" customHeight="1" x14ac:dyDescent="0.25"/>
    <row r="96" spans="2:2" ht="11.25" customHeight="1" x14ac:dyDescent="0.25"/>
    <row r="97" ht="11.25" customHeight="1" x14ac:dyDescent="0.25"/>
  </sheetData>
  <sheetProtection password="C646" sheet="1" objects="1" scenarios="1"/>
  <mergeCells count="9">
    <mergeCell ref="C2:K2"/>
    <mergeCell ref="A2:A4"/>
    <mergeCell ref="B2:B4"/>
    <mergeCell ref="A61:M61"/>
    <mergeCell ref="A57:M57"/>
    <mergeCell ref="A59:M59"/>
    <mergeCell ref="A55:M55"/>
    <mergeCell ref="A56:M56"/>
    <mergeCell ref="A54:M54"/>
  </mergeCells>
  <phoneticPr fontId="4" type="noConversion"/>
  <printOptions horizontalCentered="1"/>
  <pageMargins left="0.35433070866141736" right="0.15748031496062992" top="0.78740157480314965" bottom="0.59055118110236227" header="0.51181102362204722" footer="0.39370078740157483"/>
  <pageSetup paperSize="9" scale="78"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tabColor indexed="44"/>
    <pageSetUpPr fitToPage="1"/>
  </sheetPr>
  <dimension ref="A1:U132"/>
  <sheetViews>
    <sheetView showGridLines="0" zoomScaleNormal="100" workbookViewId="0">
      <pane xSplit="2" ySplit="5" topLeftCell="C6" activePane="bottomRight" state="frozen"/>
      <selection activeCell="C6" sqref="C6"/>
      <selection pane="topRight" activeCell="C6" sqref="C6"/>
      <selection pane="bottomLeft" activeCell="C6" sqref="C6"/>
      <selection pane="bottomRight" activeCell="M42" sqref="C8:M42"/>
    </sheetView>
  </sheetViews>
  <sheetFormatPr defaultColWidth="9.140625" defaultRowHeight="12.75" x14ac:dyDescent="0.25"/>
  <cols>
    <col min="1" max="1" width="36" style="5" bestFit="1" customWidth="1"/>
    <col min="2" max="2" width="3.140625" style="58" customWidth="1"/>
    <col min="3" max="13" width="8.7109375" style="5" customWidth="1"/>
    <col min="14" max="16" width="9.85546875" style="5" customWidth="1"/>
    <col min="17" max="17" width="11" style="5" bestFit="1" customWidth="1"/>
    <col min="18" max="18" width="9.5703125" style="5" customWidth="1"/>
    <col min="19" max="19" width="9.85546875" style="5" customWidth="1"/>
    <col min="20" max="22" width="9.5703125" style="5" customWidth="1"/>
    <col min="23" max="23" width="9.85546875" style="5" customWidth="1"/>
    <col min="24" max="26" width="9.5703125" style="5" customWidth="1"/>
    <col min="27" max="28" width="9.85546875" style="5" customWidth="1"/>
    <col min="29" max="16384" width="9.140625" style="5"/>
  </cols>
  <sheetData>
    <row r="1" spans="1:21" ht="13.5" x14ac:dyDescent="0.25">
      <c r="A1" s="57" t="str">
        <f>muni&amp;" - "&amp;_ADJ7&amp;" - "&amp;Date</f>
        <v>LIM354 Polokwane - Table B7 Adjustments Budget Cash Flows - 2020</v>
      </c>
      <c r="B1" s="5"/>
      <c r="C1" s="58"/>
    </row>
    <row r="2" spans="1:21" ht="38.25" x14ac:dyDescent="0.25">
      <c r="A2" s="1406" t="str">
        <f>desc</f>
        <v>Description</v>
      </c>
      <c r="B2" s="1406" t="str">
        <f>head27</f>
        <v>Ref</v>
      </c>
      <c r="C2" s="1403" t="str">
        <f>Head2</f>
        <v>Budget Year 2020/21</v>
      </c>
      <c r="D2" s="1404"/>
      <c r="E2" s="1404"/>
      <c r="F2" s="1404"/>
      <c r="G2" s="1404"/>
      <c r="H2" s="1404"/>
      <c r="I2" s="1404"/>
      <c r="J2" s="1404"/>
      <c r="K2" s="1404"/>
      <c r="L2" s="103" t="str">
        <f>Head10</f>
        <v>Budget Year +1 2021/22</v>
      </c>
      <c r="M2" s="61" t="str">
        <f>Head11</f>
        <v>Budget Year +2 2022/23</v>
      </c>
    </row>
    <row r="3" spans="1:21" ht="25.5" x14ac:dyDescent="0.25">
      <c r="A3" s="1407"/>
      <c r="B3" s="1407"/>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21" x14ac:dyDescent="0.25">
      <c r="A4" s="1407"/>
      <c r="B4" s="1407"/>
      <c r="C4" s="65"/>
      <c r="D4" s="15">
        <v>3</v>
      </c>
      <c r="E4" s="15">
        <v>4</v>
      </c>
      <c r="F4" s="15">
        <v>5</v>
      </c>
      <c r="G4" s="15">
        <v>6</v>
      </c>
      <c r="H4" s="15">
        <v>7</v>
      </c>
      <c r="I4" s="15">
        <v>8</v>
      </c>
      <c r="J4" s="15">
        <v>9</v>
      </c>
      <c r="K4" s="15">
        <v>10</v>
      </c>
      <c r="L4" s="15"/>
      <c r="M4" s="17"/>
    </row>
    <row r="5" spans="1:21" ht="13.5" x14ac:dyDescent="0.25">
      <c r="A5" s="66" t="s">
        <v>603</v>
      </c>
      <c r="B5" s="104"/>
      <c r="C5" s="67" t="s">
        <v>547</v>
      </c>
      <c r="D5" s="68" t="s">
        <v>548</v>
      </c>
      <c r="E5" s="68" t="s">
        <v>549</v>
      </c>
      <c r="F5" s="69" t="s">
        <v>550</v>
      </c>
      <c r="G5" s="69" t="s">
        <v>551</v>
      </c>
      <c r="H5" s="69" t="s">
        <v>552</v>
      </c>
      <c r="I5" s="70" t="s">
        <v>553</v>
      </c>
      <c r="J5" s="70" t="s">
        <v>554</v>
      </c>
      <c r="K5" s="70" t="s">
        <v>555</v>
      </c>
      <c r="L5" s="70"/>
      <c r="M5" s="71"/>
      <c r="N5"/>
      <c r="O5"/>
      <c r="P5"/>
      <c r="Q5"/>
      <c r="R5"/>
      <c r="S5"/>
      <c r="T5"/>
      <c r="U5"/>
    </row>
    <row r="6" spans="1:21" ht="12.75" customHeight="1" x14ac:dyDescent="0.25">
      <c r="A6" s="139" t="s">
        <v>719</v>
      </c>
      <c r="B6" s="73"/>
      <c r="C6" s="74"/>
      <c r="D6" s="75"/>
      <c r="E6" s="75"/>
      <c r="F6" s="75"/>
      <c r="G6" s="75"/>
      <c r="H6" s="75"/>
      <c r="I6" s="75"/>
      <c r="J6" s="75"/>
      <c r="K6" s="75"/>
      <c r="L6" s="75"/>
      <c r="M6" s="76"/>
      <c r="N6"/>
      <c r="O6"/>
      <c r="P6"/>
      <c r="Q6"/>
      <c r="R6"/>
      <c r="S6"/>
      <c r="T6"/>
      <c r="U6"/>
    </row>
    <row r="7" spans="1:21" ht="12.75" customHeight="1" x14ac:dyDescent="0.25">
      <c r="A7" s="139" t="s">
        <v>720</v>
      </c>
      <c r="B7" s="73"/>
      <c r="C7" s="74"/>
      <c r="D7" s="75"/>
      <c r="E7" s="75"/>
      <c r="F7" s="75"/>
      <c r="G7" s="75"/>
      <c r="H7" s="75"/>
      <c r="I7" s="75"/>
      <c r="J7" s="75"/>
      <c r="K7" s="75"/>
      <c r="L7" s="75"/>
      <c r="M7" s="76"/>
      <c r="N7"/>
      <c r="O7"/>
      <c r="P7"/>
      <c r="Q7"/>
      <c r="R7"/>
      <c r="S7"/>
      <c r="T7"/>
      <c r="U7"/>
    </row>
    <row r="8" spans="1:21" ht="12.75" customHeight="1" x14ac:dyDescent="0.25">
      <c r="A8" s="588" t="s">
        <v>557</v>
      </c>
      <c r="B8" s="73"/>
      <c r="C8" s="130">
        <v>463017935</v>
      </c>
      <c r="D8" s="109">
        <v>463017935</v>
      </c>
      <c r="E8" s="109">
        <v>0</v>
      </c>
      <c r="F8" s="109">
        <v>0</v>
      </c>
      <c r="G8" s="109">
        <v>0</v>
      </c>
      <c r="H8" s="109">
        <v>0</v>
      </c>
      <c r="I8" s="109">
        <v>0</v>
      </c>
      <c r="J8" s="75">
        <f>SUM(E8:I8)</f>
        <v>0</v>
      </c>
      <c r="K8" s="75">
        <f>IF(D8=0,C8+J8,D8+J8)</f>
        <v>463017935</v>
      </c>
      <c r="L8" s="109">
        <v>490756970.13999999</v>
      </c>
      <c r="M8" s="110">
        <v>514313305.01999998</v>
      </c>
      <c r="N8"/>
      <c r="O8"/>
      <c r="P8"/>
      <c r="Q8"/>
      <c r="R8"/>
      <c r="S8"/>
      <c r="T8"/>
      <c r="U8"/>
    </row>
    <row r="9" spans="1:21" ht="12.75" customHeight="1" x14ac:dyDescent="0.25">
      <c r="A9" s="588" t="s">
        <v>558</v>
      </c>
      <c r="B9" s="73"/>
      <c r="C9" s="130">
        <v>1566430377</v>
      </c>
      <c r="D9" s="109">
        <v>1566430377</v>
      </c>
      <c r="E9" s="109">
        <v>0</v>
      </c>
      <c r="F9" s="109">
        <v>0</v>
      </c>
      <c r="G9" s="109">
        <v>0</v>
      </c>
      <c r="H9" s="109">
        <v>0</v>
      </c>
      <c r="I9" s="109">
        <f>'SB15'!P7+'SB15'!P8+'SB15'!P9+'SB15'!P10-1566430377</f>
        <v>-37839993</v>
      </c>
      <c r="J9" s="75">
        <f t="shared" ref="J9:J14" si="0">SUM(E9:I9)</f>
        <v>-37839993</v>
      </c>
      <c r="K9" s="75">
        <f t="shared" ref="K9:K14" si="1">IF(D9=0,C9+J9,D9+J9)</f>
        <v>1528590384</v>
      </c>
      <c r="L9" s="109">
        <v>1728397850.7300003</v>
      </c>
      <c r="M9" s="110">
        <v>1886978666.6099999</v>
      </c>
      <c r="N9"/>
      <c r="O9"/>
      <c r="P9"/>
      <c r="Q9"/>
      <c r="R9"/>
      <c r="S9"/>
      <c r="T9"/>
      <c r="U9"/>
    </row>
    <row r="10" spans="1:21" ht="12.75" customHeight="1" x14ac:dyDescent="0.25">
      <c r="A10" s="588" t="s">
        <v>648</v>
      </c>
      <c r="B10" s="73"/>
      <c r="C10" s="130">
        <v>166563806</v>
      </c>
      <c r="D10" s="109">
        <v>166563806</v>
      </c>
      <c r="E10" s="109">
        <v>0</v>
      </c>
      <c r="F10" s="109">
        <v>0</v>
      </c>
      <c r="G10" s="109">
        <v>0</v>
      </c>
      <c r="H10" s="109">
        <v>0</v>
      </c>
      <c r="I10" s="109">
        <f>-166563806+159141026.1-1000000+0.900000005960464</f>
        <v>-8422779</v>
      </c>
      <c r="J10" s="75">
        <f t="shared" si="0"/>
        <v>-8422779</v>
      </c>
      <c r="K10" s="75">
        <f t="shared" si="1"/>
        <v>158141027</v>
      </c>
      <c r="L10" s="109">
        <v>177204025.31999999</v>
      </c>
      <c r="M10" s="110">
        <v>185709782.38</v>
      </c>
      <c r="N10"/>
      <c r="O10"/>
      <c r="P10"/>
      <c r="Q10"/>
      <c r="R10"/>
      <c r="S10"/>
      <c r="T10"/>
      <c r="U10"/>
    </row>
    <row r="11" spans="1:21" ht="12.75" customHeight="1" x14ac:dyDescent="0.25">
      <c r="A11" s="1331" t="s">
        <v>1797</v>
      </c>
      <c r="B11" s="73">
        <v>1</v>
      </c>
      <c r="C11" s="130">
        <v>1187428150</v>
      </c>
      <c r="D11" s="109">
        <v>1342428150</v>
      </c>
      <c r="E11" s="109">
        <v>0</v>
      </c>
      <c r="F11" s="109">
        <v>0</v>
      </c>
      <c r="G11" s="109">
        <v>0</v>
      </c>
      <c r="H11" s="109">
        <v>0</v>
      </c>
      <c r="I11" s="109">
        <v>8282372</v>
      </c>
      <c r="J11" s="75">
        <f t="shared" si="0"/>
        <v>8282372</v>
      </c>
      <c r="K11" s="75">
        <f t="shared" si="1"/>
        <v>1350710522</v>
      </c>
      <c r="L11" s="109">
        <v>1286156250</v>
      </c>
      <c r="M11" s="110">
        <v>1396716550</v>
      </c>
      <c r="N11"/>
      <c r="O11"/>
      <c r="P11"/>
      <c r="Q11"/>
      <c r="R11"/>
      <c r="S11"/>
      <c r="T11"/>
      <c r="U11"/>
    </row>
    <row r="12" spans="1:21" ht="12.75" customHeight="1" x14ac:dyDescent="0.25">
      <c r="A12" s="1331" t="s">
        <v>1798</v>
      </c>
      <c r="B12" s="73">
        <v>1</v>
      </c>
      <c r="C12" s="130">
        <f>874054850+1500000</f>
        <v>875554850</v>
      </c>
      <c r="D12" s="109">
        <v>774697850</v>
      </c>
      <c r="E12" s="109">
        <v>0</v>
      </c>
      <c r="F12" s="109">
        <v>0</v>
      </c>
      <c r="G12" s="109">
        <v>0</v>
      </c>
      <c r="H12" s="109">
        <v>0</v>
      </c>
      <c r="I12" s="109">
        <f>-8282372+1500000</f>
        <v>-6782372</v>
      </c>
      <c r="J12" s="75">
        <f t="shared" si="0"/>
        <v>-6782372</v>
      </c>
      <c r="K12" s="75">
        <f t="shared" si="1"/>
        <v>767915478</v>
      </c>
      <c r="L12" s="109">
        <v>623401750</v>
      </c>
      <c r="M12" s="110">
        <v>526841450</v>
      </c>
      <c r="N12"/>
      <c r="O12"/>
      <c r="P12"/>
      <c r="Q12"/>
      <c r="R12"/>
      <c r="S12"/>
      <c r="T12"/>
      <c r="U12"/>
    </row>
    <row r="13" spans="1:21" ht="12.75" customHeight="1" x14ac:dyDescent="0.25">
      <c r="A13" s="129" t="s">
        <v>721</v>
      </c>
      <c r="B13" s="73"/>
      <c r="C13" s="130">
        <v>97166690</v>
      </c>
      <c r="D13" s="109">
        <v>97166690</v>
      </c>
      <c r="E13" s="109">
        <v>0</v>
      </c>
      <c r="F13" s="109">
        <v>0</v>
      </c>
      <c r="G13" s="109">
        <v>0</v>
      </c>
      <c r="H13" s="109"/>
      <c r="I13" s="109">
        <f>-15000000-1306949.06+17.0600000023841-24</f>
        <v>-16306955.999999998</v>
      </c>
      <c r="J13" s="75">
        <f t="shared" si="0"/>
        <v>-16306955.999999998</v>
      </c>
      <c r="K13" s="75">
        <f t="shared" si="1"/>
        <v>80859734</v>
      </c>
      <c r="L13" s="109">
        <v>101830690.72</v>
      </c>
      <c r="M13" s="110">
        <v>106718564.48</v>
      </c>
      <c r="N13"/>
      <c r="O13"/>
      <c r="P13"/>
      <c r="Q13"/>
      <c r="R13"/>
      <c r="S13"/>
      <c r="T13"/>
      <c r="U13"/>
    </row>
    <row r="14" spans="1:21" ht="12.75" customHeight="1" x14ac:dyDescent="0.25">
      <c r="A14" s="129" t="s">
        <v>722</v>
      </c>
      <c r="B14" s="73"/>
      <c r="C14" s="130">
        <v>0</v>
      </c>
      <c r="D14" s="109">
        <v>0</v>
      </c>
      <c r="E14" s="109">
        <v>0</v>
      </c>
      <c r="F14" s="109">
        <v>0</v>
      </c>
      <c r="G14" s="109">
        <v>0</v>
      </c>
      <c r="H14" s="109">
        <v>0</v>
      </c>
      <c r="I14" s="109">
        <v>0</v>
      </c>
      <c r="J14" s="75">
        <f t="shared" si="0"/>
        <v>0</v>
      </c>
      <c r="K14" s="75">
        <f t="shared" si="1"/>
        <v>0</v>
      </c>
      <c r="L14" s="109">
        <v>0</v>
      </c>
      <c r="M14" s="110">
        <v>0</v>
      </c>
      <c r="N14"/>
      <c r="O14"/>
      <c r="P14"/>
      <c r="Q14"/>
      <c r="R14"/>
      <c r="S14"/>
      <c r="T14"/>
      <c r="U14"/>
    </row>
    <row r="15" spans="1:21" ht="12.75" customHeight="1" x14ac:dyDescent="0.25">
      <c r="A15" s="139" t="s">
        <v>723</v>
      </c>
      <c r="B15" s="73"/>
      <c r="C15" s="74"/>
      <c r="D15" s="75"/>
      <c r="E15" s="75"/>
      <c r="F15" s="75"/>
      <c r="G15" s="75"/>
      <c r="H15" s="75"/>
      <c r="I15" s="75"/>
      <c r="J15" s="75"/>
      <c r="K15" s="75"/>
      <c r="L15" s="75"/>
      <c r="M15" s="76"/>
      <c r="N15"/>
      <c r="O15"/>
      <c r="P15"/>
      <c r="Q15"/>
      <c r="R15"/>
      <c r="S15"/>
      <c r="T15"/>
      <c r="U15"/>
    </row>
    <row r="16" spans="1:21" ht="12.75" customHeight="1" x14ac:dyDescent="0.25">
      <c r="A16" s="129" t="s">
        <v>724</v>
      </c>
      <c r="B16" s="73"/>
      <c r="C16" s="130">
        <v>-3163230682</v>
      </c>
      <c r="D16" s="109">
        <v>-3408357328</v>
      </c>
      <c r="E16" s="109">
        <v>0</v>
      </c>
      <c r="F16" s="109">
        <v>0</v>
      </c>
      <c r="G16" s="109"/>
      <c r="H16" s="109">
        <v>-37920670</v>
      </c>
      <c r="I16" s="109">
        <f>26496771.4977776+575000-97044770.4977775</f>
        <v>-69972998.999999911</v>
      </c>
      <c r="J16" s="75">
        <f>SUM(E16:I16)</f>
        <v>-107893668.99999991</v>
      </c>
      <c r="K16" s="75">
        <f>IF(D16=0,C16+J16,D16+J16)</f>
        <v>-3516250997</v>
      </c>
      <c r="L16" s="109">
        <v>-3320777094.6999998</v>
      </c>
      <c r="M16" s="110">
        <v>-3411570097</v>
      </c>
      <c r="N16"/>
      <c r="O16"/>
      <c r="P16"/>
      <c r="Q16"/>
      <c r="R16"/>
      <c r="S16"/>
      <c r="T16"/>
      <c r="U16"/>
    </row>
    <row r="17" spans="1:21" ht="12.75" customHeight="1" x14ac:dyDescent="0.25">
      <c r="A17" s="30" t="s">
        <v>565</v>
      </c>
      <c r="B17" s="73"/>
      <c r="C17" s="130">
        <v>-97987467</v>
      </c>
      <c r="D17" s="109">
        <v>-97987467</v>
      </c>
      <c r="E17" s="109">
        <v>0</v>
      </c>
      <c r="F17" s="109">
        <v>0</v>
      </c>
      <c r="G17" s="109">
        <v>0</v>
      </c>
      <c r="H17" s="109">
        <v>0</v>
      </c>
      <c r="I17" s="109">
        <v>33399373</v>
      </c>
      <c r="J17" s="75">
        <f>SUM(E17:I17)</f>
        <v>33399373</v>
      </c>
      <c r="K17" s="75">
        <f>IF(D17=0,C17+J17,D17+J17)</f>
        <v>-64588094</v>
      </c>
      <c r="L17" s="109">
        <v>-118064572</v>
      </c>
      <c r="M17" s="110">
        <v>-118064572</v>
      </c>
      <c r="N17"/>
      <c r="O17"/>
      <c r="P17"/>
      <c r="Q17"/>
      <c r="R17"/>
      <c r="S17"/>
      <c r="T17"/>
      <c r="U17"/>
    </row>
    <row r="18" spans="1:21" ht="12.75" customHeight="1" x14ac:dyDescent="0.25">
      <c r="A18" s="30" t="s">
        <v>1131</v>
      </c>
      <c r="B18" s="73">
        <v>1</v>
      </c>
      <c r="C18" s="130">
        <v>-10925008</v>
      </c>
      <c r="D18" s="109">
        <v>-10925008</v>
      </c>
      <c r="E18" s="109">
        <v>0</v>
      </c>
      <c r="F18" s="109">
        <v>0</v>
      </c>
      <c r="G18" s="109">
        <v>0</v>
      </c>
      <c r="H18" s="109">
        <v>0</v>
      </c>
      <c r="I18" s="109">
        <f>-'B4-FinPerf RE'!I34-575000</f>
        <v>-28575000</v>
      </c>
      <c r="J18" s="75">
        <f>SUM(E18:I18)</f>
        <v>-28575000</v>
      </c>
      <c r="K18" s="75">
        <f>IF(D18=0,C18+J18,D18+J18)</f>
        <v>-39500008</v>
      </c>
      <c r="L18" s="109">
        <v>-10925007.6</v>
      </c>
      <c r="M18" s="110">
        <v>-10925007.6</v>
      </c>
      <c r="N18"/>
      <c r="O18"/>
      <c r="P18"/>
      <c r="Q18"/>
      <c r="R18"/>
      <c r="S18"/>
      <c r="T18"/>
      <c r="U18"/>
    </row>
    <row r="19" spans="1:21" ht="12.75" customHeight="1" x14ac:dyDescent="0.25">
      <c r="A19" s="162" t="s">
        <v>725</v>
      </c>
      <c r="B19" s="79"/>
      <c r="C19" s="80">
        <f>SUM(C8:C14)+SUM(C16:C18)</f>
        <v>1084018651</v>
      </c>
      <c r="D19" s="81">
        <f t="shared" ref="D19:I19" si="2">SUM(D8:D14)+SUM(D16:D18)</f>
        <v>893035005</v>
      </c>
      <c r="E19" s="81">
        <f t="shared" si="2"/>
        <v>0</v>
      </c>
      <c r="F19" s="81">
        <f t="shared" si="2"/>
        <v>0</v>
      </c>
      <c r="G19" s="81">
        <f t="shared" si="2"/>
        <v>0</v>
      </c>
      <c r="H19" s="81">
        <f t="shared" si="2"/>
        <v>-37920670</v>
      </c>
      <c r="I19" s="81">
        <f t="shared" si="2"/>
        <v>-126218353.99999991</v>
      </c>
      <c r="J19" s="81">
        <f>SUM(J8:J18)</f>
        <v>-164139023.99999991</v>
      </c>
      <c r="K19" s="81">
        <f>SUM(K8:K18)</f>
        <v>728895981</v>
      </c>
      <c r="L19" s="80">
        <f>SUM(L8:L14)+SUM(L16:L18)</f>
        <v>957980862.61000109</v>
      </c>
      <c r="M19" s="80">
        <f>SUM(M8:M14)+SUM(M16:M18)</f>
        <v>1076718641.8899999</v>
      </c>
      <c r="N19"/>
      <c r="O19"/>
      <c r="P19"/>
      <c r="Q19"/>
      <c r="R19"/>
      <c r="S19"/>
      <c r="T19"/>
      <c r="U19"/>
    </row>
    <row r="20" spans="1:21" ht="5.0999999999999996" customHeight="1" x14ac:dyDescent="0.25">
      <c r="A20" s="136"/>
      <c r="B20" s="73"/>
      <c r="C20" s="74"/>
      <c r="D20" s="75"/>
      <c r="E20" s="75"/>
      <c r="F20" s="75"/>
      <c r="G20" s="75"/>
      <c r="H20" s="75"/>
      <c r="I20" s="75"/>
      <c r="J20" s="75"/>
      <c r="K20" s="75"/>
      <c r="L20" s="75"/>
      <c r="M20" s="76"/>
      <c r="N20"/>
      <c r="O20"/>
      <c r="P20"/>
      <c r="Q20"/>
      <c r="R20"/>
      <c r="S20"/>
      <c r="T20"/>
      <c r="U20"/>
    </row>
    <row r="21" spans="1:21" ht="12.75" customHeight="1" x14ac:dyDescent="0.25">
      <c r="A21" s="139" t="s">
        <v>726</v>
      </c>
      <c r="B21" s="73"/>
      <c r="C21" s="74"/>
      <c r="D21" s="75"/>
      <c r="E21" s="75"/>
      <c r="F21" s="75"/>
      <c r="G21" s="75"/>
      <c r="H21" s="75"/>
      <c r="I21" s="75"/>
      <c r="J21" s="75"/>
      <c r="K21" s="75"/>
      <c r="L21" s="75"/>
      <c r="M21" s="76"/>
      <c r="O21"/>
      <c r="P21"/>
      <c r="Q21"/>
      <c r="R21"/>
      <c r="S21"/>
      <c r="T21"/>
      <c r="U21"/>
    </row>
    <row r="22" spans="1:21" ht="12.75" customHeight="1" x14ac:dyDescent="0.25">
      <c r="A22" s="139" t="s">
        <v>720</v>
      </c>
      <c r="B22" s="73"/>
      <c r="C22" s="74"/>
      <c r="D22" s="75"/>
      <c r="E22" s="75"/>
      <c r="F22" s="75"/>
      <c r="G22" s="75"/>
      <c r="H22" s="75"/>
      <c r="I22" s="75"/>
      <c r="J22" s="75"/>
      <c r="K22" s="75"/>
      <c r="L22" s="75"/>
      <c r="M22" s="76"/>
      <c r="O22"/>
      <c r="P22"/>
      <c r="Q22"/>
      <c r="R22"/>
      <c r="S22"/>
      <c r="T22"/>
      <c r="U22"/>
    </row>
    <row r="23" spans="1:21" ht="12.75" customHeight="1" x14ac:dyDescent="0.25">
      <c r="A23" s="129" t="s">
        <v>727</v>
      </c>
      <c r="B23" s="73"/>
      <c r="C23" s="130">
        <v>0</v>
      </c>
      <c r="D23" s="130">
        <v>0</v>
      </c>
      <c r="E23" s="130">
        <v>0</v>
      </c>
      <c r="F23" s="130">
        <v>0</v>
      </c>
      <c r="G23" s="130">
        <v>0</v>
      </c>
      <c r="H23" s="130">
        <v>0</v>
      </c>
      <c r="I23" s="130">
        <v>0</v>
      </c>
      <c r="J23" s="75">
        <f>SUM(E23:I23)</f>
        <v>0</v>
      </c>
      <c r="K23" s="75">
        <f>IF(D23=0,C23+J23,D23+J23)</f>
        <v>0</v>
      </c>
      <c r="L23" s="109">
        <v>4750000</v>
      </c>
      <c r="M23" s="110">
        <v>4750000</v>
      </c>
      <c r="O23"/>
      <c r="P23"/>
      <c r="Q23"/>
      <c r="R23"/>
      <c r="S23"/>
      <c r="T23"/>
      <c r="U23"/>
    </row>
    <row r="24" spans="1:21" ht="1.9" customHeight="1" x14ac:dyDescent="0.25">
      <c r="A24" s="129"/>
      <c r="B24" s="73"/>
      <c r="C24" s="131"/>
      <c r="D24" s="132"/>
      <c r="E24" s="132"/>
      <c r="F24" s="132"/>
      <c r="G24" s="132"/>
      <c r="H24" s="132"/>
      <c r="I24" s="132"/>
      <c r="J24" s="132"/>
      <c r="K24" s="132"/>
      <c r="L24" s="132"/>
      <c r="M24" s="133"/>
      <c r="O24"/>
      <c r="P24"/>
      <c r="Q24"/>
      <c r="R24"/>
      <c r="S24"/>
      <c r="T24"/>
      <c r="U24"/>
    </row>
    <row r="25" spans="1:21" ht="12.75" customHeight="1" x14ac:dyDescent="0.25">
      <c r="A25" s="1331" t="s">
        <v>1799</v>
      </c>
      <c r="B25" s="115"/>
      <c r="C25" s="130">
        <v>0</v>
      </c>
      <c r="D25" s="130">
        <v>0</v>
      </c>
      <c r="E25" s="130">
        <v>0</v>
      </c>
      <c r="F25" s="130">
        <v>0</v>
      </c>
      <c r="G25" s="130">
        <v>0</v>
      </c>
      <c r="H25" s="130">
        <v>0</v>
      </c>
      <c r="I25" s="130">
        <v>0</v>
      </c>
      <c r="J25" s="75">
        <f>SUM(E25:I25)</f>
        <v>0</v>
      </c>
      <c r="K25" s="75">
        <f>IF(D25=0,C25+J25,D25+J25)</f>
        <v>0</v>
      </c>
      <c r="L25" s="109">
        <v>0</v>
      </c>
      <c r="M25" s="110">
        <v>0</v>
      </c>
      <c r="O25"/>
      <c r="P25"/>
      <c r="Q25"/>
      <c r="R25"/>
      <c r="S25"/>
      <c r="T25"/>
      <c r="U25"/>
    </row>
    <row r="26" spans="1:21" ht="12.75" customHeight="1" x14ac:dyDescent="0.25">
      <c r="A26" s="129" t="s">
        <v>732</v>
      </c>
      <c r="B26" s="73"/>
      <c r="C26" s="130">
        <v>0</v>
      </c>
      <c r="D26" s="109">
        <v>0</v>
      </c>
      <c r="E26" s="109">
        <v>0</v>
      </c>
      <c r="F26" s="109">
        <v>0</v>
      </c>
      <c r="G26" s="109">
        <v>0</v>
      </c>
      <c r="H26" s="109">
        <v>0</v>
      </c>
      <c r="I26" s="109">
        <v>0</v>
      </c>
      <c r="J26" s="75">
        <f>SUM(E26:I26)</f>
        <v>0</v>
      </c>
      <c r="K26" s="75">
        <f>IF(D26=0,C26+J26,D26+J26)</f>
        <v>0</v>
      </c>
      <c r="L26" s="109">
        <v>0</v>
      </c>
      <c r="M26" s="110">
        <v>0</v>
      </c>
      <c r="O26"/>
      <c r="P26"/>
      <c r="Q26"/>
      <c r="R26"/>
      <c r="S26"/>
      <c r="T26"/>
      <c r="U26"/>
    </row>
    <row r="27" spans="1:21" ht="12.75" customHeight="1" x14ac:dyDescent="0.25">
      <c r="A27" s="139" t="s">
        <v>723</v>
      </c>
      <c r="B27" s="73"/>
      <c r="C27" s="74"/>
      <c r="D27" s="75"/>
      <c r="E27" s="75"/>
      <c r="F27" s="75"/>
      <c r="G27" s="75"/>
      <c r="H27" s="75"/>
      <c r="I27" s="75"/>
      <c r="J27" s="75"/>
      <c r="K27" s="75"/>
      <c r="L27" s="75"/>
      <c r="M27" s="76"/>
      <c r="O27"/>
      <c r="P27"/>
      <c r="Q27"/>
      <c r="R27"/>
      <c r="S27"/>
      <c r="T27"/>
      <c r="U27"/>
    </row>
    <row r="28" spans="1:21" ht="12.75" customHeight="1" x14ac:dyDescent="0.25">
      <c r="A28" s="129" t="s">
        <v>733</v>
      </c>
      <c r="B28" s="73"/>
      <c r="C28" s="130">
        <f>-1165453724+4</f>
        <v>-1165453720</v>
      </c>
      <c r="D28" s="109">
        <v>-1195096720</v>
      </c>
      <c r="E28" s="109">
        <v>0</v>
      </c>
      <c r="F28" s="109">
        <v>0</v>
      </c>
      <c r="G28" s="109">
        <v>0</v>
      </c>
      <c r="H28" s="109">
        <f>-'B5-Capex'!H76</f>
        <v>-62291861</v>
      </c>
      <c r="I28" s="109">
        <f>-'B5-Capex'!I76-5298282.64502501+364240.103073359-4.45804834365844</f>
        <v>251468851</v>
      </c>
      <c r="J28" s="75">
        <f>SUM(E28:I28)</f>
        <v>189176990</v>
      </c>
      <c r="K28" s="75">
        <f>IF(D28=0,C28+J28,D28+J28)</f>
        <v>-1005919730</v>
      </c>
      <c r="L28" s="109">
        <v>-706307197.5</v>
      </c>
      <c r="M28" s="110">
        <v>-622559033.88999999</v>
      </c>
      <c r="O28"/>
      <c r="P28"/>
      <c r="Q28"/>
      <c r="R28"/>
      <c r="S28"/>
      <c r="T28"/>
      <c r="U28"/>
    </row>
    <row r="29" spans="1:21" ht="12.75" customHeight="1" x14ac:dyDescent="0.25">
      <c r="A29" s="162" t="s">
        <v>734</v>
      </c>
      <c r="B29" s="79"/>
      <c r="C29" s="80">
        <f>+C23+C25+C26+C28</f>
        <v>-1165453720</v>
      </c>
      <c r="D29" s="81">
        <f t="shared" ref="D29:M29" si="3">+D23+D25+D26+D28</f>
        <v>-1195096720</v>
      </c>
      <c r="E29" s="81">
        <f t="shared" si="3"/>
        <v>0</v>
      </c>
      <c r="F29" s="81">
        <f t="shared" si="3"/>
        <v>0</v>
      </c>
      <c r="G29" s="81">
        <f t="shared" si="3"/>
        <v>0</v>
      </c>
      <c r="H29" s="81">
        <f t="shared" si="3"/>
        <v>-62291861</v>
      </c>
      <c r="I29" s="81">
        <f t="shared" si="3"/>
        <v>251468851</v>
      </c>
      <c r="J29" s="81">
        <f t="shared" si="3"/>
        <v>189176990</v>
      </c>
      <c r="K29" s="81">
        <f t="shared" si="3"/>
        <v>-1005919730</v>
      </c>
      <c r="L29" s="81">
        <f t="shared" si="3"/>
        <v>-701557197.5</v>
      </c>
      <c r="M29" s="82">
        <f t="shared" si="3"/>
        <v>-617809033.88999999</v>
      </c>
      <c r="O29"/>
      <c r="P29"/>
      <c r="Q29"/>
      <c r="R29"/>
      <c r="S29"/>
      <c r="T29"/>
      <c r="U29"/>
    </row>
    <row r="30" spans="1:21" ht="5.0999999999999996" customHeight="1" x14ac:dyDescent="0.25">
      <c r="A30" s="136"/>
      <c r="B30" s="73"/>
      <c r="C30" s="74"/>
      <c r="D30" s="75"/>
      <c r="E30" s="75"/>
      <c r="F30" s="75"/>
      <c r="G30" s="75"/>
      <c r="H30" s="75"/>
      <c r="I30" s="75"/>
      <c r="J30" s="75"/>
      <c r="K30" s="75"/>
      <c r="L30" s="75"/>
      <c r="M30" s="76"/>
      <c r="O30"/>
      <c r="P30"/>
      <c r="Q30"/>
      <c r="R30"/>
      <c r="S30"/>
      <c r="T30"/>
      <c r="U30"/>
    </row>
    <row r="31" spans="1:21" ht="12.75" customHeight="1" x14ac:dyDescent="0.25">
      <c r="A31" s="139" t="s">
        <v>735</v>
      </c>
      <c r="B31" s="73"/>
      <c r="C31" s="74"/>
      <c r="D31" s="75"/>
      <c r="E31" s="75"/>
      <c r="F31" s="75"/>
      <c r="G31" s="75"/>
      <c r="H31" s="75"/>
      <c r="I31" s="75"/>
      <c r="J31" s="75"/>
      <c r="K31" s="75"/>
      <c r="L31" s="75"/>
      <c r="M31" s="76"/>
      <c r="O31"/>
      <c r="P31"/>
      <c r="Q31"/>
      <c r="R31"/>
      <c r="S31"/>
      <c r="T31"/>
      <c r="U31"/>
    </row>
    <row r="32" spans="1:21" ht="12.75" customHeight="1" x14ac:dyDescent="0.25">
      <c r="A32" s="139" t="s">
        <v>720</v>
      </c>
      <c r="B32" s="73"/>
      <c r="C32" s="74"/>
      <c r="D32" s="75"/>
      <c r="E32" s="75"/>
      <c r="F32" s="75"/>
      <c r="G32" s="75"/>
      <c r="H32" s="75"/>
      <c r="I32" s="75"/>
      <c r="J32" s="75"/>
      <c r="K32" s="75"/>
      <c r="L32" s="75"/>
      <c r="M32" s="76"/>
      <c r="O32"/>
      <c r="P32"/>
      <c r="Q32"/>
      <c r="R32"/>
      <c r="S32"/>
      <c r="T32"/>
      <c r="U32"/>
    </row>
    <row r="33" spans="1:21" ht="12.75" customHeight="1" x14ac:dyDescent="0.25">
      <c r="A33" s="129" t="s">
        <v>736</v>
      </c>
      <c r="B33" s="73"/>
      <c r="C33" s="130">
        <v>0</v>
      </c>
      <c r="D33" s="109">
        <v>0</v>
      </c>
      <c r="E33" s="109">
        <v>0</v>
      </c>
      <c r="F33" s="109">
        <v>0</v>
      </c>
      <c r="G33" s="109">
        <v>0</v>
      </c>
      <c r="H33" s="109">
        <v>0</v>
      </c>
      <c r="I33" s="109">
        <v>0</v>
      </c>
      <c r="J33" s="75">
        <f>SUM(E33:I33)</f>
        <v>0</v>
      </c>
      <c r="K33" s="75">
        <f>IF(D33=0,C33+J33,D33+J33)</f>
        <v>0</v>
      </c>
      <c r="L33" s="109">
        <v>0</v>
      </c>
      <c r="M33" s="110">
        <v>0</v>
      </c>
      <c r="O33"/>
      <c r="P33"/>
      <c r="Q33"/>
      <c r="R33"/>
      <c r="S33"/>
      <c r="T33"/>
      <c r="U33"/>
    </row>
    <row r="34" spans="1:21" ht="12.75" customHeight="1" x14ac:dyDescent="0.25">
      <c r="A34" s="129" t="s">
        <v>737</v>
      </c>
      <c r="B34" s="73"/>
      <c r="C34" s="130">
        <v>234922537</v>
      </c>
      <c r="D34" s="109">
        <v>234922537</v>
      </c>
      <c r="E34" s="109">
        <v>0</v>
      </c>
      <c r="F34" s="109">
        <v>0</v>
      </c>
      <c r="G34" s="109">
        <v>0</v>
      </c>
      <c r="H34" s="109">
        <v>0</v>
      </c>
      <c r="I34" s="109">
        <v>-234922537</v>
      </c>
      <c r="J34" s="75">
        <f>SUM(E34:I34)</f>
        <v>-234922537</v>
      </c>
      <c r="K34" s="75">
        <f>IF(D34=0,C34+J34,D34+J34)</f>
        <v>0</v>
      </c>
      <c r="L34" s="109"/>
      <c r="M34" s="110"/>
      <c r="O34"/>
      <c r="P34"/>
      <c r="Q34"/>
      <c r="R34"/>
      <c r="S34"/>
      <c r="T34"/>
      <c r="U34"/>
    </row>
    <row r="35" spans="1:21" ht="12.75" customHeight="1" x14ac:dyDescent="0.25">
      <c r="A35" s="129" t="s">
        <v>1132</v>
      </c>
      <c r="B35" s="73"/>
      <c r="C35" s="130">
        <v>0</v>
      </c>
      <c r="D35" s="109">
        <v>0</v>
      </c>
      <c r="E35" s="109">
        <v>0</v>
      </c>
      <c r="F35" s="109">
        <v>0</v>
      </c>
      <c r="G35" s="109">
        <v>0</v>
      </c>
      <c r="H35" s="109">
        <v>0</v>
      </c>
      <c r="I35" s="109">
        <v>0</v>
      </c>
      <c r="J35" s="75">
        <f>SUM(E35:I35)</f>
        <v>0</v>
      </c>
      <c r="K35" s="75">
        <f>IF(D35=0,C35+J35,D35+J35)</f>
        <v>0</v>
      </c>
      <c r="L35" s="109">
        <v>0</v>
      </c>
      <c r="M35" s="110">
        <v>0</v>
      </c>
      <c r="O35"/>
      <c r="P35"/>
      <c r="Q35"/>
      <c r="R35"/>
      <c r="S35"/>
      <c r="T35"/>
      <c r="U35"/>
    </row>
    <row r="36" spans="1:21" ht="12.75" customHeight="1" x14ac:dyDescent="0.25">
      <c r="A36" s="139" t="s">
        <v>723</v>
      </c>
      <c r="B36" s="73"/>
      <c r="C36" s="74"/>
      <c r="D36" s="75"/>
      <c r="E36" s="75"/>
      <c r="F36" s="75"/>
      <c r="G36" s="75"/>
      <c r="H36" s="75"/>
      <c r="I36" s="75"/>
      <c r="J36" s="75"/>
      <c r="K36" s="75"/>
      <c r="L36" s="75"/>
      <c r="M36" s="76"/>
      <c r="O36"/>
      <c r="P36"/>
      <c r="Q36"/>
      <c r="R36"/>
      <c r="S36"/>
      <c r="T36"/>
      <c r="U36"/>
    </row>
    <row r="37" spans="1:21" ht="12.75" customHeight="1" x14ac:dyDescent="0.25">
      <c r="A37" s="129" t="s">
        <v>738</v>
      </c>
      <c r="B37" s="73"/>
      <c r="C37" s="130">
        <v>-64205000</v>
      </c>
      <c r="D37" s="109">
        <v>-64205000</v>
      </c>
      <c r="E37" s="109">
        <v>0</v>
      </c>
      <c r="F37" s="109">
        <v>0</v>
      </c>
      <c r="G37" s="109">
        <v>0</v>
      </c>
      <c r="H37" s="109">
        <v>0</v>
      </c>
      <c r="I37" s="109">
        <v>0</v>
      </c>
      <c r="J37" s="75">
        <f>SUM(E37:I37)</f>
        <v>0</v>
      </c>
      <c r="K37" s="75">
        <f>IF(D37=0,C37+J37,D37+J37)</f>
        <v>-64205000</v>
      </c>
      <c r="L37" s="109">
        <v>-62760000</v>
      </c>
      <c r="M37" s="110">
        <v>-162760000</v>
      </c>
      <c r="O37"/>
      <c r="P37"/>
      <c r="Q37"/>
      <c r="R37"/>
      <c r="S37"/>
      <c r="T37"/>
      <c r="U37"/>
    </row>
    <row r="38" spans="1:21" ht="12.75" customHeight="1" x14ac:dyDescent="0.25">
      <c r="A38" s="162" t="s">
        <v>739</v>
      </c>
      <c r="B38" s="79"/>
      <c r="C38" s="80">
        <f>SUM(C33:C35)+C37</f>
        <v>170717537</v>
      </c>
      <c r="D38" s="81">
        <f t="shared" ref="D38:I38" si="4">SUM(D33:D35)+D37</f>
        <v>170717537</v>
      </c>
      <c r="E38" s="81">
        <f t="shared" si="4"/>
        <v>0</v>
      </c>
      <c r="F38" s="81">
        <f t="shared" si="4"/>
        <v>0</v>
      </c>
      <c r="G38" s="81">
        <f t="shared" si="4"/>
        <v>0</v>
      </c>
      <c r="H38" s="81">
        <f t="shared" si="4"/>
        <v>0</v>
      </c>
      <c r="I38" s="81">
        <f t="shared" si="4"/>
        <v>-234922537</v>
      </c>
      <c r="J38" s="81">
        <f>SUM(J33:J37)</f>
        <v>-234922537</v>
      </c>
      <c r="K38" s="81">
        <f>SUM(K33:K37)</f>
        <v>-64205000</v>
      </c>
      <c r="L38" s="81">
        <f>SUM(L33:L35)+L37</f>
        <v>-62760000</v>
      </c>
      <c r="M38" s="82">
        <f>SUM(M33:M35)+M37</f>
        <v>-162760000</v>
      </c>
      <c r="O38"/>
      <c r="P38"/>
      <c r="Q38"/>
      <c r="R38"/>
      <c r="S38"/>
      <c r="T38"/>
      <c r="U38"/>
    </row>
    <row r="39" spans="1:21" ht="5.0999999999999996" customHeight="1" x14ac:dyDescent="0.25">
      <c r="A39" s="136"/>
      <c r="B39" s="73"/>
      <c r="C39" s="74"/>
      <c r="D39" s="75"/>
      <c r="E39" s="75"/>
      <c r="F39" s="75"/>
      <c r="G39" s="75"/>
      <c r="H39" s="75"/>
      <c r="I39" s="75"/>
      <c r="J39" s="75"/>
      <c r="K39" s="75"/>
      <c r="L39" s="75"/>
      <c r="M39" s="76"/>
      <c r="O39"/>
      <c r="P39"/>
      <c r="Q39"/>
      <c r="R39"/>
      <c r="S39"/>
      <c r="T39"/>
      <c r="U39"/>
    </row>
    <row r="40" spans="1:21" ht="12.75" customHeight="1" x14ac:dyDescent="0.25">
      <c r="A40" s="139" t="s">
        <v>740</v>
      </c>
      <c r="B40" s="73"/>
      <c r="C40" s="140">
        <f>C19+C29+C38</f>
        <v>89282468</v>
      </c>
      <c r="D40" s="141">
        <f t="shared" ref="D40:M40" si="5">D19+D29+D38</f>
        <v>-131344178</v>
      </c>
      <c r="E40" s="141">
        <f t="shared" si="5"/>
        <v>0</v>
      </c>
      <c r="F40" s="141">
        <f t="shared" si="5"/>
        <v>0</v>
      </c>
      <c r="G40" s="141">
        <f t="shared" si="5"/>
        <v>0</v>
      </c>
      <c r="H40" s="141">
        <f t="shared" si="5"/>
        <v>-100212531</v>
      </c>
      <c r="I40" s="141">
        <f t="shared" si="5"/>
        <v>-109672039.99999991</v>
      </c>
      <c r="J40" s="141">
        <f t="shared" si="5"/>
        <v>-209884570.99999991</v>
      </c>
      <c r="K40" s="141">
        <f t="shared" si="5"/>
        <v>-341228749</v>
      </c>
      <c r="L40" s="141">
        <f t="shared" si="5"/>
        <v>193663665.11000109</v>
      </c>
      <c r="M40" s="142">
        <f t="shared" si="5"/>
        <v>296149607.99999988</v>
      </c>
      <c r="O40"/>
      <c r="P40"/>
      <c r="Q40"/>
      <c r="R40"/>
      <c r="S40"/>
      <c r="T40"/>
      <c r="U40"/>
    </row>
    <row r="41" spans="1:21" ht="12.75" customHeight="1" x14ac:dyDescent="0.25">
      <c r="A41" s="129" t="s">
        <v>741</v>
      </c>
      <c r="B41" s="73">
        <v>2</v>
      </c>
      <c r="C41" s="130">
        <v>106569085</v>
      </c>
      <c r="D41" s="109">
        <v>414597082.76999998</v>
      </c>
      <c r="E41" s="109">
        <v>0</v>
      </c>
      <c r="F41" s="109">
        <v>0</v>
      </c>
      <c r="G41" s="109">
        <v>0</v>
      </c>
      <c r="H41" s="109">
        <v>0</v>
      </c>
      <c r="I41" s="109">
        <v>0</v>
      </c>
      <c r="J41" s="173">
        <f>SUM(E41:I41)</f>
        <v>0</v>
      </c>
      <c r="K41" s="75">
        <f>IF(D41=0,C41+J41,D41+J41)</f>
        <v>414597082.76999998</v>
      </c>
      <c r="L41" s="109">
        <f>K42</f>
        <v>73368333.769999981</v>
      </c>
      <c r="M41" s="110">
        <f>L42</f>
        <v>267031998.88000107</v>
      </c>
      <c r="N41"/>
      <c r="O41"/>
      <c r="P41"/>
      <c r="Q41"/>
      <c r="R41"/>
      <c r="S41"/>
      <c r="T41"/>
      <c r="U41"/>
    </row>
    <row r="42" spans="1:21" ht="12.75" customHeight="1" x14ac:dyDescent="0.25">
      <c r="A42" s="175" t="s">
        <v>742</v>
      </c>
      <c r="B42" s="88">
        <v>2</v>
      </c>
      <c r="C42" s="176">
        <f>C40+C41</f>
        <v>195851553</v>
      </c>
      <c r="D42" s="177">
        <f t="shared" ref="D42:J42" si="6">D40+D41</f>
        <v>283252904.76999998</v>
      </c>
      <c r="E42" s="177">
        <f t="shared" si="6"/>
        <v>0</v>
      </c>
      <c r="F42" s="177">
        <f t="shared" si="6"/>
        <v>0</v>
      </c>
      <c r="G42" s="177">
        <f t="shared" si="6"/>
        <v>0</v>
      </c>
      <c r="H42" s="177">
        <f t="shared" si="6"/>
        <v>-100212531</v>
      </c>
      <c r="I42" s="177">
        <f t="shared" si="6"/>
        <v>-109672039.99999991</v>
      </c>
      <c r="J42" s="177">
        <f t="shared" si="6"/>
        <v>-209884570.99999991</v>
      </c>
      <c r="K42" s="177">
        <f>K40+K41</f>
        <v>73368333.769999981</v>
      </c>
      <c r="L42" s="177">
        <f>L40+L41</f>
        <v>267031998.88000107</v>
      </c>
      <c r="M42" s="178">
        <f>M40+M41</f>
        <v>563181606.88000095</v>
      </c>
      <c r="N42"/>
      <c r="O42"/>
      <c r="P42"/>
      <c r="Q42"/>
      <c r="R42"/>
      <c r="S42"/>
      <c r="T42"/>
      <c r="U42"/>
    </row>
    <row r="43" spans="1:21" ht="12.75" customHeight="1" x14ac:dyDescent="0.25">
      <c r="A43" s="158" t="str">
        <f>head27a</f>
        <v>References</v>
      </c>
      <c r="B43" s="93"/>
      <c r="C43" s="179"/>
      <c r="D43" s="179"/>
      <c r="E43" s="179"/>
      <c r="F43" s="179"/>
      <c r="G43" s="179"/>
      <c r="H43" s="179"/>
      <c r="I43" s="179"/>
      <c r="J43" s="179"/>
      <c r="K43" s="179"/>
      <c r="L43" s="179"/>
      <c r="M43" s="179"/>
      <c r="N43"/>
      <c r="O43"/>
      <c r="P43"/>
      <c r="Q43"/>
      <c r="R43"/>
      <c r="S43"/>
      <c r="T43"/>
      <c r="U43"/>
    </row>
    <row r="44" spans="1:21" ht="12.75" customHeight="1" x14ac:dyDescent="0.25">
      <c r="A44" s="120" t="s">
        <v>1042</v>
      </c>
      <c r="B44" s="93"/>
      <c r="C44" s="96"/>
      <c r="D44" s="94"/>
      <c r="E44" s="96"/>
      <c r="F44" s="96"/>
      <c r="G44" s="96"/>
      <c r="H44" s="96"/>
      <c r="I44" s="96"/>
      <c r="J44" s="96"/>
      <c r="K44" s="96"/>
      <c r="L44" s="96"/>
      <c r="M44" s="96"/>
      <c r="N44"/>
      <c r="O44"/>
      <c r="P44"/>
      <c r="Q44"/>
      <c r="R44"/>
      <c r="S44"/>
      <c r="T44"/>
      <c r="U44"/>
    </row>
    <row r="45" spans="1:21" ht="12.75" customHeight="1" x14ac:dyDescent="0.25">
      <c r="A45" s="120" t="s">
        <v>1043</v>
      </c>
      <c r="B45" s="93"/>
      <c r="C45" s="96"/>
      <c r="D45" s="94"/>
      <c r="E45" s="96"/>
      <c r="F45" s="96"/>
      <c r="G45" s="96"/>
      <c r="H45" s="96"/>
      <c r="I45" s="96"/>
      <c r="J45" s="96"/>
      <c r="K45" s="96"/>
      <c r="L45" s="96"/>
      <c r="M45" s="96"/>
      <c r="N45"/>
      <c r="O45"/>
      <c r="P45"/>
      <c r="Q45"/>
      <c r="R45"/>
      <c r="S45"/>
      <c r="T45"/>
      <c r="U45"/>
    </row>
    <row r="46" spans="1:21" ht="12.75" customHeight="1" x14ac:dyDescent="0.25">
      <c r="A46" s="1408" t="s">
        <v>986</v>
      </c>
      <c r="B46" s="1408"/>
      <c r="C46" s="1408"/>
      <c r="D46" s="1408"/>
      <c r="E46" s="1408"/>
      <c r="F46" s="1408"/>
      <c r="G46" s="1408"/>
      <c r="H46" s="1408"/>
      <c r="I46" s="1408"/>
      <c r="J46" s="1408"/>
      <c r="K46" s="1408"/>
      <c r="L46" s="1408"/>
      <c r="M46" s="1408"/>
      <c r="N46"/>
      <c r="O46"/>
      <c r="P46"/>
      <c r="Q46"/>
      <c r="R46"/>
      <c r="S46"/>
      <c r="T46"/>
      <c r="U46"/>
    </row>
    <row r="47" spans="1:21" ht="25.5" customHeight="1" x14ac:dyDescent="0.25">
      <c r="A47" s="1408" t="s">
        <v>1030</v>
      </c>
      <c r="B47" s="1408"/>
      <c r="C47" s="1408"/>
      <c r="D47" s="1408"/>
      <c r="E47" s="1408"/>
      <c r="F47" s="1408"/>
      <c r="G47" s="1408"/>
      <c r="H47" s="1408"/>
      <c r="I47" s="1408"/>
      <c r="J47" s="1408"/>
      <c r="K47" s="1408"/>
      <c r="L47" s="1408"/>
      <c r="M47" s="1408"/>
      <c r="N47"/>
      <c r="O47"/>
      <c r="P47"/>
      <c r="Q47"/>
      <c r="R47"/>
      <c r="S47"/>
      <c r="T47"/>
      <c r="U47"/>
    </row>
    <row r="48" spans="1:21" ht="12.75" customHeight="1" x14ac:dyDescent="0.25">
      <c r="A48" s="1402" t="s">
        <v>1031</v>
      </c>
      <c r="B48" s="1402"/>
      <c r="C48" s="1402"/>
      <c r="D48" s="1402"/>
      <c r="E48" s="1402"/>
      <c r="F48" s="1402"/>
      <c r="G48" s="1402"/>
      <c r="H48" s="1402"/>
      <c r="I48" s="1402"/>
      <c r="J48" s="1402"/>
      <c r="K48" s="1402"/>
      <c r="L48" s="1402"/>
      <c r="M48" s="1402"/>
      <c r="N48"/>
      <c r="O48"/>
      <c r="P48"/>
      <c r="Q48"/>
      <c r="R48"/>
      <c r="S48"/>
      <c r="T48"/>
      <c r="U48"/>
    </row>
    <row r="49" spans="1:21" ht="12.75" customHeight="1" x14ac:dyDescent="0.25">
      <c r="A49" s="1402" t="s">
        <v>1032</v>
      </c>
      <c r="B49" s="1402"/>
      <c r="C49" s="1402"/>
      <c r="D49" s="1402"/>
      <c r="E49" s="1402"/>
      <c r="F49" s="1402"/>
      <c r="G49" s="1402"/>
      <c r="H49" s="1402"/>
      <c r="I49" s="1402"/>
      <c r="J49" s="1402"/>
      <c r="K49" s="1402"/>
      <c r="L49" s="1402"/>
      <c r="M49" s="1402"/>
      <c r="N49"/>
      <c r="O49"/>
      <c r="P49"/>
      <c r="Q49"/>
      <c r="R49"/>
      <c r="S49"/>
      <c r="T49"/>
      <c r="U49"/>
    </row>
    <row r="50" spans="1:21" ht="12.75" customHeight="1" x14ac:dyDescent="0.25">
      <c r="A50" s="99" t="s">
        <v>1033</v>
      </c>
      <c r="B50" s="93"/>
      <c r="C50" s="96"/>
      <c r="D50" s="96"/>
      <c r="E50" s="96"/>
      <c r="F50" s="96"/>
      <c r="G50" s="96"/>
      <c r="H50" s="96"/>
      <c r="I50" s="96"/>
      <c r="J50" s="96"/>
      <c r="K50" s="96"/>
      <c r="L50" s="96"/>
      <c r="M50" s="96"/>
      <c r="N50"/>
      <c r="O50"/>
      <c r="P50"/>
      <c r="Q50"/>
      <c r="R50"/>
      <c r="S50"/>
      <c r="T50"/>
      <c r="U50"/>
    </row>
    <row r="51" spans="1:21" ht="25.5" customHeight="1" x14ac:dyDescent="0.25">
      <c r="A51" s="1402" t="s">
        <v>1034</v>
      </c>
      <c r="B51" s="1402"/>
      <c r="C51" s="1402"/>
      <c r="D51" s="1402"/>
      <c r="E51" s="1402"/>
      <c r="F51" s="1402"/>
      <c r="G51" s="1402"/>
      <c r="H51" s="1402"/>
      <c r="I51" s="1402"/>
      <c r="J51" s="1402"/>
      <c r="K51" s="1402"/>
      <c r="L51" s="1402"/>
      <c r="M51" s="1402"/>
      <c r="N51"/>
      <c r="O51"/>
      <c r="P51"/>
      <c r="Q51"/>
      <c r="R51"/>
      <c r="S51"/>
      <c r="T51"/>
      <c r="U51"/>
    </row>
    <row r="52" spans="1:21" ht="12.75" customHeight="1" x14ac:dyDescent="0.25">
      <c r="A52" s="99" t="s">
        <v>608</v>
      </c>
      <c r="B52" s="93"/>
      <c r="C52" s="96"/>
      <c r="D52" s="96"/>
      <c r="E52" s="96"/>
      <c r="F52" s="96"/>
      <c r="G52" s="96"/>
      <c r="H52" s="96"/>
      <c r="I52" s="96"/>
      <c r="J52" s="96"/>
      <c r="K52" s="96"/>
      <c r="L52" s="96"/>
      <c r="M52" s="96"/>
      <c r="N52"/>
      <c r="O52"/>
      <c r="P52"/>
      <c r="Q52"/>
      <c r="R52"/>
      <c r="S52"/>
      <c r="T52"/>
      <c r="U52"/>
    </row>
    <row r="53" spans="1:21" ht="12.75" customHeight="1" x14ac:dyDescent="0.25">
      <c r="A53" s="1402" t="s">
        <v>609</v>
      </c>
      <c r="B53" s="1402"/>
      <c r="C53" s="1402"/>
      <c r="D53" s="1402"/>
      <c r="E53" s="1402"/>
      <c r="F53" s="1402"/>
      <c r="G53" s="1402"/>
      <c r="H53" s="1402"/>
      <c r="I53" s="1402"/>
      <c r="J53" s="1402"/>
      <c r="K53" s="1402"/>
      <c r="L53" s="1402"/>
      <c r="M53" s="1402"/>
      <c r="N53"/>
      <c r="O53"/>
      <c r="P53"/>
      <c r="Q53"/>
      <c r="R53"/>
      <c r="S53"/>
      <c r="T53"/>
      <c r="U53"/>
    </row>
    <row r="54" spans="1:21" ht="12.75" customHeight="1" x14ac:dyDescent="0.25">
      <c r="A54" s="48"/>
      <c r="B54" s="121"/>
      <c r="C54" s="53"/>
      <c r="D54" s="53"/>
      <c r="E54" s="53"/>
      <c r="F54" s="53"/>
      <c r="G54" s="53"/>
      <c r="H54" s="53"/>
      <c r="I54" s="53"/>
      <c r="J54" s="53"/>
      <c r="K54" s="53"/>
      <c r="L54" s="53"/>
      <c r="M54" s="53"/>
      <c r="N54" s="53"/>
      <c r="O54" s="53"/>
      <c r="P54" s="53"/>
    </row>
    <row r="55" spans="1:21" ht="12.75" customHeight="1" x14ac:dyDescent="0.25">
      <c r="A55" s="101"/>
      <c r="B55" s="93"/>
      <c r="C55" s="180"/>
      <c r="D55" s="181"/>
      <c r="E55" s="181"/>
      <c r="F55" s="181"/>
      <c r="G55" s="181"/>
      <c r="H55" s="181"/>
      <c r="I55" s="181"/>
      <c r="J55" s="181"/>
      <c r="K55" s="181"/>
      <c r="L55" s="181"/>
      <c r="M55" s="180"/>
      <c r="N55" s="102"/>
      <c r="O55" s="102"/>
      <c r="P55" s="102"/>
    </row>
    <row r="56" spans="1:21" ht="12.75" customHeight="1" x14ac:dyDescent="0.25">
      <c r="A56" s="48"/>
      <c r="B56" s="121"/>
      <c r="C56" s="48"/>
      <c r="D56" s="182"/>
      <c r="E56" s="182"/>
      <c r="F56" s="182"/>
      <c r="G56" s="182"/>
      <c r="H56" s="182"/>
      <c r="I56" s="182"/>
      <c r="J56" s="182"/>
      <c r="K56" s="182"/>
      <c r="L56" s="182"/>
      <c r="M56" s="48"/>
    </row>
    <row r="57" spans="1:21" ht="12.75" customHeight="1" x14ac:dyDescent="0.25">
      <c r="A57" s="48"/>
      <c r="B57" s="121"/>
      <c r="C57" s="48"/>
      <c r="D57" s="48"/>
      <c r="E57" s="48"/>
      <c r="F57" s="48"/>
      <c r="G57" s="48"/>
      <c r="H57" s="48"/>
      <c r="I57" s="48"/>
      <c r="J57" s="48"/>
      <c r="K57" s="48"/>
      <c r="L57" s="48"/>
      <c r="M57" s="48"/>
    </row>
    <row r="58" spans="1:21" ht="12.75" customHeight="1" x14ac:dyDescent="0.25">
      <c r="A58" s="48"/>
      <c r="B58" s="782"/>
      <c r="C58" s="48"/>
      <c r="D58" s="84"/>
      <c r="E58" s="84"/>
      <c r="F58" s="84"/>
      <c r="G58" s="84"/>
      <c r="H58" s="84"/>
      <c r="I58" s="84"/>
      <c r="J58" s="84"/>
      <c r="K58" s="84"/>
      <c r="L58" s="84"/>
      <c r="M58" s="48"/>
    </row>
    <row r="59" spans="1:21" ht="12.75" customHeight="1" x14ac:dyDescent="0.25">
      <c r="A59" s="48"/>
      <c r="B59" s="121"/>
      <c r="C59" s="48"/>
      <c r="D59" s="48"/>
      <c r="E59" s="48"/>
      <c r="F59" s="48"/>
      <c r="G59" s="48"/>
      <c r="H59" s="48"/>
      <c r="I59" s="48"/>
      <c r="J59" s="48"/>
      <c r="K59" s="48"/>
      <c r="L59" s="48"/>
      <c r="M59" s="48"/>
    </row>
    <row r="60" spans="1:21" ht="12.75" customHeight="1" x14ac:dyDescent="0.25">
      <c r="A60" s="48"/>
      <c r="B60" s="121"/>
      <c r="C60" s="48"/>
      <c r="D60" s="48"/>
      <c r="E60" s="48"/>
      <c r="F60" s="48"/>
      <c r="G60" s="48"/>
      <c r="H60" s="48"/>
      <c r="I60" s="48"/>
      <c r="J60" s="48"/>
      <c r="K60" s="48"/>
      <c r="L60" s="48"/>
      <c r="M60" s="48"/>
    </row>
    <row r="61" spans="1:21" ht="12.75" customHeight="1" x14ac:dyDescent="0.25">
      <c r="A61" s="48"/>
      <c r="B61" s="121"/>
      <c r="C61" s="48"/>
      <c r="D61" s="48"/>
      <c r="E61" s="48"/>
      <c r="F61" s="48"/>
      <c r="G61" s="48"/>
      <c r="H61" s="48"/>
      <c r="I61" s="48"/>
      <c r="J61" s="48"/>
      <c r="K61" s="48"/>
      <c r="L61" s="48"/>
      <c r="M61" s="48"/>
    </row>
    <row r="62" spans="1:21" ht="12.75" customHeight="1" x14ac:dyDescent="0.25"/>
    <row r="63" spans="1:21" ht="12.75" customHeight="1" x14ac:dyDescent="0.25"/>
    <row r="64" spans="1:21"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sheetData>
  <sheetProtection password="C646" sheet="1" objects="1" scenarios="1"/>
  <mergeCells count="9">
    <mergeCell ref="A53:M53"/>
    <mergeCell ref="A47:M47"/>
    <mergeCell ref="A51:M51"/>
    <mergeCell ref="A2:A4"/>
    <mergeCell ref="B2:B4"/>
    <mergeCell ref="C2:K2"/>
    <mergeCell ref="A46:M46"/>
    <mergeCell ref="A48:M48"/>
    <mergeCell ref="A49:M49"/>
  </mergeCells>
  <phoneticPr fontId="4" type="noConversion"/>
  <printOptions horizontalCentered="1"/>
  <pageMargins left="0.35433070866141736" right="0.17" top="0.78740157480314965" bottom="0.59055118110236227" header="0.51181102362204722" footer="0.39370078740157483"/>
  <pageSetup paperSize="9" scale="74"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8">
    <tabColor indexed="44"/>
    <pageSetUpPr fitToPage="1"/>
  </sheetPr>
  <dimension ref="A1:N129"/>
  <sheetViews>
    <sheetView showGridLines="0" zoomScaleNormal="100" workbookViewId="0">
      <pane xSplit="2" ySplit="5" topLeftCell="C6" activePane="bottomRight" state="frozen"/>
      <selection activeCell="C6" sqref="C6"/>
      <selection pane="topRight" activeCell="C6" sqref="C6"/>
      <selection pane="bottomLeft" activeCell="C6" sqref="C6"/>
      <selection pane="bottomRight" activeCell="M21" sqref="C7:M21"/>
    </sheetView>
  </sheetViews>
  <sheetFormatPr defaultColWidth="9.140625" defaultRowHeight="12.75" x14ac:dyDescent="0.25"/>
  <cols>
    <col min="1" max="1" width="36" style="184" bestFit="1" customWidth="1"/>
    <col min="2" max="2" width="3.140625" style="185" customWidth="1"/>
    <col min="3" max="13" width="8.7109375" style="184" customWidth="1"/>
    <col min="14" max="14" width="9.85546875" style="184" customWidth="1"/>
    <col min="15" max="15" width="9.5703125" style="184" customWidth="1"/>
    <col min="16" max="16" width="9.85546875" style="184" customWidth="1"/>
    <col min="17" max="19" width="9.5703125" style="184" customWidth="1"/>
    <col min="20" max="20" width="9.85546875" style="184" customWidth="1"/>
    <col min="21" max="23" width="9.5703125" style="184" customWidth="1"/>
    <col min="24" max="25" width="9.85546875" style="184" customWidth="1"/>
    <col min="26" max="16384" width="9.140625" style="184"/>
  </cols>
  <sheetData>
    <row r="1" spans="1:14" ht="13.5" x14ac:dyDescent="0.25">
      <c r="A1" s="183" t="str">
        <f>muni&amp;" - "&amp;_ADJ8&amp;" - "&amp;Date</f>
        <v>LIM354 Polokwane - Table B8 Cash backed reserves/accumulated surplus reconciliation - 2020</v>
      </c>
      <c r="B1" s="184"/>
      <c r="C1" s="185"/>
    </row>
    <row r="2" spans="1:14" ht="38.25" x14ac:dyDescent="0.25">
      <c r="A2" s="1427" t="str">
        <f>desc</f>
        <v>Description</v>
      </c>
      <c r="B2" s="1427" t="str">
        <f>head27</f>
        <v>Ref</v>
      </c>
      <c r="C2" s="1429" t="str">
        <f>Head2</f>
        <v>Budget Year 2020/21</v>
      </c>
      <c r="D2" s="1430"/>
      <c r="E2" s="1430"/>
      <c r="F2" s="1430"/>
      <c r="G2" s="1430"/>
      <c r="H2" s="1430"/>
      <c r="I2" s="1430"/>
      <c r="J2" s="1430"/>
      <c r="K2" s="1430"/>
      <c r="L2" s="186" t="str">
        <f>Head10</f>
        <v>Budget Year +1 2021/22</v>
      </c>
      <c r="M2" s="187" t="str">
        <f>Head11</f>
        <v>Budget Year +2 2022/23</v>
      </c>
    </row>
    <row r="3" spans="1:14" ht="25.5" x14ac:dyDescent="0.25">
      <c r="A3" s="1428"/>
      <c r="B3" s="1428"/>
      <c r="C3" s="188" t="str">
        <f>Head6</f>
        <v>Original Budget</v>
      </c>
      <c r="D3" s="189" t="str">
        <f>Head54</f>
        <v>Prior Adjusted</v>
      </c>
      <c r="E3" s="189" t="str">
        <f>Head51</f>
        <v>Accum. Funds</v>
      </c>
      <c r="F3" s="189" t="str">
        <f>Head52</f>
        <v>Multi-year capital</v>
      </c>
      <c r="G3" s="189" t="str">
        <f>Head53</f>
        <v>Unfore. Unavoid.</v>
      </c>
      <c r="H3" s="189" t="str">
        <f>Head55</f>
        <v>Nat. or Prov. Govt</v>
      </c>
      <c r="I3" s="190" t="str">
        <f>Head50</f>
        <v>Other Adjusts.</v>
      </c>
      <c r="J3" s="190" t="str">
        <f>Head56</f>
        <v>Total Adjusts.</v>
      </c>
      <c r="K3" s="190" t="str">
        <f>Head7</f>
        <v>Adjusted Budget</v>
      </c>
      <c r="L3" s="190" t="str">
        <f>Head7</f>
        <v>Adjusted Budget</v>
      </c>
      <c r="M3" s="191" t="str">
        <f>Head7</f>
        <v>Adjusted Budget</v>
      </c>
    </row>
    <row r="4" spans="1:14" x14ac:dyDescent="0.25">
      <c r="A4" s="1428"/>
      <c r="B4" s="1428"/>
      <c r="C4" s="192"/>
      <c r="D4" s="193">
        <v>3</v>
      </c>
      <c r="E4" s="193">
        <v>4</v>
      </c>
      <c r="F4" s="193">
        <v>5</v>
      </c>
      <c r="G4" s="193">
        <v>6</v>
      </c>
      <c r="H4" s="193">
        <v>7</v>
      </c>
      <c r="I4" s="193">
        <v>8</v>
      </c>
      <c r="J4" s="193">
        <v>9</v>
      </c>
      <c r="K4" s="193">
        <v>10</v>
      </c>
      <c r="L4" s="193"/>
      <c r="M4" s="194"/>
    </row>
    <row r="5" spans="1:14" x14ac:dyDescent="0.25">
      <c r="A5" s="195" t="s">
        <v>603</v>
      </c>
      <c r="B5" s="196"/>
      <c r="C5" s="197" t="s">
        <v>547</v>
      </c>
      <c r="D5" s="198" t="s">
        <v>548</v>
      </c>
      <c r="E5" s="198" t="s">
        <v>549</v>
      </c>
      <c r="F5" s="199" t="s">
        <v>550</v>
      </c>
      <c r="G5" s="199" t="s">
        <v>551</v>
      </c>
      <c r="H5" s="199" t="s">
        <v>552</v>
      </c>
      <c r="I5" s="200" t="s">
        <v>553</v>
      </c>
      <c r="J5" s="200" t="s">
        <v>554</v>
      </c>
      <c r="K5" s="200" t="s">
        <v>555</v>
      </c>
      <c r="L5" s="200"/>
      <c r="M5" s="201"/>
    </row>
    <row r="6" spans="1:14" ht="12.75" customHeight="1" x14ac:dyDescent="0.25">
      <c r="A6" s="202" t="s">
        <v>590</v>
      </c>
      <c r="B6" s="203"/>
      <c r="C6" s="204"/>
      <c r="D6" s="138"/>
      <c r="E6" s="138"/>
      <c r="F6" s="138"/>
      <c r="G6" s="138"/>
      <c r="H6" s="138"/>
      <c r="I6" s="138"/>
      <c r="J6" s="138"/>
      <c r="K6" s="138"/>
      <c r="L6" s="138"/>
      <c r="M6" s="205"/>
    </row>
    <row r="7" spans="1:14" ht="12.75" customHeight="1" x14ac:dyDescent="0.25">
      <c r="A7" s="206" t="s">
        <v>588</v>
      </c>
      <c r="B7" s="203">
        <v>1</v>
      </c>
      <c r="C7" s="131">
        <f>'B7-CFlow'!C42</f>
        <v>195851553</v>
      </c>
      <c r="D7" s="132">
        <f>'B7-CFlow'!D42</f>
        <v>283252904.76999998</v>
      </c>
      <c r="E7" s="132">
        <f>'B7-CFlow'!E42</f>
        <v>0</v>
      </c>
      <c r="F7" s="132">
        <f>'B7-CFlow'!F42</f>
        <v>0</v>
      </c>
      <c r="G7" s="132">
        <f>'B7-CFlow'!G42</f>
        <v>0</v>
      </c>
      <c r="H7" s="132">
        <f>'B7-CFlow'!H42</f>
        <v>-100212531</v>
      </c>
      <c r="I7" s="132">
        <f>'B7-CFlow'!I42</f>
        <v>-109672039.99999991</v>
      </c>
      <c r="J7" s="138">
        <f>SUM(E7:I7)</f>
        <v>-209884570.99999991</v>
      </c>
      <c r="K7" s="138">
        <f>IF(D7=0,C7+J7,D7+J7)</f>
        <v>73368333.77000007</v>
      </c>
      <c r="L7" s="132">
        <f>'B7-CFlow'!L42</f>
        <v>267031998.88000107</v>
      </c>
      <c r="M7" s="133">
        <f>'B7-CFlow'!M42</f>
        <v>563181606.88000095</v>
      </c>
    </row>
    <row r="8" spans="1:14" ht="12.75" customHeight="1" x14ac:dyDescent="0.25">
      <c r="A8" s="129" t="s">
        <v>728</v>
      </c>
      <c r="B8" s="629"/>
      <c r="C8" s="131">
        <f>'B6-FinPos'!C8+'B6-FinPos'!C9-'B6-FinPos'!C31-'B8-ResRecon'!C7</f>
        <v>0</v>
      </c>
      <c r="D8" s="131">
        <f>'B6-FinPos'!D8+'B6-FinPos'!D9-'B6-FinPos'!D31-'B8-ResRecon'!D7</f>
        <v>0</v>
      </c>
      <c r="E8" s="131">
        <f>'B6-FinPos'!E8+'B6-FinPos'!E9-'B6-FinPos'!E31-'B8-ResRecon'!E7</f>
        <v>0</v>
      </c>
      <c r="F8" s="131">
        <f>'B6-FinPos'!F8+'B6-FinPos'!F9-'B6-FinPos'!F31-'B8-ResRecon'!F7</f>
        <v>0</v>
      </c>
      <c r="G8" s="131">
        <f>'B6-FinPos'!G8+'B6-FinPos'!G9-'B6-FinPos'!G31-'B8-ResRecon'!G7</f>
        <v>0</v>
      </c>
      <c r="H8" s="131">
        <f>'B6-FinPos'!H8+'B6-FinPos'!H9-'B6-FinPos'!H31-'B8-ResRecon'!H7</f>
        <v>100212531</v>
      </c>
      <c r="I8" s="131">
        <f>'B6-FinPos'!I8+'B6-FinPos'!I9-'B6-FinPos'!I31-'B8-ResRecon'!I7</f>
        <v>-100212535.30000079</v>
      </c>
      <c r="J8" s="132">
        <f>SUM(E8:I8)</f>
        <v>-4.300000786781311</v>
      </c>
      <c r="K8" s="132">
        <f>IF(D8=0,C8+J8,D8+J8)</f>
        <v>-4.300000786781311</v>
      </c>
      <c r="L8" s="132">
        <f>'B6-FinPos'!L8+'B6-FinPos'!L9-'B6-FinPos'!L31-'B8-ResRecon'!L7</f>
        <v>112220906.31777787</v>
      </c>
      <c r="M8" s="133">
        <f>'B6-FinPos'!M8+'B6-FinPos'!M9-'B6-FinPos'!M31-'B8-ResRecon'!M7</f>
        <v>56970315.752143145</v>
      </c>
    </row>
    <row r="9" spans="1:14" ht="12.75" customHeight="1" x14ac:dyDescent="0.25">
      <c r="A9" s="206" t="s">
        <v>744</v>
      </c>
      <c r="B9" s="203">
        <v>1</v>
      </c>
      <c r="C9" s="131">
        <f>'B6-FinPos'!C18</f>
        <v>0</v>
      </c>
      <c r="D9" s="132">
        <f>'B6-FinPos'!D18</f>
        <v>0</v>
      </c>
      <c r="E9" s="132">
        <f>'B6-FinPos'!E18</f>
        <v>0</v>
      </c>
      <c r="F9" s="132">
        <f>'B6-FinPos'!F18</f>
        <v>0</v>
      </c>
      <c r="G9" s="132">
        <f>'B6-FinPos'!G18</f>
        <v>0</v>
      </c>
      <c r="H9" s="132">
        <f>'B6-FinPos'!H18</f>
        <v>0</v>
      </c>
      <c r="I9" s="132">
        <f>'B6-FinPos'!I18</f>
        <v>0</v>
      </c>
      <c r="J9" s="132">
        <f>SUM(E9:I9)</f>
        <v>0</v>
      </c>
      <c r="K9" s="132">
        <f>IF(D9=0,C9+J9,D9+J9)</f>
        <v>0</v>
      </c>
      <c r="L9" s="132">
        <f>'B6-FinPos'!L18</f>
        <v>0</v>
      </c>
      <c r="M9" s="133">
        <f>'B6-FinPos'!M18</f>
        <v>0</v>
      </c>
    </row>
    <row r="10" spans="1:14" ht="12.75" customHeight="1" x14ac:dyDescent="0.25">
      <c r="A10" s="207" t="s">
        <v>745</v>
      </c>
      <c r="B10" s="208"/>
      <c r="C10" s="209">
        <f t="shared" ref="C10:M10" si="0">SUM(C7:C9)</f>
        <v>195851553</v>
      </c>
      <c r="D10" s="210">
        <f t="shared" si="0"/>
        <v>283252904.76999998</v>
      </c>
      <c r="E10" s="210">
        <f t="shared" si="0"/>
        <v>0</v>
      </c>
      <c r="F10" s="210">
        <f t="shared" si="0"/>
        <v>0</v>
      </c>
      <c r="G10" s="210">
        <f t="shared" si="0"/>
        <v>0</v>
      </c>
      <c r="H10" s="210">
        <f t="shared" si="0"/>
        <v>0</v>
      </c>
      <c r="I10" s="210">
        <f t="shared" si="0"/>
        <v>-209884575.3000007</v>
      </c>
      <c r="J10" s="210">
        <f t="shared" si="0"/>
        <v>-209884575.3000007</v>
      </c>
      <c r="K10" s="210">
        <f t="shared" si="0"/>
        <v>73368329.469999284</v>
      </c>
      <c r="L10" s="210">
        <f t="shared" si="0"/>
        <v>379252905.19777894</v>
      </c>
      <c r="M10" s="211">
        <f t="shared" si="0"/>
        <v>620151922.63214409</v>
      </c>
    </row>
    <row r="11" spans="1:14" ht="5.0999999999999996" customHeight="1" x14ac:dyDescent="0.25">
      <c r="A11" s="212"/>
      <c r="B11" s="203"/>
      <c r="C11" s="204"/>
      <c r="D11" s="138"/>
      <c r="E11" s="138"/>
      <c r="F11" s="138"/>
      <c r="G11" s="138"/>
      <c r="H11" s="138"/>
      <c r="I11" s="138"/>
      <c r="J11" s="138"/>
      <c r="K11" s="138"/>
      <c r="L11" s="138"/>
      <c r="M11" s="205"/>
    </row>
    <row r="12" spans="1:14" ht="12.75" customHeight="1" x14ac:dyDescent="0.25">
      <c r="A12" s="202" t="s">
        <v>1129</v>
      </c>
      <c r="B12" s="203"/>
      <c r="C12" s="204"/>
      <c r="D12" s="138"/>
      <c r="E12" s="138"/>
      <c r="F12" s="138"/>
      <c r="G12" s="138"/>
      <c r="H12" s="138"/>
      <c r="I12" s="138"/>
      <c r="J12" s="138"/>
      <c r="K12" s="138"/>
      <c r="L12" s="138"/>
      <c r="M12" s="205"/>
    </row>
    <row r="13" spans="1:14" ht="12.75" customHeight="1" x14ac:dyDescent="0.25">
      <c r="A13" s="206" t="s">
        <v>746</v>
      </c>
      <c r="B13" s="203"/>
      <c r="C13" s="131">
        <f>'SB2'!C34</f>
        <v>50000000</v>
      </c>
      <c r="D13" s="132">
        <f>'SB2'!D34</f>
        <v>50000000</v>
      </c>
      <c r="E13" s="132">
        <f>'SB2'!E34</f>
        <v>0</v>
      </c>
      <c r="F13" s="132">
        <f>'SB2'!F34</f>
        <v>0</v>
      </c>
      <c r="G13" s="132">
        <f>'SB2'!G34</f>
        <v>0</v>
      </c>
      <c r="H13" s="132">
        <f>'SB2'!H34</f>
        <v>0</v>
      </c>
      <c r="I13" s="132">
        <f>'SB2'!I34</f>
        <v>-37791488</v>
      </c>
      <c r="J13" s="132">
        <f t="shared" ref="J13:J19" si="1">SUM(E13:I13)</f>
        <v>-37791488</v>
      </c>
      <c r="K13" s="132">
        <f>IF(D13=0,C13+J13,D13+J13)</f>
        <v>12208512</v>
      </c>
      <c r="L13" s="132">
        <f>'SB2'!L34</f>
        <v>50000000</v>
      </c>
      <c r="M13" s="133">
        <f>'SB2'!M34</f>
        <v>50000000</v>
      </c>
    </row>
    <row r="14" spans="1:14" ht="12.75" customHeight="1" x14ac:dyDescent="0.25">
      <c r="A14" s="206" t="s">
        <v>747</v>
      </c>
      <c r="B14" s="203"/>
      <c r="C14" s="130">
        <v>0</v>
      </c>
      <c r="D14" s="109">
        <v>0</v>
      </c>
      <c r="E14" s="109">
        <v>0</v>
      </c>
      <c r="F14" s="109">
        <v>0</v>
      </c>
      <c r="G14" s="109">
        <v>0</v>
      </c>
      <c r="H14" s="109">
        <v>0</v>
      </c>
      <c r="I14" s="109">
        <v>0</v>
      </c>
      <c r="J14" s="132">
        <f t="shared" si="1"/>
        <v>0</v>
      </c>
      <c r="K14" s="132">
        <f>IF(D14=0,C14+J14,D14+J14)</f>
        <v>0</v>
      </c>
      <c r="L14" s="109">
        <v>0</v>
      </c>
      <c r="M14" s="110">
        <v>0</v>
      </c>
      <c r="N14" s="836"/>
    </row>
    <row r="15" spans="1:14" ht="12.75" customHeight="1" x14ac:dyDescent="0.25">
      <c r="A15" s="206" t="s">
        <v>748</v>
      </c>
      <c r="B15" s="203"/>
      <c r="C15" s="130">
        <v>21739420</v>
      </c>
      <c r="D15" s="130">
        <v>21739420</v>
      </c>
      <c r="E15" s="130">
        <v>0</v>
      </c>
      <c r="F15" s="130">
        <v>0</v>
      </c>
      <c r="G15" s="130">
        <v>0</v>
      </c>
      <c r="H15" s="130">
        <v>0</v>
      </c>
      <c r="I15" s="130">
        <v>-44000000</v>
      </c>
      <c r="J15" s="132">
        <f t="shared" si="1"/>
        <v>-44000000</v>
      </c>
      <c r="K15" s="132">
        <f>IF(D15=0,C15+J15,D15+J15)</f>
        <v>-22260580</v>
      </c>
      <c r="L15" s="109">
        <v>11739420</v>
      </c>
      <c r="M15" s="110">
        <v>11739420</v>
      </c>
    </row>
    <row r="16" spans="1:14" ht="12.75" customHeight="1" x14ac:dyDescent="0.25">
      <c r="A16" s="206" t="s">
        <v>749</v>
      </c>
      <c r="B16" s="203">
        <v>2</v>
      </c>
      <c r="C16" s="131">
        <f>-C40</f>
        <v>27794727.599999964</v>
      </c>
      <c r="D16" s="132">
        <f>-D40</f>
        <v>27794727.599999964</v>
      </c>
      <c r="E16" s="173"/>
      <c r="F16" s="173"/>
      <c r="G16" s="173"/>
      <c r="H16" s="173"/>
      <c r="I16" s="132">
        <f>IF(D16=0,(K16-C16)-SUM(E16:H16),(K16-D16)-SUM(E16:H16))</f>
        <v>37994414</v>
      </c>
      <c r="J16" s="138">
        <f t="shared" si="1"/>
        <v>37994414</v>
      </c>
      <c r="K16" s="138">
        <f>-K40</f>
        <v>65789141.599999964</v>
      </c>
      <c r="L16" s="132">
        <f>-L40</f>
        <v>4743688</v>
      </c>
      <c r="M16" s="133">
        <f>-M40</f>
        <v>56797481</v>
      </c>
    </row>
    <row r="17" spans="1:14" ht="12.75" customHeight="1" x14ac:dyDescent="0.25">
      <c r="A17" s="206" t="s">
        <v>750</v>
      </c>
      <c r="B17" s="203"/>
      <c r="C17" s="130">
        <v>29341000</v>
      </c>
      <c r="D17" s="109">
        <v>29341000</v>
      </c>
      <c r="E17" s="109">
        <v>0</v>
      </c>
      <c r="F17" s="109">
        <v>0</v>
      </c>
      <c r="G17" s="109">
        <v>0</v>
      </c>
      <c r="H17" s="109">
        <v>0</v>
      </c>
      <c r="I17" s="109">
        <v>-15000000</v>
      </c>
      <c r="J17" s="138">
        <f t="shared" si="1"/>
        <v>-15000000</v>
      </c>
      <c r="K17" s="138">
        <f>IF(D17=0,C17+J17,D17+J17)</f>
        <v>14341000</v>
      </c>
      <c r="L17" s="109">
        <v>29341000</v>
      </c>
      <c r="M17" s="110">
        <v>29341000</v>
      </c>
    </row>
    <row r="18" spans="1:14" ht="12.75" customHeight="1" x14ac:dyDescent="0.25">
      <c r="A18" s="206" t="s">
        <v>1130</v>
      </c>
      <c r="B18" s="203"/>
      <c r="C18" s="204">
        <f>C50</f>
        <v>0</v>
      </c>
      <c r="D18" s="138">
        <f>D50</f>
        <v>0</v>
      </c>
      <c r="E18" s="173"/>
      <c r="F18" s="173"/>
      <c r="G18" s="173"/>
      <c r="H18" s="173"/>
      <c r="I18" s="132">
        <f>IF(D18=0,(K18-C18)-SUM(E18:H18),(K18-D18)-SUM(E18:H18))</f>
        <v>0</v>
      </c>
      <c r="J18" s="138">
        <f t="shared" si="1"/>
        <v>0</v>
      </c>
      <c r="K18" s="138">
        <f>K50</f>
        <v>0</v>
      </c>
      <c r="L18" s="138">
        <f>L50</f>
        <v>0</v>
      </c>
      <c r="M18" s="205">
        <f>M50</f>
        <v>0</v>
      </c>
    </row>
    <row r="19" spans="1:14" ht="12.75" customHeight="1" x14ac:dyDescent="0.25">
      <c r="A19" s="206" t="s">
        <v>751</v>
      </c>
      <c r="B19" s="203"/>
      <c r="C19" s="204">
        <f>C57</f>
        <v>0</v>
      </c>
      <c r="D19" s="138">
        <f>D57</f>
        <v>0</v>
      </c>
      <c r="E19" s="173"/>
      <c r="F19" s="173"/>
      <c r="G19" s="173"/>
      <c r="H19" s="173"/>
      <c r="I19" s="138">
        <f>IF(D19=0,(K19-C19)-SUM(E19:H19),(K19-D19)-SUM(E19:H19))</f>
        <v>0</v>
      </c>
      <c r="J19" s="138">
        <f t="shared" si="1"/>
        <v>0</v>
      </c>
      <c r="K19" s="138">
        <f>K57</f>
        <v>0</v>
      </c>
      <c r="L19" s="138">
        <f>L57</f>
        <v>0</v>
      </c>
      <c r="M19" s="205">
        <f>M57</f>
        <v>0</v>
      </c>
    </row>
    <row r="20" spans="1:14" ht="12.75" customHeight="1" x14ac:dyDescent="0.25">
      <c r="A20" s="213" t="s">
        <v>1384</v>
      </c>
      <c r="B20" s="214"/>
      <c r="C20" s="215">
        <f t="shared" ref="C20:M20" si="2">SUM(C13:C19)</f>
        <v>128875147.59999996</v>
      </c>
      <c r="D20" s="216">
        <f t="shared" si="2"/>
        <v>128875147.59999996</v>
      </c>
      <c r="E20" s="216">
        <f t="shared" si="2"/>
        <v>0</v>
      </c>
      <c r="F20" s="216">
        <f t="shared" si="2"/>
        <v>0</v>
      </c>
      <c r="G20" s="216">
        <f t="shared" si="2"/>
        <v>0</v>
      </c>
      <c r="H20" s="216">
        <f t="shared" si="2"/>
        <v>0</v>
      </c>
      <c r="I20" s="216">
        <f t="shared" si="2"/>
        <v>-58797074</v>
      </c>
      <c r="J20" s="216">
        <f t="shared" si="2"/>
        <v>-58797074</v>
      </c>
      <c r="K20" s="216">
        <f t="shared" si="2"/>
        <v>70078073.599999964</v>
      </c>
      <c r="L20" s="216">
        <f t="shared" si="2"/>
        <v>95824108</v>
      </c>
      <c r="M20" s="217">
        <f t="shared" si="2"/>
        <v>147877901</v>
      </c>
    </row>
    <row r="21" spans="1:14" ht="12.75" customHeight="1" x14ac:dyDescent="0.25">
      <c r="A21" s="213" t="s">
        <v>752</v>
      </c>
      <c r="B21" s="214"/>
      <c r="C21" s="215">
        <f t="shared" ref="C21:M21" si="3">C10-C20</f>
        <v>66976405.400000036</v>
      </c>
      <c r="D21" s="216">
        <f t="shared" si="3"/>
        <v>154377757.17000002</v>
      </c>
      <c r="E21" s="216">
        <f t="shared" si="3"/>
        <v>0</v>
      </c>
      <c r="F21" s="216">
        <f t="shared" si="3"/>
        <v>0</v>
      </c>
      <c r="G21" s="216">
        <f t="shared" si="3"/>
        <v>0</v>
      </c>
      <c r="H21" s="216">
        <f t="shared" si="3"/>
        <v>0</v>
      </c>
      <c r="I21" s="216">
        <f t="shared" si="3"/>
        <v>-151087501.3000007</v>
      </c>
      <c r="J21" s="216">
        <f t="shared" si="3"/>
        <v>-151087501.3000007</v>
      </c>
      <c r="K21" s="216">
        <f t="shared" si="3"/>
        <v>3290255.8699993193</v>
      </c>
      <c r="L21" s="216">
        <f t="shared" si="3"/>
        <v>283428797.19777894</v>
      </c>
      <c r="M21" s="217">
        <f t="shared" si="3"/>
        <v>472274021.63214409</v>
      </c>
    </row>
    <row r="22" spans="1:14" ht="12.75" customHeight="1" x14ac:dyDescent="0.25">
      <c r="A22" s="218" t="str">
        <f>head27a</f>
        <v>References</v>
      </c>
      <c r="B22" s="120"/>
      <c r="C22" s="120"/>
      <c r="D22" s="120"/>
      <c r="E22" s="120"/>
      <c r="F22" s="120"/>
      <c r="G22" s="120"/>
      <c r="H22" s="120"/>
      <c r="I22" s="120"/>
      <c r="J22" s="120"/>
      <c r="K22" s="120"/>
      <c r="L22" s="120"/>
      <c r="M22" s="219"/>
      <c r="N22" s="220"/>
    </row>
    <row r="23" spans="1:14" ht="12.75" customHeight="1" x14ac:dyDescent="0.25">
      <c r="A23" s="221" t="s">
        <v>1044</v>
      </c>
      <c r="B23" s="120"/>
      <c r="C23" s="120"/>
      <c r="D23" s="120"/>
      <c r="E23" s="120"/>
      <c r="F23" s="120"/>
      <c r="G23" s="120"/>
      <c r="H23" s="120"/>
      <c r="I23" s="120"/>
      <c r="J23" s="120"/>
      <c r="K23" s="120"/>
      <c r="L23" s="120"/>
      <c r="M23" s="120"/>
      <c r="N23" s="220"/>
    </row>
    <row r="24" spans="1:14" ht="12.75" customHeight="1" x14ac:dyDescent="0.25">
      <c r="A24" s="286" t="s">
        <v>1045</v>
      </c>
      <c r="B24" s="120"/>
      <c r="C24" s="120"/>
      <c r="D24" s="120"/>
      <c r="E24" s="120"/>
      <c r="F24" s="120"/>
      <c r="G24" s="120"/>
      <c r="H24" s="120"/>
      <c r="I24" s="120"/>
      <c r="J24" s="120"/>
      <c r="K24" s="120"/>
      <c r="L24" s="120"/>
      <c r="M24" s="120"/>
      <c r="N24" s="220"/>
    </row>
    <row r="25" spans="1:14" ht="12.75" customHeight="1" x14ac:dyDescent="0.25">
      <c r="A25" s="1272" t="s">
        <v>986</v>
      </c>
      <c r="B25" s="1272"/>
      <c r="C25" s="1272"/>
      <c r="D25" s="1272"/>
      <c r="E25" s="1272"/>
      <c r="F25" s="1272"/>
      <c r="G25" s="1272"/>
      <c r="H25" s="1272"/>
      <c r="I25" s="1272"/>
      <c r="J25" s="1272"/>
      <c r="K25" s="1272"/>
      <c r="L25" s="1272"/>
      <c r="M25" s="1272"/>
      <c r="N25" s="220"/>
    </row>
    <row r="26" spans="1:14" ht="25.5" customHeight="1" x14ac:dyDescent="0.25">
      <c r="A26" s="1272" t="s">
        <v>1030</v>
      </c>
      <c r="B26" s="1272"/>
      <c r="C26" s="1272"/>
      <c r="D26" s="1272"/>
      <c r="E26" s="1272"/>
      <c r="F26" s="1272"/>
      <c r="G26" s="1272"/>
      <c r="H26" s="1272"/>
      <c r="I26" s="1272"/>
      <c r="J26" s="1272"/>
      <c r="K26" s="1272"/>
      <c r="L26" s="1272"/>
      <c r="M26" s="1272"/>
      <c r="N26" s="220"/>
    </row>
    <row r="27" spans="1:14" ht="12.75" customHeight="1" x14ac:dyDescent="0.25">
      <c r="A27" s="100" t="s">
        <v>1031</v>
      </c>
      <c r="B27" s="100"/>
      <c r="C27" s="100"/>
      <c r="D27" s="100"/>
      <c r="E27" s="100"/>
      <c r="F27" s="100"/>
      <c r="G27" s="100"/>
      <c r="H27" s="100"/>
      <c r="I27" s="100"/>
      <c r="J27" s="100"/>
      <c r="K27" s="100"/>
      <c r="L27" s="100"/>
      <c r="M27" s="100"/>
      <c r="N27" s="220"/>
    </row>
    <row r="28" spans="1:14" ht="12.75" customHeight="1" x14ac:dyDescent="0.25">
      <c r="A28" s="1273" t="s">
        <v>1032</v>
      </c>
      <c r="B28" s="1273"/>
      <c r="C28" s="1273"/>
      <c r="D28" s="1273"/>
      <c r="E28" s="1273"/>
      <c r="F28" s="1273"/>
      <c r="G28" s="1273"/>
      <c r="H28" s="1273"/>
      <c r="I28" s="1273"/>
      <c r="J28" s="1273"/>
      <c r="K28" s="1273"/>
      <c r="L28" s="1273"/>
      <c r="M28" s="1273"/>
      <c r="N28" s="220"/>
    </row>
    <row r="29" spans="1:14" ht="12.75" customHeight="1" x14ac:dyDescent="0.25">
      <c r="A29" s="99" t="s">
        <v>1033</v>
      </c>
      <c r="B29" s="93"/>
      <c r="C29" s="96"/>
      <c r="D29" s="96"/>
      <c r="E29" s="96"/>
      <c r="F29" s="96"/>
      <c r="G29" s="96"/>
      <c r="H29" s="96"/>
      <c r="I29" s="96"/>
      <c r="J29" s="96"/>
      <c r="K29" s="96"/>
      <c r="L29" s="96"/>
      <c r="M29" s="96"/>
      <c r="N29" s="220"/>
    </row>
    <row r="30" spans="1:14" ht="12.75" customHeight="1" x14ac:dyDescent="0.25">
      <c r="A30" s="1273" t="s">
        <v>1034</v>
      </c>
      <c r="B30" s="1273"/>
      <c r="C30" s="1273"/>
      <c r="D30" s="1273"/>
      <c r="E30" s="1273"/>
      <c r="F30" s="1273"/>
      <c r="G30" s="1273"/>
      <c r="H30" s="1273"/>
      <c r="I30" s="1273"/>
      <c r="J30" s="1273"/>
      <c r="K30" s="1273"/>
      <c r="L30" s="1273"/>
      <c r="M30" s="1273"/>
      <c r="N30" s="220"/>
    </row>
    <row r="31" spans="1:14" ht="12.75" customHeight="1" x14ac:dyDescent="0.25">
      <c r="A31" s="99" t="s">
        <v>608</v>
      </c>
      <c r="B31" s="93"/>
      <c r="C31" s="96"/>
      <c r="D31" s="96"/>
      <c r="E31" s="96"/>
      <c r="F31" s="96"/>
      <c r="G31" s="96"/>
      <c r="H31" s="96"/>
      <c r="I31" s="96"/>
      <c r="J31" s="96"/>
      <c r="K31" s="96"/>
      <c r="L31" s="96"/>
      <c r="M31" s="96"/>
      <c r="N31" s="220"/>
    </row>
    <row r="32" spans="1:14" ht="12.75" customHeight="1" x14ac:dyDescent="0.25">
      <c r="A32" s="1273" t="s">
        <v>609</v>
      </c>
      <c r="B32" s="1273"/>
      <c r="C32" s="1273"/>
      <c r="D32" s="1273"/>
      <c r="E32" s="1273"/>
      <c r="F32" s="1273"/>
      <c r="G32" s="1273"/>
      <c r="H32" s="1273"/>
      <c r="I32" s="1273"/>
      <c r="J32" s="1273"/>
      <c r="K32" s="1273"/>
      <c r="L32" s="1273"/>
      <c r="M32" s="1273"/>
      <c r="N32" s="220"/>
    </row>
    <row r="33" spans="1:14" ht="12.75" customHeight="1" x14ac:dyDescent="0.25">
      <c r="A33" s="220"/>
      <c r="B33" s="220"/>
      <c r="C33" s="220"/>
      <c r="D33" s="220"/>
      <c r="E33" s="220"/>
      <c r="F33" s="220"/>
      <c r="G33" s="220"/>
      <c r="H33" s="220"/>
      <c r="I33" s="220"/>
      <c r="J33" s="220"/>
      <c r="K33" s="220"/>
      <c r="L33" s="220"/>
      <c r="M33" s="220"/>
      <c r="N33" s="220"/>
    </row>
    <row r="34" spans="1:14" ht="12.75" customHeight="1" x14ac:dyDescent="0.25">
      <c r="A34" s="222"/>
      <c r="B34" s="220"/>
      <c r="C34" s="220"/>
      <c r="D34" s="220"/>
      <c r="E34" s="220"/>
      <c r="F34" s="220"/>
      <c r="G34" s="220"/>
      <c r="H34" s="220"/>
      <c r="I34" s="220"/>
      <c r="J34" s="220"/>
      <c r="K34" s="220"/>
      <c r="L34" s="220"/>
      <c r="M34" s="220"/>
      <c r="N34" s="220"/>
    </row>
    <row r="35" spans="1:14" ht="12.75" customHeight="1" x14ac:dyDescent="0.25">
      <c r="A35" s="223"/>
      <c r="B35" s="220"/>
      <c r="C35" s="224"/>
      <c r="D35" s="224"/>
      <c r="E35" s="224"/>
      <c r="F35" s="224"/>
      <c r="G35" s="224"/>
      <c r="H35" s="224"/>
      <c r="I35" s="224"/>
      <c r="J35" s="224"/>
      <c r="K35" s="224"/>
      <c r="L35" s="224"/>
      <c r="M35" s="224"/>
    </row>
    <row r="36" spans="1:14" ht="12.75" customHeight="1" x14ac:dyDescent="0.25">
      <c r="A36" s="225"/>
      <c r="B36" s="220"/>
      <c r="C36" s="224"/>
      <c r="D36" s="224"/>
      <c r="E36" s="224"/>
      <c r="F36" s="224"/>
      <c r="G36" s="224"/>
      <c r="H36" s="224"/>
      <c r="I36" s="224"/>
      <c r="J36" s="224"/>
      <c r="K36" s="224"/>
      <c r="L36" s="224"/>
      <c r="M36" s="224"/>
    </row>
    <row r="37" spans="1:14" ht="12.75" customHeight="1" x14ac:dyDescent="0.25">
      <c r="A37" s="222" t="str">
        <f>A16</f>
        <v>Other working capital requirements</v>
      </c>
      <c r="B37" s="220"/>
      <c r="C37" s="224"/>
      <c r="D37" s="224"/>
      <c r="E37" s="224"/>
      <c r="F37" s="224"/>
      <c r="G37" s="224"/>
      <c r="H37" s="224"/>
      <c r="I37" s="224"/>
      <c r="J37" s="224"/>
      <c r="K37" s="224"/>
      <c r="L37" s="224"/>
      <c r="M37" s="224"/>
    </row>
    <row r="38" spans="1:14" ht="12.75" customHeight="1" x14ac:dyDescent="0.25">
      <c r="A38" s="225" t="s">
        <v>1401</v>
      </c>
      <c r="B38" s="220"/>
      <c r="C38" s="888">
        <f>IF(ISERROR(ROUND(C43*C44,0)),0,(ROUND(C43*C44,0)))</f>
        <v>460484267</v>
      </c>
      <c r="D38" s="888">
        <f>IF(ISERROR(ROUND(D43*D44,0)),0,(ROUND(D43*D44,0)))</f>
        <v>460484267</v>
      </c>
      <c r="E38" s="224"/>
      <c r="F38" s="224"/>
      <c r="G38" s="224"/>
      <c r="H38" s="224"/>
      <c r="I38" s="224"/>
      <c r="J38" s="224"/>
      <c r="K38" s="888">
        <f>IF(ISERROR(ROUND(K43*K44,0)),0,(ROUND(K43*K44,0)))</f>
        <v>460281341</v>
      </c>
      <c r="L38" s="888">
        <f>IF(ISERROR(ROUND(L43*L44,0)),0,(ROUND(L43*L44,0)))</f>
        <v>493535312</v>
      </c>
      <c r="M38" s="888">
        <f>IF(ISERROR(ROUND(M43*M44,0)),0,(ROUND(M43*M44,0)))</f>
        <v>451481519</v>
      </c>
    </row>
    <row r="39" spans="1:14" ht="12.75" customHeight="1" x14ac:dyDescent="0.25">
      <c r="A39" s="225" t="s">
        <v>1402</v>
      </c>
      <c r="B39" s="220"/>
      <c r="C39" s="888">
        <f>'SB2'!C32</f>
        <v>488278994.59999996</v>
      </c>
      <c r="D39" s="888">
        <f>'SB2'!D32</f>
        <v>488278994.59999996</v>
      </c>
      <c r="E39" s="225"/>
      <c r="F39" s="225"/>
      <c r="G39" s="225"/>
      <c r="H39" s="225"/>
      <c r="I39" s="225"/>
      <c r="J39" s="225"/>
      <c r="K39" s="888">
        <f>'SB2'!K32</f>
        <v>526070482.59999996</v>
      </c>
      <c r="L39" s="888">
        <f>'SB2'!L32</f>
        <v>498279000</v>
      </c>
      <c r="M39" s="888">
        <f>'SB2'!M32</f>
        <v>508279000</v>
      </c>
    </row>
    <row r="40" spans="1:14" ht="12.75" customHeight="1" thickBot="1" x14ac:dyDescent="0.3">
      <c r="A40" s="225" t="s">
        <v>760</v>
      </c>
      <c r="B40" s="220"/>
      <c r="C40" s="889">
        <f>C38-C39</f>
        <v>-27794727.599999964</v>
      </c>
      <c r="D40" s="889">
        <f>D38-D39</f>
        <v>-27794727.599999964</v>
      </c>
      <c r="E40" s="224"/>
      <c r="F40" s="224"/>
      <c r="G40" s="224"/>
      <c r="H40" s="224"/>
      <c r="I40" s="224"/>
      <c r="J40" s="224"/>
      <c r="K40" s="889">
        <f>K38-K39</f>
        <v>-65789141.599999964</v>
      </c>
      <c r="L40" s="889">
        <f>L38-L39</f>
        <v>-4743688</v>
      </c>
      <c r="M40" s="889">
        <f>M38-M39</f>
        <v>-56797481</v>
      </c>
    </row>
    <row r="41" spans="1:14" ht="12.75" customHeight="1" thickTop="1" x14ac:dyDescent="0.25">
      <c r="A41" s="225"/>
      <c r="B41" s="220"/>
      <c r="C41" s="226"/>
      <c r="D41" s="226"/>
      <c r="E41" s="1186"/>
      <c r="F41" s="1186"/>
      <c r="G41" s="1186"/>
      <c r="H41" s="1186"/>
      <c r="I41" s="1186"/>
      <c r="J41" s="1186"/>
      <c r="K41" s="226"/>
      <c r="L41" s="226"/>
      <c r="M41" s="226"/>
    </row>
    <row r="42" spans="1:14" ht="12.75" customHeight="1" x14ac:dyDescent="0.25">
      <c r="A42" s="227" t="s">
        <v>761</v>
      </c>
      <c r="B42" s="220"/>
      <c r="C42" s="224"/>
      <c r="D42" s="224"/>
      <c r="E42" s="224"/>
      <c r="F42" s="224"/>
      <c r="G42" s="224"/>
      <c r="H42" s="224"/>
      <c r="I42" s="224"/>
      <c r="J42" s="224"/>
      <c r="K42" s="224"/>
      <c r="L42" s="224"/>
      <c r="M42" s="224"/>
    </row>
    <row r="43" spans="1:14" ht="12.75" customHeight="1" x14ac:dyDescent="0.25">
      <c r="A43" s="225" t="s">
        <v>1400</v>
      </c>
      <c r="B43" s="220"/>
      <c r="C43" s="888">
        <f>'B6-FinPos'!C10+'B6-FinPos'!C11+'B6-FinPos'!C17</f>
        <v>546565270</v>
      </c>
      <c r="D43" s="888">
        <f>'B6-FinPos'!D10+'B6-FinPos'!D11+'B6-FinPos'!D17</f>
        <v>546565270</v>
      </c>
      <c r="E43" s="1186"/>
      <c r="F43" s="1186"/>
      <c r="G43" s="1186"/>
      <c r="H43" s="1186"/>
      <c r="I43" s="1186"/>
      <c r="J43" s="1186"/>
      <c r="K43" s="888">
        <f>'B6-FinPos'!K10+'B6-FinPos'!K11+'B6-FinPos'!K17</f>
        <v>546565270</v>
      </c>
      <c r="L43" s="888">
        <f>'B6-FinPos'!L10+'B6-FinPos'!L11+'B6-FinPos'!L17</f>
        <v>579086009.20000005</v>
      </c>
      <c r="M43" s="888">
        <f>'B6-FinPos'!M10+'B6-FinPos'!M11+'B6-FinPos'!M17</f>
        <v>529086009.19999981</v>
      </c>
    </row>
    <row r="44" spans="1:14" ht="12.75" customHeight="1" x14ac:dyDescent="0.25">
      <c r="A44" s="220" t="s">
        <v>1403</v>
      </c>
      <c r="B44" s="220"/>
      <c r="C44" s="226">
        <f>IF(ISERROR('SB6'!G10),0,('SB6'!G10))</f>
        <v>0.84250553859355815</v>
      </c>
      <c r="D44" s="226">
        <f>IF(ISERROR('SB6'!H10),0,('SB6'!H10))</f>
        <v>0.84250553859355815</v>
      </c>
      <c r="E44" s="225"/>
      <c r="F44" s="225"/>
      <c r="G44" s="225"/>
      <c r="H44" s="225"/>
      <c r="I44" s="225"/>
      <c r="J44" s="225"/>
      <c r="K44" s="226">
        <f>IF(ISERROR('SB6'!I10),0,('SB6'!I10))</f>
        <v>0.84213426329334595</v>
      </c>
      <c r="L44" s="226">
        <f>IF(ISERROR('SB6'!J10),0,('SB6'!J10))</f>
        <v>0.85226599263599356</v>
      </c>
      <c r="M44" s="226">
        <f>IF(ISERROR('SB6'!K10),0,('SB6'!K10))</f>
        <v>0.85332348793053214</v>
      </c>
    </row>
    <row r="45" spans="1:14" ht="12.75" customHeight="1" x14ac:dyDescent="0.25">
      <c r="A45" s="220"/>
      <c r="B45" s="220"/>
      <c r="C45" s="220"/>
      <c r="D45" s="220"/>
      <c r="E45" s="225"/>
      <c r="F45" s="225"/>
      <c r="G45" s="225"/>
      <c r="H45" s="225"/>
      <c r="I45" s="225"/>
      <c r="J45" s="225"/>
      <c r="K45" s="220"/>
      <c r="L45" s="220"/>
      <c r="M45" s="220"/>
    </row>
    <row r="46" spans="1:14" ht="12.75" customHeight="1" x14ac:dyDescent="0.25">
      <c r="A46" s="228" t="str">
        <f>A18</f>
        <v>Long term investments committed</v>
      </c>
      <c r="B46" s="220"/>
      <c r="C46" s="220"/>
      <c r="D46" s="220"/>
      <c r="E46" s="225"/>
      <c r="F46" s="225"/>
      <c r="G46" s="225"/>
      <c r="H46" s="225"/>
      <c r="I46" s="225"/>
      <c r="J46" s="225"/>
      <c r="K46" s="220"/>
      <c r="L46" s="220"/>
      <c r="M46" s="220"/>
    </row>
    <row r="47" spans="1:14" ht="12.75" customHeight="1" x14ac:dyDescent="0.25">
      <c r="A47" s="796" t="s">
        <v>762</v>
      </c>
      <c r="B47" s="229"/>
      <c r="C47" s="230"/>
      <c r="D47" s="230"/>
      <c r="E47" s="225"/>
      <c r="F47" s="225"/>
      <c r="G47" s="225"/>
      <c r="H47" s="225"/>
      <c r="I47" s="225"/>
      <c r="J47" s="225"/>
      <c r="K47" s="230"/>
      <c r="L47" s="230"/>
      <c r="M47" s="230"/>
    </row>
    <row r="48" spans="1:14" ht="12.75" customHeight="1" x14ac:dyDescent="0.25">
      <c r="A48" s="231"/>
      <c r="B48" s="229"/>
      <c r="C48" s="230"/>
      <c r="D48" s="230"/>
      <c r="E48" s="225"/>
      <c r="F48" s="225"/>
      <c r="G48" s="225"/>
      <c r="H48" s="225"/>
      <c r="I48" s="225"/>
      <c r="J48" s="225"/>
      <c r="K48" s="230"/>
      <c r="L48" s="230"/>
      <c r="M48" s="230"/>
    </row>
    <row r="49" spans="1:13" ht="12.75" customHeight="1" x14ac:dyDescent="0.25">
      <c r="A49" s="231"/>
      <c r="B49" s="229"/>
      <c r="C49" s="230"/>
      <c r="D49" s="230"/>
      <c r="E49" s="225"/>
      <c r="F49" s="225"/>
      <c r="G49" s="225"/>
      <c r="H49" s="225"/>
      <c r="I49" s="225"/>
      <c r="J49" s="225"/>
      <c r="K49" s="230"/>
      <c r="L49" s="230"/>
      <c r="M49" s="230"/>
    </row>
    <row r="50" spans="1:13" ht="12.75" customHeight="1" thickBot="1" x14ac:dyDescent="0.3">
      <c r="A50" s="220"/>
      <c r="B50" s="220"/>
      <c r="C50" s="889">
        <f>SUM(C47:C49)</f>
        <v>0</v>
      </c>
      <c r="D50" s="889">
        <f>SUM(D47:D49)</f>
        <v>0</v>
      </c>
      <c r="E50" s="224"/>
      <c r="F50" s="224"/>
      <c r="G50" s="224"/>
      <c r="H50" s="224"/>
      <c r="I50" s="224"/>
      <c r="J50" s="224"/>
      <c r="K50" s="889">
        <f>SUM(K47:K49)</f>
        <v>0</v>
      </c>
      <c r="L50" s="889">
        <f>SUM(L47:L49)</f>
        <v>0</v>
      </c>
      <c r="M50" s="889">
        <f>SUM(M47:M49)</f>
        <v>0</v>
      </c>
    </row>
    <row r="51" spans="1:13" ht="12.75" customHeight="1" thickTop="1" x14ac:dyDescent="0.25">
      <c r="A51" s="220"/>
      <c r="B51" s="220"/>
      <c r="C51" s="220"/>
      <c r="D51" s="220"/>
      <c r="E51" s="225"/>
      <c r="F51" s="225"/>
      <c r="G51" s="225"/>
      <c r="H51" s="225"/>
      <c r="I51" s="225"/>
      <c r="J51" s="225"/>
      <c r="K51" s="220"/>
      <c r="L51" s="220"/>
      <c r="M51" s="220"/>
    </row>
    <row r="52" spans="1:13" ht="12.75" customHeight="1" x14ac:dyDescent="0.25">
      <c r="A52" s="228" t="str">
        <f>A19</f>
        <v>Reserves to be backed by cash/investments</v>
      </c>
      <c r="B52" s="220"/>
      <c r="C52" s="220"/>
      <c r="D52" s="220"/>
      <c r="E52" s="225"/>
      <c r="F52" s="225"/>
      <c r="G52" s="225"/>
      <c r="H52" s="225"/>
      <c r="I52" s="225"/>
      <c r="J52" s="225"/>
      <c r="K52" s="220"/>
      <c r="L52" s="220"/>
      <c r="M52" s="220"/>
    </row>
    <row r="53" spans="1:13" ht="12.75" customHeight="1" x14ac:dyDescent="0.25">
      <c r="A53" s="231" t="str">
        <f>'SB2'!A59</f>
        <v>Housing Development Fund</v>
      </c>
      <c r="B53" s="225"/>
      <c r="C53" s="230">
        <f>'SB2'!C59</f>
        <v>0</v>
      </c>
      <c r="D53" s="230">
        <f>'SB2'!D59</f>
        <v>0</v>
      </c>
      <c r="E53" s="225"/>
      <c r="F53" s="225"/>
      <c r="G53" s="225"/>
      <c r="H53" s="225"/>
      <c r="I53" s="225"/>
      <c r="J53" s="225"/>
      <c r="K53" s="230">
        <f>'SB2'!K59</f>
        <v>0</v>
      </c>
      <c r="L53" s="230">
        <f>'SB2'!L59</f>
        <v>0</v>
      </c>
      <c r="M53" s="230">
        <f>'SB2'!M59</f>
        <v>0</v>
      </c>
    </row>
    <row r="54" spans="1:13" ht="12.75" customHeight="1" x14ac:dyDescent="0.25">
      <c r="A54" s="231" t="str">
        <f>'SB2'!A60</f>
        <v>Capital replacement</v>
      </c>
      <c r="B54" s="220"/>
      <c r="C54" s="230">
        <f>'SB2'!C60</f>
        <v>0</v>
      </c>
      <c r="D54" s="230">
        <f>'SB2'!D60</f>
        <v>0</v>
      </c>
      <c r="E54" s="225"/>
      <c r="F54" s="225"/>
      <c r="G54" s="225"/>
      <c r="H54" s="225"/>
      <c r="I54" s="225"/>
      <c r="J54" s="225"/>
      <c r="K54" s="230">
        <f>'SB2'!K60</f>
        <v>0</v>
      </c>
      <c r="L54" s="230">
        <f>'SB2'!L60</f>
        <v>0</v>
      </c>
      <c r="M54" s="230">
        <f>'SB2'!M60</f>
        <v>0</v>
      </c>
    </row>
    <row r="55" spans="1:13" ht="12.75" customHeight="1" x14ac:dyDescent="0.25">
      <c r="A55" s="231" t="str">
        <f>'SB2'!A61</f>
        <v>Self-insurance</v>
      </c>
      <c r="B55" s="220"/>
      <c r="C55" s="230">
        <f>'SB2'!C61</f>
        <v>0</v>
      </c>
      <c r="D55" s="230">
        <f>'SB2'!D61</f>
        <v>0</v>
      </c>
      <c r="E55" s="225"/>
      <c r="F55" s="225"/>
      <c r="G55" s="225"/>
      <c r="H55" s="225"/>
      <c r="I55" s="225"/>
      <c r="J55" s="225"/>
      <c r="K55" s="230">
        <f>'SB2'!K61</f>
        <v>0</v>
      </c>
      <c r="L55" s="230">
        <f>'SB2'!L61</f>
        <v>0</v>
      </c>
      <c r="M55" s="230">
        <f>'SB2'!M61</f>
        <v>0</v>
      </c>
    </row>
    <row r="56" spans="1:13" ht="12.75" customHeight="1" x14ac:dyDescent="0.25">
      <c r="A56" s="231" t="str">
        <f>'SB2'!A62</f>
        <v>Other reserves</v>
      </c>
      <c r="B56" s="220"/>
      <c r="C56" s="230">
        <f>'SB2'!C62</f>
        <v>0</v>
      </c>
      <c r="D56" s="230">
        <f>'SB2'!D62</f>
        <v>0</v>
      </c>
      <c r="E56" s="225"/>
      <c r="F56" s="225"/>
      <c r="G56" s="225"/>
      <c r="H56" s="225"/>
      <c r="I56" s="225"/>
      <c r="J56" s="225"/>
      <c r="K56" s="230">
        <f>'SB2'!K62</f>
        <v>0</v>
      </c>
      <c r="L56" s="230">
        <f>'SB2'!L62</f>
        <v>0</v>
      </c>
      <c r="M56" s="230">
        <f>'SB2'!M62</f>
        <v>0</v>
      </c>
    </row>
    <row r="57" spans="1:13" ht="12.75" customHeight="1" thickBot="1" x14ac:dyDescent="0.3">
      <c r="A57" s="220"/>
      <c r="B57" s="220"/>
      <c r="C57" s="889">
        <f>SUM(C53:C56)</f>
        <v>0</v>
      </c>
      <c r="D57" s="889">
        <f>SUM(D53:D56)</f>
        <v>0</v>
      </c>
      <c r="E57" s="225"/>
      <c r="F57" s="225"/>
      <c r="G57" s="225"/>
      <c r="H57" s="225"/>
      <c r="I57" s="225"/>
      <c r="J57" s="225"/>
      <c r="K57" s="889">
        <f>SUM(K53:K56)</f>
        <v>0</v>
      </c>
      <c r="L57" s="889">
        <f>SUM(L53:L56)</f>
        <v>0</v>
      </c>
      <c r="M57" s="889">
        <f>SUM(M53:M56)</f>
        <v>0</v>
      </c>
    </row>
    <row r="58" spans="1:13" ht="12.75" customHeight="1" thickTop="1" x14ac:dyDescent="0.25">
      <c r="A58" s="220"/>
      <c r="B58" s="232"/>
      <c r="C58" s="220"/>
      <c r="D58" s="220"/>
      <c r="E58" s="220"/>
      <c r="F58" s="220"/>
      <c r="G58" s="220"/>
      <c r="H58" s="220"/>
      <c r="I58" s="220"/>
      <c r="J58" s="220"/>
      <c r="K58" s="220"/>
      <c r="L58" s="220"/>
      <c r="M58" s="220"/>
    </row>
    <row r="59" spans="1:13" ht="12.75" customHeight="1" x14ac:dyDescent="0.25"/>
    <row r="60" spans="1:13" ht="12.75" customHeight="1" x14ac:dyDescent="0.25"/>
    <row r="61" spans="1:13" ht="12.75" customHeight="1" x14ac:dyDescent="0.25"/>
    <row r="62" spans="1:13" ht="12.75" customHeight="1" x14ac:dyDescent="0.25"/>
    <row r="63" spans="1:13" ht="12.75" customHeight="1" x14ac:dyDescent="0.25"/>
    <row r="64" spans="1:13"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sheetData>
  <sheetProtection password="C646" sheet="1" objects="1" scenarios="1"/>
  <mergeCells count="3">
    <mergeCell ref="B2:B4"/>
    <mergeCell ref="A2:A4"/>
    <mergeCell ref="C2:K2"/>
  </mergeCells>
  <phoneticPr fontId="4" type="noConversion"/>
  <printOptions horizontalCentered="1"/>
  <pageMargins left="0.36" right="0.17" top="0.79" bottom="0.59" header="0.51181102362204722" footer="0.41"/>
  <pageSetup paperSize="9" scale="74" orientation="portrait" r:id="rId1"/>
  <headerFooter alignWithMargins="0"/>
  <ignoredErrors>
    <ignoredError sqref="K16" formula="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9">
    <tabColor indexed="44"/>
    <pageSetUpPr fitToPage="1"/>
  </sheetPr>
  <dimension ref="A1:O277"/>
  <sheetViews>
    <sheetView showGridLines="0" zoomScaleNormal="100" workbookViewId="0">
      <pane xSplit="2" ySplit="5" topLeftCell="C6" activePane="bottomRight" state="frozen"/>
      <selection activeCell="C6" sqref="C6"/>
      <selection pane="topRight" activeCell="C6" sqref="C6"/>
      <selection pane="bottomLeft" activeCell="C6" sqref="C6"/>
      <selection pane="bottomRight" activeCell="M208" sqref="C7:M208"/>
    </sheetView>
  </sheetViews>
  <sheetFormatPr defaultColWidth="9.140625" defaultRowHeight="12.75" x14ac:dyDescent="0.25"/>
  <cols>
    <col min="1" max="1" width="32.5703125" style="5" customWidth="1"/>
    <col min="2" max="2" width="3.140625" style="58" customWidth="1"/>
    <col min="3" max="13" width="8.7109375" style="5" customWidth="1"/>
    <col min="14" max="14" width="9.85546875" style="5" customWidth="1"/>
    <col min="15" max="15" width="9.5703125" style="5" customWidth="1"/>
    <col min="16" max="16" width="9.85546875" style="5" customWidth="1"/>
    <col min="17" max="19" width="9.5703125" style="5" customWidth="1"/>
    <col min="20" max="20" width="9.85546875" style="5" customWidth="1"/>
    <col min="21" max="23" width="9.5703125" style="5" customWidth="1"/>
    <col min="24" max="25" width="9.85546875" style="5" customWidth="1"/>
    <col min="26" max="16384" width="9.140625" style="5"/>
  </cols>
  <sheetData>
    <row r="1" spans="1:14" ht="13.5" x14ac:dyDescent="0.25">
      <c r="A1" s="57" t="str">
        <f>muni&amp;" - "&amp;_ADJ9&amp;" - "&amp;Date</f>
        <v>LIM354 Polokwane - Table B9 Asset Management - 2020</v>
      </c>
      <c r="B1" s="5"/>
      <c r="C1" s="58"/>
    </row>
    <row r="2" spans="1:14" ht="38.25" x14ac:dyDescent="0.25">
      <c r="A2" s="1406" t="str">
        <f>desc</f>
        <v>Description</v>
      </c>
      <c r="B2" s="1406" t="str">
        <f>head27</f>
        <v>Ref</v>
      </c>
      <c r="C2" s="1403" t="str">
        <f>Head2</f>
        <v>Budget Year 2020/21</v>
      </c>
      <c r="D2" s="1404"/>
      <c r="E2" s="1404"/>
      <c r="F2" s="1404"/>
      <c r="G2" s="1404"/>
      <c r="H2" s="1404"/>
      <c r="I2" s="1404"/>
      <c r="J2" s="1404"/>
      <c r="K2" s="1404"/>
      <c r="L2" s="103" t="str">
        <f>Head10</f>
        <v>Budget Year +1 2021/22</v>
      </c>
      <c r="M2" s="61" t="str">
        <f>Head11</f>
        <v>Budget Year +2 2022/23</v>
      </c>
    </row>
    <row r="3" spans="1:14" ht="25.5" x14ac:dyDescent="0.25">
      <c r="A3" s="1407"/>
      <c r="B3" s="1407"/>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x14ac:dyDescent="0.25">
      <c r="A4" s="1407"/>
      <c r="B4" s="1407"/>
      <c r="C4" s="65"/>
      <c r="D4" s="15">
        <v>7</v>
      </c>
      <c r="E4" s="15">
        <v>8</v>
      </c>
      <c r="F4" s="15">
        <v>9</v>
      </c>
      <c r="G4" s="15">
        <v>10</v>
      </c>
      <c r="H4" s="15">
        <v>11</v>
      </c>
      <c r="I4" s="15">
        <v>12</v>
      </c>
      <c r="J4" s="15">
        <v>13</v>
      </c>
      <c r="K4" s="15">
        <v>14</v>
      </c>
      <c r="L4" s="15"/>
      <c r="M4" s="17"/>
    </row>
    <row r="5" spans="1:14" x14ac:dyDescent="0.25">
      <c r="A5" s="66" t="s">
        <v>603</v>
      </c>
      <c r="B5" s="104"/>
      <c r="C5" s="67" t="s">
        <v>547</v>
      </c>
      <c r="D5" s="68" t="s">
        <v>548</v>
      </c>
      <c r="E5" s="68" t="s">
        <v>549</v>
      </c>
      <c r="F5" s="69" t="s">
        <v>550</v>
      </c>
      <c r="G5" s="69" t="s">
        <v>551</v>
      </c>
      <c r="H5" s="69" t="s">
        <v>552</v>
      </c>
      <c r="I5" s="70" t="s">
        <v>553</v>
      </c>
      <c r="J5" s="70" t="s">
        <v>554</v>
      </c>
      <c r="K5" s="70" t="s">
        <v>555</v>
      </c>
      <c r="L5" s="70"/>
      <c r="M5" s="71"/>
    </row>
    <row r="6" spans="1:14" ht="12.75" customHeight="1" x14ac:dyDescent="0.25">
      <c r="A6" s="139" t="s">
        <v>763</v>
      </c>
      <c r="B6" s="73"/>
      <c r="C6" s="140"/>
      <c r="D6" s="75"/>
      <c r="E6" s="75"/>
      <c r="F6" s="75"/>
      <c r="G6" s="75"/>
      <c r="H6" s="75"/>
      <c r="I6" s="75"/>
      <c r="J6" s="75"/>
      <c r="K6" s="141"/>
      <c r="L6" s="141"/>
      <c r="M6" s="142"/>
      <c r="N6" s="128"/>
    </row>
    <row r="7" spans="1:14" ht="12.75" customHeight="1" x14ac:dyDescent="0.25">
      <c r="A7" s="233" t="s">
        <v>1124</v>
      </c>
      <c r="B7" s="73">
        <v>1</v>
      </c>
      <c r="C7" s="140">
        <f>C17+C20+C21+C24+C27+C28+SUM(C31:C37)</f>
        <v>845912778</v>
      </c>
      <c r="D7" s="141">
        <f t="shared" ref="D7:M7" si="0">D17+D20+D21+D24+D27+D28+SUM(D31:D37)</f>
        <v>853570768</v>
      </c>
      <c r="E7" s="141">
        <f t="shared" si="0"/>
        <v>0</v>
      </c>
      <c r="F7" s="141">
        <f t="shared" si="0"/>
        <v>0</v>
      </c>
      <c r="G7" s="141">
        <f t="shared" si="0"/>
        <v>0</v>
      </c>
      <c r="H7" s="141">
        <f t="shared" si="0"/>
        <v>46219954</v>
      </c>
      <c r="I7" s="141">
        <f t="shared" si="0"/>
        <v>-188663914</v>
      </c>
      <c r="J7" s="141">
        <f t="shared" si="0"/>
        <v>-142443960</v>
      </c>
      <c r="K7" s="141">
        <f t="shared" si="0"/>
        <v>711126808</v>
      </c>
      <c r="L7" s="141">
        <f t="shared" si="0"/>
        <v>453395612</v>
      </c>
      <c r="M7" s="142">
        <f t="shared" si="0"/>
        <v>369858173</v>
      </c>
      <c r="N7" s="128"/>
    </row>
    <row r="8" spans="1:14" ht="12.75" customHeight="1" x14ac:dyDescent="0.25">
      <c r="A8" s="1236" t="s">
        <v>1569</v>
      </c>
      <c r="B8" s="73"/>
      <c r="C8" s="131">
        <f>SB18a!C9</f>
        <v>263079442</v>
      </c>
      <c r="D8" s="132">
        <f>SB18a!D9</f>
        <v>224887432</v>
      </c>
      <c r="E8" s="132">
        <f>SB18a!E9</f>
        <v>0</v>
      </c>
      <c r="F8" s="132">
        <f>SB18a!F9</f>
        <v>0</v>
      </c>
      <c r="G8" s="132">
        <f>SB18a!G9</f>
        <v>0</v>
      </c>
      <c r="H8" s="132">
        <f>SB18a!H9</f>
        <v>15302117</v>
      </c>
      <c r="I8" s="132">
        <f>SB18a!I9</f>
        <v>-133390941</v>
      </c>
      <c r="J8" s="171">
        <f>SB18a!J9</f>
        <v>-118088824</v>
      </c>
      <c r="K8" s="171">
        <f>SB18a!K9</f>
        <v>106798608</v>
      </c>
      <c r="L8" s="132">
        <f>SB18a!L9</f>
        <v>56285249</v>
      </c>
      <c r="M8" s="133">
        <f>SB18a!M9</f>
        <v>64851714</v>
      </c>
      <c r="N8" s="128"/>
    </row>
    <row r="9" spans="1:14" ht="12.75" customHeight="1" x14ac:dyDescent="0.25">
      <c r="A9" s="1236" t="s">
        <v>1573</v>
      </c>
      <c r="B9" s="73"/>
      <c r="C9" s="131">
        <f>SB18a!C14</f>
        <v>0</v>
      </c>
      <c r="D9" s="132">
        <f>SB18a!D14</f>
        <v>0</v>
      </c>
      <c r="E9" s="132">
        <f>SB18a!E14</f>
        <v>0</v>
      </c>
      <c r="F9" s="132">
        <f>SB18a!F14</f>
        <v>0</v>
      </c>
      <c r="G9" s="132">
        <f>SB18a!G14</f>
        <v>0</v>
      </c>
      <c r="H9" s="132">
        <f>SB18a!H14</f>
        <v>0</v>
      </c>
      <c r="I9" s="132">
        <f>SB18a!I14</f>
        <v>0</v>
      </c>
      <c r="J9" s="171">
        <f>SB18a!J14</f>
        <v>0</v>
      </c>
      <c r="K9" s="171">
        <f>SB18a!K14</f>
        <v>0</v>
      </c>
      <c r="L9" s="132">
        <f>SB18a!L14</f>
        <v>8000000</v>
      </c>
      <c r="M9" s="133">
        <f>SB18a!M14</f>
        <v>15000000</v>
      </c>
      <c r="N9" s="128"/>
    </row>
    <row r="10" spans="1:14" ht="12.75" customHeight="1" x14ac:dyDescent="0.25">
      <c r="A10" s="1236" t="s">
        <v>1577</v>
      </c>
      <c r="B10" s="73"/>
      <c r="C10" s="131">
        <f>SB18a!C18</f>
        <v>20200867</v>
      </c>
      <c r="D10" s="132">
        <f>SB18a!D18</f>
        <v>71200867</v>
      </c>
      <c r="E10" s="132">
        <f>SB18a!E18</f>
        <v>0</v>
      </c>
      <c r="F10" s="132">
        <f>SB18a!F18</f>
        <v>0</v>
      </c>
      <c r="G10" s="132">
        <f>SB18a!G18</f>
        <v>0</v>
      </c>
      <c r="H10" s="132">
        <f>SB18a!H18</f>
        <v>7337771</v>
      </c>
      <c r="I10" s="132">
        <f>SB18a!I18</f>
        <v>-4000000</v>
      </c>
      <c r="J10" s="171">
        <f>SB18a!J18</f>
        <v>3337771</v>
      </c>
      <c r="K10" s="171">
        <f>SB18a!K18</f>
        <v>74538638</v>
      </c>
      <c r="L10" s="132">
        <f>SB18a!L18</f>
        <v>25591659</v>
      </c>
      <c r="M10" s="133">
        <f>SB18a!M18</f>
        <v>33286120</v>
      </c>
      <c r="N10" s="128"/>
    </row>
    <row r="11" spans="1:14" ht="12.75" customHeight="1" x14ac:dyDescent="0.25">
      <c r="A11" s="1236" t="s">
        <v>1586</v>
      </c>
      <c r="B11" s="73"/>
      <c r="C11" s="131">
        <f>SB18a!C28</f>
        <v>230087332</v>
      </c>
      <c r="D11" s="132">
        <f>SB18a!D28</f>
        <v>235087332</v>
      </c>
      <c r="E11" s="132">
        <f>SB18a!E28</f>
        <v>0</v>
      </c>
      <c r="F11" s="132">
        <f>SB18a!F28</f>
        <v>0</v>
      </c>
      <c r="G11" s="132">
        <f>SB18a!G28</f>
        <v>0</v>
      </c>
      <c r="H11" s="132">
        <f>SB18a!H28</f>
        <v>23324013</v>
      </c>
      <c r="I11" s="132">
        <f>SB18a!I28</f>
        <v>-19259882</v>
      </c>
      <c r="J11" s="171">
        <f>SB18a!J28</f>
        <v>4064131</v>
      </c>
      <c r="K11" s="171">
        <f>SB18a!K28</f>
        <v>239151463</v>
      </c>
      <c r="L11" s="132">
        <f>SB18a!L28</f>
        <v>216047583</v>
      </c>
      <c r="M11" s="133">
        <f>SB18a!M28</f>
        <v>185611701</v>
      </c>
      <c r="N11" s="128"/>
    </row>
    <row r="12" spans="1:14" ht="12.75" customHeight="1" x14ac:dyDescent="0.25">
      <c r="A12" s="1236" t="s">
        <v>1596</v>
      </c>
      <c r="B12" s="73"/>
      <c r="C12" s="131">
        <f>SB18a!C39</f>
        <v>132000000</v>
      </c>
      <c r="D12" s="132">
        <f>SB18a!D39</f>
        <v>89000000</v>
      </c>
      <c r="E12" s="132">
        <f>SB18a!E39</f>
        <v>0</v>
      </c>
      <c r="F12" s="132">
        <f>SB18a!F39</f>
        <v>0</v>
      </c>
      <c r="G12" s="132">
        <f>SB18a!G39</f>
        <v>0</v>
      </c>
      <c r="H12" s="132">
        <f>SB18a!H39</f>
        <v>256053</v>
      </c>
      <c r="I12" s="132">
        <f>SB18a!I39</f>
        <v>3743947</v>
      </c>
      <c r="J12" s="171">
        <f>SB18a!J39</f>
        <v>4000000</v>
      </c>
      <c r="K12" s="171">
        <f>SB18a!K39</f>
        <v>93000000</v>
      </c>
      <c r="L12" s="132">
        <f>SB18a!L39</f>
        <v>30216582</v>
      </c>
      <c r="M12" s="133">
        <f>SB18a!M39</f>
        <v>0</v>
      </c>
      <c r="N12" s="128"/>
    </row>
    <row r="13" spans="1:14" ht="12.75" customHeight="1" x14ac:dyDescent="0.25">
      <c r="A13" s="1236" t="s">
        <v>1601</v>
      </c>
      <c r="B13" s="73"/>
      <c r="C13" s="131">
        <f>SB18a!C46</f>
        <v>7600000</v>
      </c>
      <c r="D13" s="132">
        <f>SB18a!D46</f>
        <v>10600000</v>
      </c>
      <c r="E13" s="132">
        <f>SB18a!E46</f>
        <v>0</v>
      </c>
      <c r="F13" s="132">
        <f>SB18a!F46</f>
        <v>0</v>
      </c>
      <c r="G13" s="132">
        <f>SB18a!G46</f>
        <v>0</v>
      </c>
      <c r="H13" s="132">
        <f>SB18a!H46</f>
        <v>0</v>
      </c>
      <c r="I13" s="132">
        <f>SB18a!I46</f>
        <v>-4376914</v>
      </c>
      <c r="J13" s="171">
        <f>SB18a!J46</f>
        <v>-4376914</v>
      </c>
      <c r="K13" s="171">
        <f>SB18a!K46</f>
        <v>6223086</v>
      </c>
      <c r="L13" s="132">
        <f>SB18a!L46</f>
        <v>3581731</v>
      </c>
      <c r="M13" s="133">
        <f>SB18a!M46</f>
        <v>3150000</v>
      </c>
      <c r="N13" s="128"/>
    </row>
    <row r="14" spans="1:14" ht="12.75" customHeight="1" x14ac:dyDescent="0.25">
      <c r="A14" s="1236" t="s">
        <v>1608</v>
      </c>
      <c r="B14" s="73"/>
      <c r="C14" s="131">
        <f>SB18a!C54</f>
        <v>0</v>
      </c>
      <c r="D14" s="132">
        <f>SB18a!D54</f>
        <v>0</v>
      </c>
      <c r="E14" s="132">
        <f>SB18a!E54</f>
        <v>0</v>
      </c>
      <c r="F14" s="132">
        <f>SB18a!F54</f>
        <v>0</v>
      </c>
      <c r="G14" s="132">
        <f>SB18a!G54</f>
        <v>0</v>
      </c>
      <c r="H14" s="132">
        <f>SB18a!H54</f>
        <v>0</v>
      </c>
      <c r="I14" s="132">
        <f>SB18a!I54</f>
        <v>0</v>
      </c>
      <c r="J14" s="171">
        <f>SB18a!J54</f>
        <v>0</v>
      </c>
      <c r="K14" s="171">
        <f>SB18a!K54</f>
        <v>0</v>
      </c>
      <c r="L14" s="132">
        <f>SB18a!L54</f>
        <v>0</v>
      </c>
      <c r="M14" s="133">
        <f>SB18a!M54</f>
        <v>0</v>
      </c>
      <c r="N14" s="128"/>
    </row>
    <row r="15" spans="1:14" ht="12.75" customHeight="1" x14ac:dyDescent="0.25">
      <c r="A15" s="1236" t="s">
        <v>1612</v>
      </c>
      <c r="B15" s="73"/>
      <c r="C15" s="131">
        <f>SB18a!C64</f>
        <v>0</v>
      </c>
      <c r="D15" s="132">
        <f>SB18a!D64</f>
        <v>0</v>
      </c>
      <c r="E15" s="132">
        <f>SB18a!E64</f>
        <v>0</v>
      </c>
      <c r="F15" s="132">
        <f>SB18a!F64</f>
        <v>0</v>
      </c>
      <c r="G15" s="132">
        <f>SB18a!G64</f>
        <v>0</v>
      </c>
      <c r="H15" s="132">
        <f>SB18a!H64</f>
        <v>0</v>
      </c>
      <c r="I15" s="132">
        <f>SB18a!I64</f>
        <v>0</v>
      </c>
      <c r="J15" s="171">
        <f>SB18a!J64</f>
        <v>0</v>
      </c>
      <c r="K15" s="171">
        <f>SB18a!K64</f>
        <v>0</v>
      </c>
      <c r="L15" s="132">
        <f>SB18a!L64</f>
        <v>0</v>
      </c>
      <c r="M15" s="133">
        <f>SB18a!M64</f>
        <v>0</v>
      </c>
      <c r="N15" s="128"/>
    </row>
    <row r="16" spans="1:14" ht="12.75" customHeight="1" x14ac:dyDescent="0.25">
      <c r="A16" s="1236" t="s">
        <v>1617</v>
      </c>
      <c r="B16" s="73"/>
      <c r="C16" s="131">
        <f>SB18a!C70</f>
        <v>1500000</v>
      </c>
      <c r="D16" s="132">
        <f>SB18a!D70</f>
        <v>1500000</v>
      </c>
      <c r="E16" s="132">
        <f>SB18a!E70</f>
        <v>0</v>
      </c>
      <c r="F16" s="132">
        <f>SB18a!F70</f>
        <v>0</v>
      </c>
      <c r="G16" s="132">
        <f>SB18a!G70</f>
        <v>0</v>
      </c>
      <c r="H16" s="132">
        <f>SB18a!H70</f>
        <v>0</v>
      </c>
      <c r="I16" s="132">
        <f>SB18a!I70</f>
        <v>0</v>
      </c>
      <c r="J16" s="171">
        <f>SB18a!J70</f>
        <v>0</v>
      </c>
      <c r="K16" s="171">
        <f>SB18a!K70</f>
        <v>1500000</v>
      </c>
      <c r="L16" s="132">
        <f>SB18a!L70</f>
        <v>293472</v>
      </c>
      <c r="M16" s="133">
        <f>SB18a!M70</f>
        <v>652925</v>
      </c>
      <c r="N16" s="128"/>
    </row>
    <row r="17" spans="1:14" ht="12.75" customHeight="1" x14ac:dyDescent="0.25">
      <c r="A17" s="1237" t="s">
        <v>764</v>
      </c>
      <c r="B17" s="73"/>
      <c r="C17" s="700">
        <f>SUM(C8:C16)</f>
        <v>654467641</v>
      </c>
      <c r="D17" s="265">
        <f t="shared" ref="D17:M17" si="1">SUM(D8:D16)</f>
        <v>632275631</v>
      </c>
      <c r="E17" s="265">
        <f t="shared" si="1"/>
        <v>0</v>
      </c>
      <c r="F17" s="265">
        <f t="shared" si="1"/>
        <v>0</v>
      </c>
      <c r="G17" s="265">
        <f t="shared" si="1"/>
        <v>0</v>
      </c>
      <c r="H17" s="265">
        <f t="shared" si="1"/>
        <v>46219954</v>
      </c>
      <c r="I17" s="265">
        <f t="shared" si="1"/>
        <v>-157283790</v>
      </c>
      <c r="J17" s="580">
        <f t="shared" si="1"/>
        <v>-111063836</v>
      </c>
      <c r="K17" s="580">
        <f t="shared" si="1"/>
        <v>521211795</v>
      </c>
      <c r="L17" s="265">
        <f t="shared" si="1"/>
        <v>340016276</v>
      </c>
      <c r="M17" s="266">
        <f t="shared" si="1"/>
        <v>302552460</v>
      </c>
      <c r="N17" s="128"/>
    </row>
    <row r="18" spans="1:14" ht="12.75" customHeight="1" x14ac:dyDescent="0.25">
      <c r="A18" s="1238" t="s">
        <v>1622</v>
      </c>
      <c r="B18" s="73"/>
      <c r="C18" s="131">
        <f>SB18a!C77</f>
        <v>113596190</v>
      </c>
      <c r="D18" s="132">
        <f>SB18a!D77</f>
        <v>87446190</v>
      </c>
      <c r="E18" s="132">
        <f>SB18a!E77</f>
        <v>0</v>
      </c>
      <c r="F18" s="132">
        <f>SB18a!F77</f>
        <v>0</v>
      </c>
      <c r="G18" s="132">
        <f>SB18a!G77</f>
        <v>0</v>
      </c>
      <c r="H18" s="132">
        <f>SB18a!H77</f>
        <v>0</v>
      </c>
      <c r="I18" s="132">
        <f>SB18a!I77</f>
        <v>-4288901</v>
      </c>
      <c r="J18" s="171">
        <f>SB18a!J77</f>
        <v>-4288901</v>
      </c>
      <c r="K18" s="171">
        <f>SB18a!K77</f>
        <v>83157289</v>
      </c>
      <c r="L18" s="132">
        <f>SB18a!L77</f>
        <v>42660060</v>
      </c>
      <c r="M18" s="133">
        <f>SB18a!M77</f>
        <v>29855270</v>
      </c>
      <c r="N18" s="128"/>
    </row>
    <row r="19" spans="1:14" ht="12.75" customHeight="1" x14ac:dyDescent="0.25">
      <c r="A19" s="1238" t="s">
        <v>1640</v>
      </c>
      <c r="B19" s="73"/>
      <c r="C19" s="131">
        <f>SB18a!C100</f>
        <v>45000000</v>
      </c>
      <c r="D19" s="132">
        <f>SB18a!D100</f>
        <v>45000000</v>
      </c>
      <c r="E19" s="132">
        <f>SB18a!E100</f>
        <v>0</v>
      </c>
      <c r="F19" s="132">
        <f>SB18a!F100</f>
        <v>0</v>
      </c>
      <c r="G19" s="132">
        <f>SB18a!G100</f>
        <v>0</v>
      </c>
      <c r="H19" s="132">
        <f>SB18a!H100</f>
        <v>0</v>
      </c>
      <c r="I19" s="132">
        <f>SB18a!I100</f>
        <v>-15659364</v>
      </c>
      <c r="J19" s="171">
        <f>SB18a!J100</f>
        <v>-15659364</v>
      </c>
      <c r="K19" s="171">
        <f>SB18a!K100</f>
        <v>29340636</v>
      </c>
      <c r="L19" s="132">
        <f>SB18a!L100</f>
        <v>40000000</v>
      </c>
      <c r="M19" s="133">
        <f>SB18a!M100</f>
        <v>20359450</v>
      </c>
      <c r="N19" s="128"/>
    </row>
    <row r="20" spans="1:14" ht="12.75" customHeight="1" x14ac:dyDescent="0.25">
      <c r="A20" s="1237" t="s">
        <v>1621</v>
      </c>
      <c r="B20" s="73"/>
      <c r="C20" s="700">
        <f>SUM(C18:C19)</f>
        <v>158596190</v>
      </c>
      <c r="D20" s="265">
        <f t="shared" ref="D20:M20" si="2">SUM(D18:D19)</f>
        <v>132446190</v>
      </c>
      <c r="E20" s="265">
        <f t="shared" si="2"/>
        <v>0</v>
      </c>
      <c r="F20" s="265">
        <f t="shared" si="2"/>
        <v>0</v>
      </c>
      <c r="G20" s="265">
        <f t="shared" si="2"/>
        <v>0</v>
      </c>
      <c r="H20" s="265">
        <f t="shared" si="2"/>
        <v>0</v>
      </c>
      <c r="I20" s="265">
        <f t="shared" si="2"/>
        <v>-19948265</v>
      </c>
      <c r="J20" s="580">
        <f t="shared" si="2"/>
        <v>-19948265</v>
      </c>
      <c r="K20" s="580">
        <f t="shared" si="2"/>
        <v>112497925</v>
      </c>
      <c r="L20" s="265">
        <f t="shared" si="2"/>
        <v>82660060</v>
      </c>
      <c r="M20" s="266">
        <f t="shared" si="2"/>
        <v>50214720</v>
      </c>
      <c r="N20" s="128"/>
    </row>
    <row r="21" spans="1:14" ht="12.75" customHeight="1" x14ac:dyDescent="0.25">
      <c r="A21" s="1239" t="s">
        <v>1369</v>
      </c>
      <c r="B21" s="73"/>
      <c r="C21" s="131">
        <f>SB18a!C105</f>
        <v>0</v>
      </c>
      <c r="D21" s="132">
        <f>SB18a!D105</f>
        <v>0</v>
      </c>
      <c r="E21" s="132">
        <f>SB18a!E105</f>
        <v>0</v>
      </c>
      <c r="F21" s="132">
        <f>SB18a!F105</f>
        <v>0</v>
      </c>
      <c r="G21" s="132">
        <f>SB18a!G105</f>
        <v>0</v>
      </c>
      <c r="H21" s="132">
        <f>SB18a!H105</f>
        <v>0</v>
      </c>
      <c r="I21" s="132">
        <f>SB18a!I105</f>
        <v>0</v>
      </c>
      <c r="J21" s="171">
        <f>SB18a!J105</f>
        <v>0</v>
      </c>
      <c r="K21" s="171">
        <f>SB18a!K105</f>
        <v>0</v>
      </c>
      <c r="L21" s="132">
        <f>SB18a!L105</f>
        <v>0</v>
      </c>
      <c r="M21" s="133">
        <f>SB18a!M105</f>
        <v>0</v>
      </c>
      <c r="N21" s="128"/>
    </row>
    <row r="22" spans="1:14" ht="12.75" customHeight="1" x14ac:dyDescent="0.25">
      <c r="A22" s="1238" t="s">
        <v>1648</v>
      </c>
      <c r="B22" s="73"/>
      <c r="C22" s="131">
        <f>SB18a!C113</f>
        <v>5201619</v>
      </c>
      <c r="D22" s="132">
        <f>SB18a!D113</f>
        <v>5201619</v>
      </c>
      <c r="E22" s="132">
        <f>SB18a!E113</f>
        <v>0</v>
      </c>
      <c r="F22" s="132">
        <f>SB18a!F113</f>
        <v>0</v>
      </c>
      <c r="G22" s="132">
        <f>SB18a!G113</f>
        <v>0</v>
      </c>
      <c r="H22" s="132">
        <f>SB18a!H113</f>
        <v>0</v>
      </c>
      <c r="I22" s="132">
        <f>SB18a!I113</f>
        <v>-1108106</v>
      </c>
      <c r="J22" s="171">
        <f>SB18a!J113</f>
        <v>-1108106</v>
      </c>
      <c r="K22" s="171">
        <f>SB18a!K113</f>
        <v>4093513</v>
      </c>
      <c r="L22" s="132">
        <f>SB18a!L113</f>
        <v>6443472</v>
      </c>
      <c r="M22" s="133">
        <f>SB18a!M113</f>
        <v>6900000</v>
      </c>
      <c r="N22" s="128"/>
    </row>
    <row r="23" spans="1:14" ht="12.75" customHeight="1" x14ac:dyDescent="0.25">
      <c r="A23" s="1238" t="s">
        <v>1651</v>
      </c>
      <c r="B23" s="73"/>
      <c r="C23" s="131">
        <f>SB18a!C116</f>
        <v>0</v>
      </c>
      <c r="D23" s="132">
        <f>SB18a!D116</f>
        <v>0</v>
      </c>
      <c r="E23" s="132">
        <f>SB18a!E116</f>
        <v>0</v>
      </c>
      <c r="F23" s="132">
        <f>SB18a!F116</f>
        <v>0</v>
      </c>
      <c r="G23" s="132">
        <f>SB18a!G116</f>
        <v>0</v>
      </c>
      <c r="H23" s="132">
        <f>SB18a!H116</f>
        <v>0</v>
      </c>
      <c r="I23" s="132">
        <f>SB18a!I116</f>
        <v>0</v>
      </c>
      <c r="J23" s="171">
        <f>SB18a!J116</f>
        <v>0</v>
      </c>
      <c r="K23" s="171">
        <f>SB18a!K116</f>
        <v>0</v>
      </c>
      <c r="L23" s="132">
        <f>SB18a!L116</f>
        <v>0</v>
      </c>
      <c r="M23" s="133">
        <f>SB18a!M116</f>
        <v>0</v>
      </c>
      <c r="N23" s="128"/>
    </row>
    <row r="24" spans="1:14" ht="12.75" customHeight="1" x14ac:dyDescent="0.25">
      <c r="A24" s="1237" t="s">
        <v>766</v>
      </c>
      <c r="B24" s="73"/>
      <c r="C24" s="700">
        <f>SUM(C22:C23)</f>
        <v>5201619</v>
      </c>
      <c r="D24" s="265">
        <f t="shared" ref="D24:M24" si="3">SUM(D22:D23)</f>
        <v>5201619</v>
      </c>
      <c r="E24" s="265">
        <f t="shared" si="3"/>
        <v>0</v>
      </c>
      <c r="F24" s="265">
        <f t="shared" si="3"/>
        <v>0</v>
      </c>
      <c r="G24" s="265">
        <f t="shared" si="3"/>
        <v>0</v>
      </c>
      <c r="H24" s="265">
        <f t="shared" si="3"/>
        <v>0</v>
      </c>
      <c r="I24" s="265">
        <f t="shared" si="3"/>
        <v>-1108106</v>
      </c>
      <c r="J24" s="580">
        <f t="shared" si="3"/>
        <v>-1108106</v>
      </c>
      <c r="K24" s="580">
        <f t="shared" si="3"/>
        <v>4093513</v>
      </c>
      <c r="L24" s="265">
        <f t="shared" si="3"/>
        <v>6443472</v>
      </c>
      <c r="M24" s="266">
        <f t="shared" si="3"/>
        <v>6900000</v>
      </c>
      <c r="N24" s="128"/>
    </row>
    <row r="25" spans="1:14" ht="12.75" customHeight="1" x14ac:dyDescent="0.25">
      <c r="A25" s="1238" t="s">
        <v>1652</v>
      </c>
      <c r="B25" s="73"/>
      <c r="C25" s="131">
        <f>SB18a!C121</f>
        <v>1300398</v>
      </c>
      <c r="D25" s="132">
        <f>SB18a!D121</f>
        <v>1300398</v>
      </c>
      <c r="E25" s="132">
        <f>SB18a!E121</f>
        <v>0</v>
      </c>
      <c r="F25" s="132">
        <f>SB18a!F121</f>
        <v>0</v>
      </c>
      <c r="G25" s="132">
        <f>SB18a!G121</f>
        <v>0</v>
      </c>
      <c r="H25" s="132">
        <f>SB18a!H121</f>
        <v>0</v>
      </c>
      <c r="I25" s="132">
        <f>SB18a!I121</f>
        <v>3250106</v>
      </c>
      <c r="J25" s="171">
        <f>SB18a!J121</f>
        <v>3250106</v>
      </c>
      <c r="K25" s="171">
        <f>SB18a!K121</f>
        <v>4550504</v>
      </c>
      <c r="L25" s="132">
        <f>SB18a!L121</f>
        <v>5491810</v>
      </c>
      <c r="M25" s="133">
        <f>SB18a!M121</f>
        <v>3000000</v>
      </c>
      <c r="N25" s="128"/>
    </row>
    <row r="26" spans="1:14" ht="12.75" customHeight="1" x14ac:dyDescent="0.25">
      <c r="A26" s="1238" t="s">
        <v>619</v>
      </c>
      <c r="B26" s="73"/>
      <c r="C26" s="131">
        <f>SB18a!C133</f>
        <v>0</v>
      </c>
      <c r="D26" s="132">
        <f>SB18a!D133</f>
        <v>0</v>
      </c>
      <c r="E26" s="132">
        <f>SB18a!E133</f>
        <v>0</v>
      </c>
      <c r="F26" s="132">
        <f>SB18a!F133</f>
        <v>0</v>
      </c>
      <c r="G26" s="132">
        <f>SB18a!G133</f>
        <v>0</v>
      </c>
      <c r="H26" s="132">
        <f>SB18a!H133</f>
        <v>0</v>
      </c>
      <c r="I26" s="132">
        <f>SB18a!I133</f>
        <v>0</v>
      </c>
      <c r="J26" s="171">
        <f>SB18a!J133</f>
        <v>0</v>
      </c>
      <c r="K26" s="171">
        <f>SB18a!K133</f>
        <v>0</v>
      </c>
      <c r="L26" s="132">
        <f>SB18a!L133</f>
        <v>0</v>
      </c>
      <c r="M26" s="133">
        <f>SB18a!M133</f>
        <v>0</v>
      </c>
      <c r="N26" s="128"/>
    </row>
    <row r="27" spans="1:14" ht="12.75" customHeight="1" x14ac:dyDescent="0.25">
      <c r="A27" s="1237" t="s">
        <v>1370</v>
      </c>
      <c r="B27" s="73">
        <v>6</v>
      </c>
      <c r="C27" s="700">
        <f>SUM(C25:C26)</f>
        <v>1300398</v>
      </c>
      <c r="D27" s="265">
        <f t="shared" ref="D27:M27" si="4">SUM(D25:D26)</f>
        <v>1300398</v>
      </c>
      <c r="E27" s="265">
        <f t="shared" si="4"/>
        <v>0</v>
      </c>
      <c r="F27" s="265">
        <f t="shared" si="4"/>
        <v>0</v>
      </c>
      <c r="G27" s="265">
        <f t="shared" si="4"/>
        <v>0</v>
      </c>
      <c r="H27" s="265">
        <f t="shared" si="4"/>
        <v>0</v>
      </c>
      <c r="I27" s="265">
        <f t="shared" si="4"/>
        <v>3250106</v>
      </c>
      <c r="J27" s="580">
        <f t="shared" si="4"/>
        <v>3250106</v>
      </c>
      <c r="K27" s="580">
        <f t="shared" si="4"/>
        <v>4550504</v>
      </c>
      <c r="L27" s="265">
        <f t="shared" si="4"/>
        <v>5491810</v>
      </c>
      <c r="M27" s="266">
        <f t="shared" si="4"/>
        <v>3000000</v>
      </c>
      <c r="N27" s="128"/>
    </row>
    <row r="28" spans="1:14" ht="12.75" customHeight="1" x14ac:dyDescent="0.25">
      <c r="A28" s="1239" t="s">
        <v>1665</v>
      </c>
      <c r="B28" s="73"/>
      <c r="C28" s="131">
        <f>SB18a!C138</f>
        <v>0</v>
      </c>
      <c r="D28" s="132">
        <f>SB18a!D138</f>
        <v>0</v>
      </c>
      <c r="E28" s="132">
        <f>SB18a!E138</f>
        <v>0</v>
      </c>
      <c r="F28" s="132">
        <f>SB18a!F138</f>
        <v>0</v>
      </c>
      <c r="G28" s="132">
        <f>SB18a!G138</f>
        <v>0</v>
      </c>
      <c r="H28" s="132">
        <f>SB18a!H138</f>
        <v>0</v>
      </c>
      <c r="I28" s="132">
        <f>SB18a!I138</f>
        <v>0</v>
      </c>
      <c r="J28" s="171">
        <f>SB18a!J138</f>
        <v>0</v>
      </c>
      <c r="K28" s="171">
        <f>SB18a!K138</f>
        <v>0</v>
      </c>
      <c r="L28" s="132">
        <f>SB18a!L138</f>
        <v>0</v>
      </c>
      <c r="M28" s="133">
        <f>SB18a!M138</f>
        <v>0</v>
      </c>
      <c r="N28" s="128"/>
    </row>
    <row r="29" spans="1:14" ht="12.75" customHeight="1" x14ac:dyDescent="0.25">
      <c r="A29" s="1238" t="s">
        <v>1667</v>
      </c>
      <c r="B29" s="73"/>
      <c r="C29" s="131">
        <f>SB18a!C142</f>
        <v>0</v>
      </c>
      <c r="D29" s="132">
        <f>SB18a!D142</f>
        <v>0</v>
      </c>
      <c r="E29" s="132">
        <f>SB18a!E142</f>
        <v>0</v>
      </c>
      <c r="F29" s="132">
        <f>SB18a!F142</f>
        <v>0</v>
      </c>
      <c r="G29" s="132">
        <f>SB18a!G142</f>
        <v>0</v>
      </c>
      <c r="H29" s="132">
        <f>SB18a!H142</f>
        <v>0</v>
      </c>
      <c r="I29" s="132">
        <f>SB18a!I142</f>
        <v>0</v>
      </c>
      <c r="J29" s="171">
        <f>SB18a!J142</f>
        <v>0</v>
      </c>
      <c r="K29" s="171">
        <f>SB18a!K142</f>
        <v>0</v>
      </c>
      <c r="L29" s="132">
        <f>SB18a!L142</f>
        <v>0</v>
      </c>
      <c r="M29" s="133">
        <f>SB18a!M142</f>
        <v>0</v>
      </c>
      <c r="N29" s="128"/>
    </row>
    <row r="30" spans="1:14" ht="12.75" customHeight="1" x14ac:dyDescent="0.25">
      <c r="A30" s="1238" t="s">
        <v>1668</v>
      </c>
      <c r="B30" s="73"/>
      <c r="C30" s="131">
        <f>SB18a!C143</f>
        <v>303584</v>
      </c>
      <c r="D30" s="132">
        <f>SB18a!D143</f>
        <v>303584</v>
      </c>
      <c r="E30" s="132">
        <f>SB18a!E143</f>
        <v>0</v>
      </c>
      <c r="F30" s="132">
        <f>SB18a!F143</f>
        <v>0</v>
      </c>
      <c r="G30" s="132">
        <f>SB18a!G143</f>
        <v>0</v>
      </c>
      <c r="H30" s="132">
        <f>SB18a!H143</f>
        <v>0</v>
      </c>
      <c r="I30" s="132">
        <f>SB18a!I143</f>
        <v>-141894</v>
      </c>
      <c r="J30" s="171">
        <f>SB18a!J143</f>
        <v>-141894</v>
      </c>
      <c r="K30" s="171">
        <f>SB18a!K143</f>
        <v>161690</v>
      </c>
      <c r="L30" s="132">
        <f>SB18a!L143</f>
        <v>370753</v>
      </c>
      <c r="M30" s="133">
        <f>SB18a!M143</f>
        <v>257123</v>
      </c>
      <c r="N30" s="128"/>
    </row>
    <row r="31" spans="1:14" ht="12.75" customHeight="1" x14ac:dyDescent="0.25">
      <c r="A31" s="1237" t="s">
        <v>1666</v>
      </c>
      <c r="B31" s="73"/>
      <c r="C31" s="700">
        <f>SUM(C29:C30)</f>
        <v>303584</v>
      </c>
      <c r="D31" s="265">
        <f t="shared" ref="D31:M31" si="5">SUM(D29:D30)</f>
        <v>303584</v>
      </c>
      <c r="E31" s="265">
        <f t="shared" si="5"/>
        <v>0</v>
      </c>
      <c r="F31" s="265">
        <f t="shared" si="5"/>
        <v>0</v>
      </c>
      <c r="G31" s="265">
        <f t="shared" si="5"/>
        <v>0</v>
      </c>
      <c r="H31" s="265">
        <f t="shared" si="5"/>
        <v>0</v>
      </c>
      <c r="I31" s="265">
        <f t="shared" si="5"/>
        <v>-141894</v>
      </c>
      <c r="J31" s="580">
        <f t="shared" si="5"/>
        <v>-141894</v>
      </c>
      <c r="K31" s="580">
        <f t="shared" si="5"/>
        <v>161690</v>
      </c>
      <c r="L31" s="265">
        <f t="shared" si="5"/>
        <v>370753</v>
      </c>
      <c r="M31" s="266">
        <f t="shared" si="5"/>
        <v>257123</v>
      </c>
      <c r="N31" s="128"/>
    </row>
    <row r="32" spans="1:14" ht="12.75" customHeight="1" x14ac:dyDescent="0.25">
      <c r="A32" s="1240" t="s">
        <v>1675</v>
      </c>
      <c r="B32" s="73"/>
      <c r="C32" s="131">
        <f>SB18a!C151</f>
        <v>2000000</v>
      </c>
      <c r="D32" s="132">
        <f>SB18a!D151</f>
        <v>2000000</v>
      </c>
      <c r="E32" s="132">
        <f>SB18a!E151</f>
        <v>0</v>
      </c>
      <c r="F32" s="132">
        <f>SB18a!F151</f>
        <v>0</v>
      </c>
      <c r="G32" s="132">
        <f>SB18a!G151</f>
        <v>0</v>
      </c>
      <c r="H32" s="132">
        <f>SB18a!H151</f>
        <v>0</v>
      </c>
      <c r="I32" s="132">
        <f>SB18a!I151</f>
        <v>500000</v>
      </c>
      <c r="J32" s="171">
        <f>SB18a!J151</f>
        <v>500000</v>
      </c>
      <c r="K32" s="171">
        <f>SB18a!K151</f>
        <v>2500000</v>
      </c>
      <c r="L32" s="132">
        <f>SB18a!L151</f>
        <v>978241</v>
      </c>
      <c r="M32" s="133">
        <f>SB18a!M151</f>
        <v>1305850</v>
      </c>
      <c r="N32" s="128"/>
    </row>
    <row r="33" spans="1:14" ht="12.75" customHeight="1" x14ac:dyDescent="0.25">
      <c r="A33" s="1239" t="s">
        <v>1676</v>
      </c>
      <c r="B33" s="73"/>
      <c r="C33" s="131">
        <f>SB18a!C154</f>
        <v>373225</v>
      </c>
      <c r="D33" s="132">
        <f>SB18a!D154</f>
        <v>1873225</v>
      </c>
      <c r="E33" s="132">
        <f>SB18a!E154</f>
        <v>0</v>
      </c>
      <c r="F33" s="132">
        <f>SB18a!F154</f>
        <v>0</v>
      </c>
      <c r="G33" s="132">
        <f>SB18a!G154</f>
        <v>0</v>
      </c>
      <c r="H33" s="132">
        <f>SB18a!H154</f>
        <v>0</v>
      </c>
      <c r="I33" s="132">
        <f>SB18a!I154</f>
        <v>-100000</v>
      </c>
      <c r="J33" s="171">
        <f>SB18a!J154</f>
        <v>-100000</v>
      </c>
      <c r="K33" s="171">
        <f>SB18a!K154</f>
        <v>1773225</v>
      </c>
      <c r="L33" s="132">
        <f>SB18a!L154</f>
        <v>487331</v>
      </c>
      <c r="M33" s="133">
        <f>SB18a!M154</f>
        <v>1122340</v>
      </c>
      <c r="N33" s="128"/>
    </row>
    <row r="34" spans="1:14" ht="12.75" customHeight="1" x14ac:dyDescent="0.25">
      <c r="A34" s="1239" t="s">
        <v>1677</v>
      </c>
      <c r="B34" s="73"/>
      <c r="C34" s="131">
        <f>SB18a!C157</f>
        <v>3670121</v>
      </c>
      <c r="D34" s="132">
        <f>SB18a!D157</f>
        <v>3670121</v>
      </c>
      <c r="E34" s="132">
        <f>SB18a!E157</f>
        <v>0</v>
      </c>
      <c r="F34" s="132">
        <f>SB18a!F157</f>
        <v>0</v>
      </c>
      <c r="G34" s="132">
        <f>SB18a!G157</f>
        <v>0</v>
      </c>
      <c r="H34" s="132">
        <f>SB18a!H157</f>
        <v>0</v>
      </c>
      <c r="I34" s="132">
        <f>SB18a!I157</f>
        <v>168035</v>
      </c>
      <c r="J34" s="171">
        <f>SB18a!J157</f>
        <v>168035</v>
      </c>
      <c r="K34" s="171">
        <f>SB18a!K157</f>
        <v>3838156</v>
      </c>
      <c r="L34" s="132">
        <f>SB18a!L157</f>
        <v>1947669</v>
      </c>
      <c r="M34" s="133">
        <f>SB18a!M157</f>
        <v>4505680</v>
      </c>
      <c r="N34" s="128"/>
    </row>
    <row r="35" spans="1:14" ht="12.75" customHeight="1" x14ac:dyDescent="0.25">
      <c r="A35" s="1240" t="s">
        <v>1678</v>
      </c>
      <c r="B35" s="73"/>
      <c r="C35" s="131">
        <f>SB18a!C160</f>
        <v>20000000</v>
      </c>
      <c r="D35" s="132">
        <f>SB18a!D160</f>
        <v>74500000</v>
      </c>
      <c r="E35" s="132">
        <f>SB18a!E160</f>
        <v>0</v>
      </c>
      <c r="F35" s="132">
        <f>SB18a!F160</f>
        <v>0</v>
      </c>
      <c r="G35" s="132">
        <f>SB18a!G160</f>
        <v>0</v>
      </c>
      <c r="H35" s="132">
        <f>SB18a!H160</f>
        <v>0</v>
      </c>
      <c r="I35" s="132">
        <f>SB18a!I160</f>
        <v>-14000000</v>
      </c>
      <c r="J35" s="171">
        <f>SB18a!J160</f>
        <v>-14000000</v>
      </c>
      <c r="K35" s="171">
        <f>SB18a!K160</f>
        <v>60500000</v>
      </c>
      <c r="L35" s="132">
        <f>SB18a!L160</f>
        <v>15000000</v>
      </c>
      <c r="M35" s="133">
        <f>SB18a!M160</f>
        <v>0</v>
      </c>
      <c r="N35" s="128"/>
    </row>
    <row r="36" spans="1:14" ht="12.75" customHeight="1" x14ac:dyDescent="0.25">
      <c r="A36" s="1239" t="s">
        <v>1735</v>
      </c>
      <c r="B36" s="73"/>
      <c r="C36" s="131">
        <f>SB18a!C163</f>
        <v>0</v>
      </c>
      <c r="D36" s="132">
        <f>SB18a!D163</f>
        <v>0</v>
      </c>
      <c r="E36" s="132">
        <f>SB18a!E163</f>
        <v>0</v>
      </c>
      <c r="F36" s="132">
        <f>SB18a!F163</f>
        <v>0</v>
      </c>
      <c r="G36" s="132">
        <f>SB18a!G163</f>
        <v>0</v>
      </c>
      <c r="H36" s="132">
        <f>SB18a!H163</f>
        <v>0</v>
      </c>
      <c r="I36" s="132">
        <f>SB18a!I163</f>
        <v>0</v>
      </c>
      <c r="J36" s="171">
        <f>SB18a!J163</f>
        <v>0</v>
      </c>
      <c r="K36" s="171">
        <f>SB18a!K163</f>
        <v>0</v>
      </c>
      <c r="L36" s="132">
        <f>SB18a!L163</f>
        <v>0</v>
      </c>
      <c r="M36" s="133">
        <f>SB18a!M163</f>
        <v>0</v>
      </c>
      <c r="N36" s="128"/>
    </row>
    <row r="37" spans="1:14" ht="12.75" customHeight="1" x14ac:dyDescent="0.25">
      <c r="A37" s="1239" t="s">
        <v>1679</v>
      </c>
      <c r="B37" s="73"/>
      <c r="C37" s="131">
        <f>SB18a!C166</f>
        <v>0</v>
      </c>
      <c r="D37" s="132">
        <f>SB18a!D166</f>
        <v>0</v>
      </c>
      <c r="E37" s="132">
        <f>SB18a!E166</f>
        <v>0</v>
      </c>
      <c r="F37" s="132">
        <f>SB18a!F166</f>
        <v>0</v>
      </c>
      <c r="G37" s="132">
        <f>SB18a!G166</f>
        <v>0</v>
      </c>
      <c r="H37" s="132">
        <f>SB18a!H166</f>
        <v>0</v>
      </c>
      <c r="I37" s="132">
        <f>SB18a!I166</f>
        <v>0</v>
      </c>
      <c r="J37" s="171">
        <f>SB18a!J166</f>
        <v>0</v>
      </c>
      <c r="K37" s="171">
        <f>SB18a!K166</f>
        <v>0</v>
      </c>
      <c r="L37" s="132">
        <f>SB18a!L166</f>
        <v>0</v>
      </c>
      <c r="M37" s="133">
        <f>SB18a!M166</f>
        <v>0</v>
      </c>
      <c r="N37" s="128"/>
    </row>
    <row r="38" spans="1:14" ht="3.75" customHeight="1" x14ac:dyDescent="0.25">
      <c r="A38" s="163"/>
      <c r="B38" s="73"/>
      <c r="C38" s="172"/>
      <c r="D38" s="173"/>
      <c r="E38" s="173"/>
      <c r="F38" s="173"/>
      <c r="G38" s="173"/>
      <c r="H38" s="173"/>
      <c r="I38" s="173"/>
      <c r="J38" s="171"/>
      <c r="K38" s="171"/>
      <c r="L38" s="173"/>
      <c r="M38" s="174"/>
      <c r="N38" s="843"/>
    </row>
    <row r="39" spans="1:14" ht="12.75" customHeight="1" x14ac:dyDescent="0.25">
      <c r="A39" s="233" t="s">
        <v>1125</v>
      </c>
      <c r="B39" s="115">
        <v>2</v>
      </c>
      <c r="C39" s="140">
        <f>C49+C52+C53+C56+C59+C60+SUM(C63:C69)</f>
        <v>10488284</v>
      </c>
      <c r="D39" s="141">
        <f t="shared" ref="D39:M39" si="6">D49+D52+D53+D56+D59+D60+SUM(D63:D69)</f>
        <v>18538284</v>
      </c>
      <c r="E39" s="141">
        <f t="shared" si="6"/>
        <v>0</v>
      </c>
      <c r="F39" s="141">
        <f t="shared" si="6"/>
        <v>0</v>
      </c>
      <c r="G39" s="141">
        <f t="shared" si="6"/>
        <v>0</v>
      </c>
      <c r="H39" s="141">
        <f t="shared" si="6"/>
        <v>0</v>
      </c>
      <c r="I39" s="141">
        <f t="shared" si="6"/>
        <v>14170916</v>
      </c>
      <c r="J39" s="141">
        <f t="shared" si="6"/>
        <v>14170916</v>
      </c>
      <c r="K39" s="141">
        <f t="shared" si="6"/>
        <v>32709200</v>
      </c>
      <c r="L39" s="141">
        <f t="shared" si="6"/>
        <v>11534295</v>
      </c>
      <c r="M39" s="142">
        <f t="shared" si="6"/>
        <v>13012070</v>
      </c>
      <c r="N39" s="128"/>
    </row>
    <row r="40" spans="1:14" ht="12.75" customHeight="1" x14ac:dyDescent="0.25">
      <c r="A40" s="1236" t="s">
        <v>1569</v>
      </c>
      <c r="B40" s="73"/>
      <c r="C40" s="131">
        <f>SB18b!C9</f>
        <v>1500000</v>
      </c>
      <c r="D40" s="132">
        <f>SB18b!D9</f>
        <v>1500000</v>
      </c>
      <c r="E40" s="132">
        <f>SB18b!E9</f>
        <v>0</v>
      </c>
      <c r="F40" s="132">
        <f>SB18b!F9</f>
        <v>0</v>
      </c>
      <c r="G40" s="132">
        <f>SB18b!G9</f>
        <v>0</v>
      </c>
      <c r="H40" s="132">
        <f>SB18b!H9</f>
        <v>0</v>
      </c>
      <c r="I40" s="132">
        <f>SB18b!I9</f>
        <v>2000000</v>
      </c>
      <c r="J40" s="171">
        <f>SB18b!J9</f>
        <v>2000000</v>
      </c>
      <c r="K40" s="171">
        <f>SB18b!K9</f>
        <v>3500000</v>
      </c>
      <c r="L40" s="132">
        <f>SB18b!L9</f>
        <v>1000000</v>
      </c>
      <c r="M40" s="133">
        <f>SB18b!M9</f>
        <v>2000000</v>
      </c>
      <c r="N40" s="128"/>
    </row>
    <row r="41" spans="1:14" ht="12.75" customHeight="1" x14ac:dyDescent="0.25">
      <c r="A41" s="1236" t="s">
        <v>1573</v>
      </c>
      <c r="B41" s="73"/>
      <c r="C41" s="131">
        <f>SB18b!C14</f>
        <v>0</v>
      </c>
      <c r="D41" s="132">
        <f>SB18b!D14</f>
        <v>0</v>
      </c>
      <c r="E41" s="132">
        <f>SB18b!E14</f>
        <v>0</v>
      </c>
      <c r="F41" s="132">
        <f>SB18b!F14</f>
        <v>0</v>
      </c>
      <c r="G41" s="132">
        <f>SB18b!G14</f>
        <v>0</v>
      </c>
      <c r="H41" s="132">
        <f>SB18b!H14</f>
        <v>0</v>
      </c>
      <c r="I41" s="132">
        <f>SB18b!I14</f>
        <v>0</v>
      </c>
      <c r="J41" s="171">
        <f>SB18b!J14</f>
        <v>0</v>
      </c>
      <c r="K41" s="171">
        <f>SB18b!K14</f>
        <v>0</v>
      </c>
      <c r="L41" s="132">
        <f>SB18b!L14</f>
        <v>0</v>
      </c>
      <c r="M41" s="133">
        <f>SB18b!M14</f>
        <v>0</v>
      </c>
      <c r="N41" s="128"/>
    </row>
    <row r="42" spans="1:14" ht="12.75" customHeight="1" x14ac:dyDescent="0.25">
      <c r="A42" s="1236" t="s">
        <v>1577</v>
      </c>
      <c r="B42" s="73"/>
      <c r="C42" s="131">
        <f>SB18b!C18</f>
        <v>0</v>
      </c>
      <c r="D42" s="132">
        <f>SB18b!D18</f>
        <v>0</v>
      </c>
      <c r="E42" s="132">
        <f>SB18b!E18</f>
        <v>0</v>
      </c>
      <c r="F42" s="132">
        <f>SB18b!F18</f>
        <v>0</v>
      </c>
      <c r="G42" s="132">
        <f>SB18b!G18</f>
        <v>0</v>
      </c>
      <c r="H42" s="132">
        <f>SB18b!H18</f>
        <v>0</v>
      </c>
      <c r="I42" s="132">
        <f>SB18b!I18</f>
        <v>0</v>
      </c>
      <c r="J42" s="171">
        <f>SB18b!J18</f>
        <v>0</v>
      </c>
      <c r="K42" s="171">
        <f>SB18b!K18</f>
        <v>0</v>
      </c>
      <c r="L42" s="132">
        <f>SB18b!L18</f>
        <v>2061153</v>
      </c>
      <c r="M42" s="133">
        <f>SB18b!M18</f>
        <v>2219945</v>
      </c>
      <c r="N42" s="128"/>
    </row>
    <row r="43" spans="1:14" ht="12.75" customHeight="1" x14ac:dyDescent="0.25">
      <c r="A43" s="1236" t="s">
        <v>1586</v>
      </c>
      <c r="B43" s="73"/>
      <c r="C43" s="131">
        <f>SB18b!C28</f>
        <v>0</v>
      </c>
      <c r="D43" s="132">
        <f>SB18b!D28</f>
        <v>0</v>
      </c>
      <c r="E43" s="132">
        <f>SB18b!E28</f>
        <v>0</v>
      </c>
      <c r="F43" s="132">
        <f>SB18b!F28</f>
        <v>0</v>
      </c>
      <c r="G43" s="132">
        <f>SB18b!G28</f>
        <v>0</v>
      </c>
      <c r="H43" s="132">
        <f>SB18b!H28</f>
        <v>0</v>
      </c>
      <c r="I43" s="132">
        <f>SB18b!I28</f>
        <v>0</v>
      </c>
      <c r="J43" s="171">
        <f>SB18b!J28</f>
        <v>0</v>
      </c>
      <c r="K43" s="171">
        <f>SB18b!K28</f>
        <v>0</v>
      </c>
      <c r="L43" s="132">
        <f>SB18b!L28</f>
        <v>0</v>
      </c>
      <c r="M43" s="133">
        <f>SB18b!M28</f>
        <v>0</v>
      </c>
      <c r="N43" s="128"/>
    </row>
    <row r="44" spans="1:14" ht="12.75" customHeight="1" x14ac:dyDescent="0.25">
      <c r="A44" s="1236" t="s">
        <v>1596</v>
      </c>
      <c r="B44" s="73"/>
      <c r="C44" s="131">
        <f>SB18b!C39</f>
        <v>0</v>
      </c>
      <c r="D44" s="132">
        <f>SB18b!D39</f>
        <v>0</v>
      </c>
      <c r="E44" s="132">
        <f>SB18b!E39</f>
        <v>0</v>
      </c>
      <c r="F44" s="132">
        <f>SB18b!F39</f>
        <v>0</v>
      </c>
      <c r="G44" s="132">
        <f>SB18b!G39</f>
        <v>0</v>
      </c>
      <c r="H44" s="132">
        <f>SB18b!H39</f>
        <v>0</v>
      </c>
      <c r="I44" s="132">
        <f>SB18b!I39</f>
        <v>5680377</v>
      </c>
      <c r="J44" s="171">
        <f>SB18b!J39</f>
        <v>5680377</v>
      </c>
      <c r="K44" s="171">
        <f>SB18b!K39</f>
        <v>5680377</v>
      </c>
      <c r="L44" s="132">
        <f>SB18b!L39</f>
        <v>0</v>
      </c>
      <c r="M44" s="133">
        <f>SB18b!M39</f>
        <v>0</v>
      </c>
      <c r="N44" s="128"/>
    </row>
    <row r="45" spans="1:14" ht="12.75" customHeight="1" x14ac:dyDescent="0.25">
      <c r="A45" s="1236" t="s">
        <v>1601</v>
      </c>
      <c r="B45" s="73"/>
      <c r="C45" s="131">
        <f>SB18b!C46</f>
        <v>0</v>
      </c>
      <c r="D45" s="132">
        <f>SB18b!D46</f>
        <v>0</v>
      </c>
      <c r="E45" s="132">
        <f>SB18b!E46</f>
        <v>0</v>
      </c>
      <c r="F45" s="132">
        <f>SB18b!F46</f>
        <v>0</v>
      </c>
      <c r="G45" s="132">
        <f>SB18b!G46</f>
        <v>0</v>
      </c>
      <c r="H45" s="132">
        <f>SB18b!H46</f>
        <v>0</v>
      </c>
      <c r="I45" s="132">
        <f>SB18b!I46</f>
        <v>0</v>
      </c>
      <c r="J45" s="171">
        <f>SB18b!J46</f>
        <v>0</v>
      </c>
      <c r="K45" s="171">
        <f>SB18b!K46</f>
        <v>0</v>
      </c>
      <c r="L45" s="132">
        <f>SB18b!L46</f>
        <v>0</v>
      </c>
      <c r="M45" s="133">
        <f>SB18b!M46</f>
        <v>0</v>
      </c>
      <c r="N45" s="128"/>
    </row>
    <row r="46" spans="1:14" ht="12.75" customHeight="1" x14ac:dyDescent="0.25">
      <c r="A46" s="1236" t="s">
        <v>1608</v>
      </c>
      <c r="B46" s="73"/>
      <c r="C46" s="131">
        <f>SB18b!C54</f>
        <v>0</v>
      </c>
      <c r="D46" s="132">
        <f>SB18b!D54</f>
        <v>0</v>
      </c>
      <c r="E46" s="132">
        <f>SB18b!E54</f>
        <v>0</v>
      </c>
      <c r="F46" s="132">
        <f>SB18b!F54</f>
        <v>0</v>
      </c>
      <c r="G46" s="132">
        <f>SB18b!G54</f>
        <v>0</v>
      </c>
      <c r="H46" s="132">
        <f>SB18b!H54</f>
        <v>0</v>
      </c>
      <c r="I46" s="132">
        <f>SB18b!I54</f>
        <v>0</v>
      </c>
      <c r="J46" s="171">
        <f>SB18b!J54</f>
        <v>0</v>
      </c>
      <c r="K46" s="171">
        <f>SB18b!K54</f>
        <v>0</v>
      </c>
      <c r="L46" s="132">
        <f>SB18b!L54</f>
        <v>0</v>
      </c>
      <c r="M46" s="133">
        <f>SB18b!M54</f>
        <v>0</v>
      </c>
      <c r="N46" s="128"/>
    </row>
    <row r="47" spans="1:14" ht="12.75" customHeight="1" x14ac:dyDescent="0.25">
      <c r="A47" s="1236" t="s">
        <v>1612</v>
      </c>
      <c r="B47" s="73"/>
      <c r="C47" s="131">
        <f>SB18b!C64</f>
        <v>0</v>
      </c>
      <c r="D47" s="132">
        <f>SB18b!D64</f>
        <v>0</v>
      </c>
      <c r="E47" s="132">
        <f>SB18b!E64</f>
        <v>0</v>
      </c>
      <c r="F47" s="132">
        <f>SB18b!F64</f>
        <v>0</v>
      </c>
      <c r="G47" s="132">
        <f>SB18b!G64</f>
        <v>0</v>
      </c>
      <c r="H47" s="132">
        <f>SB18b!H64</f>
        <v>0</v>
      </c>
      <c r="I47" s="132">
        <f>SB18b!I64</f>
        <v>0</v>
      </c>
      <c r="J47" s="171">
        <f>SB18b!J64</f>
        <v>0</v>
      </c>
      <c r="K47" s="171">
        <f>SB18b!K64</f>
        <v>0</v>
      </c>
      <c r="L47" s="132">
        <f>SB18b!L64</f>
        <v>0</v>
      </c>
      <c r="M47" s="133">
        <f>SB18b!M64</f>
        <v>0</v>
      </c>
      <c r="N47" s="128"/>
    </row>
    <row r="48" spans="1:14" ht="12.75" customHeight="1" x14ac:dyDescent="0.25">
      <c r="A48" s="1236" t="s">
        <v>1617</v>
      </c>
      <c r="B48" s="73"/>
      <c r="C48" s="131">
        <f>SB18b!C70</f>
        <v>0</v>
      </c>
      <c r="D48" s="132">
        <f>SB18b!D70</f>
        <v>0</v>
      </c>
      <c r="E48" s="132">
        <f>SB18b!E70</f>
        <v>0</v>
      </c>
      <c r="F48" s="132">
        <f>SB18b!F70</f>
        <v>0</v>
      </c>
      <c r="G48" s="132">
        <f>SB18b!G70</f>
        <v>0</v>
      </c>
      <c r="H48" s="132">
        <f>SB18b!H70</f>
        <v>0</v>
      </c>
      <c r="I48" s="132">
        <f>SB18b!I70</f>
        <v>0</v>
      </c>
      <c r="J48" s="171">
        <f>SB18b!J70</f>
        <v>0</v>
      </c>
      <c r="K48" s="171">
        <f>SB18b!K70</f>
        <v>0</v>
      </c>
      <c r="L48" s="132">
        <f>SB18b!L70</f>
        <v>0</v>
      </c>
      <c r="M48" s="133">
        <f>SB18b!M70</f>
        <v>0</v>
      </c>
      <c r="N48" s="128"/>
    </row>
    <row r="49" spans="1:14" ht="12.75" customHeight="1" x14ac:dyDescent="0.25">
      <c r="A49" s="1237" t="s">
        <v>764</v>
      </c>
      <c r="B49" s="73"/>
      <c r="C49" s="700">
        <f>SUM(C40:C48)</f>
        <v>1500000</v>
      </c>
      <c r="D49" s="265">
        <f t="shared" ref="D49:M49" si="7">SUM(D40:D48)</f>
        <v>1500000</v>
      </c>
      <c r="E49" s="265">
        <f t="shared" si="7"/>
        <v>0</v>
      </c>
      <c r="F49" s="265">
        <f t="shared" si="7"/>
        <v>0</v>
      </c>
      <c r="G49" s="265">
        <f t="shared" si="7"/>
        <v>0</v>
      </c>
      <c r="H49" s="265">
        <f t="shared" si="7"/>
        <v>0</v>
      </c>
      <c r="I49" s="265">
        <f t="shared" si="7"/>
        <v>7680377</v>
      </c>
      <c r="J49" s="580">
        <f t="shared" si="7"/>
        <v>7680377</v>
      </c>
      <c r="K49" s="580">
        <f t="shared" si="7"/>
        <v>9180377</v>
      </c>
      <c r="L49" s="265">
        <f t="shared" si="7"/>
        <v>3061153</v>
      </c>
      <c r="M49" s="266">
        <f t="shared" si="7"/>
        <v>4219945</v>
      </c>
      <c r="N49" s="128"/>
    </row>
    <row r="50" spans="1:14" ht="12.75" customHeight="1" x14ac:dyDescent="0.25">
      <c r="A50" s="1238" t="s">
        <v>1622</v>
      </c>
      <c r="B50" s="73"/>
      <c r="C50" s="131">
        <f>SB18b!C77</f>
        <v>6868023</v>
      </c>
      <c r="D50" s="132">
        <f>SB18b!D77</f>
        <v>13918023</v>
      </c>
      <c r="E50" s="132">
        <f>SB18b!E77</f>
        <v>0</v>
      </c>
      <c r="F50" s="132">
        <f>SB18b!F77</f>
        <v>0</v>
      </c>
      <c r="G50" s="132">
        <f>SB18b!G77</f>
        <v>0</v>
      </c>
      <c r="H50" s="132">
        <f>SB18b!H77</f>
        <v>0</v>
      </c>
      <c r="I50" s="132">
        <f>SB18b!I77</f>
        <v>-509461</v>
      </c>
      <c r="J50" s="171">
        <f>SB18b!J77</f>
        <v>-509461</v>
      </c>
      <c r="K50" s="171">
        <f>SB18b!K77</f>
        <v>13408562</v>
      </c>
      <c r="L50" s="132">
        <f>SB18b!L77</f>
        <v>5649747</v>
      </c>
      <c r="M50" s="133">
        <f>SB18b!M77</f>
        <v>5166329</v>
      </c>
      <c r="N50" s="128"/>
    </row>
    <row r="51" spans="1:14" ht="12.75" customHeight="1" x14ac:dyDescent="0.25">
      <c r="A51" s="1238" t="s">
        <v>1640</v>
      </c>
      <c r="B51" s="73"/>
      <c r="C51" s="131">
        <f>SB18b!C100</f>
        <v>0</v>
      </c>
      <c r="D51" s="132">
        <f>SB18b!D100</f>
        <v>0</v>
      </c>
      <c r="E51" s="132">
        <f>SB18b!E100</f>
        <v>0</v>
      </c>
      <c r="F51" s="132">
        <f>SB18b!F100</f>
        <v>0</v>
      </c>
      <c r="G51" s="132">
        <f>SB18b!G100</f>
        <v>0</v>
      </c>
      <c r="H51" s="132">
        <f>SB18b!H100</f>
        <v>0</v>
      </c>
      <c r="I51" s="132">
        <f>SB18b!I100</f>
        <v>0</v>
      </c>
      <c r="J51" s="171">
        <f>SB18b!J100</f>
        <v>0</v>
      </c>
      <c r="K51" s="171">
        <f>SB18b!K100</f>
        <v>0</v>
      </c>
      <c r="L51" s="132">
        <f>SB18b!L100</f>
        <v>0</v>
      </c>
      <c r="M51" s="133">
        <f>SB18b!M100</f>
        <v>500000</v>
      </c>
      <c r="N51" s="128"/>
    </row>
    <row r="52" spans="1:14" ht="12.75" customHeight="1" x14ac:dyDescent="0.25">
      <c r="A52" s="1237" t="s">
        <v>1621</v>
      </c>
      <c r="B52" s="73"/>
      <c r="C52" s="700">
        <f>SUM(C50:C51)</f>
        <v>6868023</v>
      </c>
      <c r="D52" s="265">
        <f t="shared" ref="D52:M52" si="8">SUM(D50:D51)</f>
        <v>13918023</v>
      </c>
      <c r="E52" s="265">
        <f t="shared" si="8"/>
        <v>0</v>
      </c>
      <c r="F52" s="265">
        <f t="shared" si="8"/>
        <v>0</v>
      </c>
      <c r="G52" s="265">
        <f t="shared" si="8"/>
        <v>0</v>
      </c>
      <c r="H52" s="265">
        <f t="shared" si="8"/>
        <v>0</v>
      </c>
      <c r="I52" s="265">
        <f t="shared" si="8"/>
        <v>-509461</v>
      </c>
      <c r="J52" s="580">
        <f t="shared" si="8"/>
        <v>-509461</v>
      </c>
      <c r="K52" s="580">
        <f t="shared" si="8"/>
        <v>13408562</v>
      </c>
      <c r="L52" s="265">
        <f t="shared" si="8"/>
        <v>5649747</v>
      </c>
      <c r="M52" s="266">
        <f t="shared" si="8"/>
        <v>5666329</v>
      </c>
      <c r="N52" s="128"/>
    </row>
    <row r="53" spans="1:14" ht="12.75" customHeight="1" x14ac:dyDescent="0.25">
      <c r="A53" s="1239" t="s">
        <v>1369</v>
      </c>
      <c r="B53" s="73"/>
      <c r="C53" s="131">
        <f>SB18b!C105</f>
        <v>0</v>
      </c>
      <c r="D53" s="132">
        <f>SB18b!D105</f>
        <v>0</v>
      </c>
      <c r="E53" s="132">
        <f>SB18b!E105</f>
        <v>0</v>
      </c>
      <c r="F53" s="132">
        <f>SB18b!F105</f>
        <v>0</v>
      </c>
      <c r="G53" s="132">
        <f>SB18b!G105</f>
        <v>0</v>
      </c>
      <c r="H53" s="132">
        <f>SB18b!H105</f>
        <v>0</v>
      </c>
      <c r="I53" s="132">
        <f>SB18b!I105</f>
        <v>0</v>
      </c>
      <c r="J53" s="171">
        <f>SB18b!J105</f>
        <v>0</v>
      </c>
      <c r="K53" s="171">
        <f>SB18b!K105</f>
        <v>0</v>
      </c>
      <c r="L53" s="132">
        <f>SB18b!L105</f>
        <v>0</v>
      </c>
      <c r="M53" s="133">
        <f>SB18b!M105</f>
        <v>0</v>
      </c>
      <c r="N53" s="128"/>
    </row>
    <row r="54" spans="1:14" ht="12.75" customHeight="1" x14ac:dyDescent="0.25">
      <c r="A54" s="1238" t="s">
        <v>1648</v>
      </c>
      <c r="B54" s="73"/>
      <c r="C54" s="131">
        <f>SB18b!C113</f>
        <v>0</v>
      </c>
      <c r="D54" s="132">
        <f>SB18b!D113</f>
        <v>0</v>
      </c>
      <c r="E54" s="132">
        <f>SB18b!E113</f>
        <v>0</v>
      </c>
      <c r="F54" s="132">
        <f>SB18b!F113</f>
        <v>0</v>
      </c>
      <c r="G54" s="132">
        <f>SB18b!G113</f>
        <v>0</v>
      </c>
      <c r="H54" s="132">
        <f>SB18b!H113</f>
        <v>0</v>
      </c>
      <c r="I54" s="132">
        <f>SB18b!I113</f>
        <v>0</v>
      </c>
      <c r="J54" s="171">
        <f>SB18b!J113</f>
        <v>0</v>
      </c>
      <c r="K54" s="171">
        <f>SB18b!K113</f>
        <v>0</v>
      </c>
      <c r="L54" s="132">
        <f>SB18b!L113</f>
        <v>0</v>
      </c>
      <c r="M54" s="133">
        <f>SB18b!M113</f>
        <v>0</v>
      </c>
      <c r="N54" s="128"/>
    </row>
    <row r="55" spans="1:14" ht="12.75" customHeight="1" x14ac:dyDescent="0.25">
      <c r="A55" s="1238" t="s">
        <v>1651</v>
      </c>
      <c r="B55" s="73"/>
      <c r="C55" s="131">
        <f>SB18b!C116</f>
        <v>0</v>
      </c>
      <c r="D55" s="132">
        <f>SB18b!D116</f>
        <v>0</v>
      </c>
      <c r="E55" s="132">
        <f>SB18b!E116</f>
        <v>0</v>
      </c>
      <c r="F55" s="132">
        <f>SB18b!F116</f>
        <v>0</v>
      </c>
      <c r="G55" s="132">
        <f>SB18b!G116</f>
        <v>0</v>
      </c>
      <c r="H55" s="132">
        <f>SB18b!H116</f>
        <v>0</v>
      </c>
      <c r="I55" s="132">
        <f>SB18b!I116</f>
        <v>0</v>
      </c>
      <c r="J55" s="171">
        <f>SB18b!J116</f>
        <v>0</v>
      </c>
      <c r="K55" s="171">
        <f>SB18b!K116</f>
        <v>0</v>
      </c>
      <c r="L55" s="132">
        <f>SB18b!L116</f>
        <v>0</v>
      </c>
      <c r="M55" s="133">
        <f>SB18b!M116</f>
        <v>0</v>
      </c>
      <c r="N55" s="128"/>
    </row>
    <row r="56" spans="1:14" ht="12.75" customHeight="1" x14ac:dyDescent="0.25">
      <c r="A56" s="1237" t="s">
        <v>766</v>
      </c>
      <c r="B56" s="73"/>
      <c r="C56" s="700">
        <f>SUM(C54:C55)</f>
        <v>0</v>
      </c>
      <c r="D56" s="265">
        <f t="shared" ref="D56:M56" si="9">SUM(D54:D55)</f>
        <v>0</v>
      </c>
      <c r="E56" s="265">
        <f t="shared" si="9"/>
        <v>0</v>
      </c>
      <c r="F56" s="265">
        <f t="shared" si="9"/>
        <v>0</v>
      </c>
      <c r="G56" s="265">
        <f t="shared" si="9"/>
        <v>0</v>
      </c>
      <c r="H56" s="265">
        <f t="shared" si="9"/>
        <v>0</v>
      </c>
      <c r="I56" s="265">
        <f t="shared" si="9"/>
        <v>0</v>
      </c>
      <c r="J56" s="580">
        <f t="shared" si="9"/>
        <v>0</v>
      </c>
      <c r="K56" s="580">
        <f t="shared" si="9"/>
        <v>0</v>
      </c>
      <c r="L56" s="265">
        <f t="shared" si="9"/>
        <v>0</v>
      </c>
      <c r="M56" s="266">
        <f t="shared" si="9"/>
        <v>0</v>
      </c>
      <c r="N56" s="128"/>
    </row>
    <row r="57" spans="1:14" ht="12.75" customHeight="1" x14ac:dyDescent="0.25">
      <c r="A57" s="1238" t="s">
        <v>1652</v>
      </c>
      <c r="B57" s="73"/>
      <c r="C57" s="131">
        <f>SB18b!C121</f>
        <v>2120261</v>
      </c>
      <c r="D57" s="132">
        <f>SB18b!D121</f>
        <v>3120261</v>
      </c>
      <c r="E57" s="132">
        <f>SB18b!E121</f>
        <v>0</v>
      </c>
      <c r="F57" s="132">
        <f>SB18b!F121</f>
        <v>0</v>
      </c>
      <c r="G57" s="132">
        <f>SB18b!G121</f>
        <v>0</v>
      </c>
      <c r="H57" s="132">
        <f>SB18b!H121</f>
        <v>0</v>
      </c>
      <c r="I57" s="132">
        <f>SB18b!I121</f>
        <v>7000000</v>
      </c>
      <c r="J57" s="171">
        <f>SB18b!J121</f>
        <v>7000000</v>
      </c>
      <c r="K57" s="171">
        <f>SB18b!K121</f>
        <v>10120261</v>
      </c>
      <c r="L57" s="132">
        <f>SB18b!L121</f>
        <v>2823395</v>
      </c>
      <c r="M57" s="133">
        <f>SB18b!M121</f>
        <v>3125796</v>
      </c>
      <c r="N57" s="128"/>
    </row>
    <row r="58" spans="1:14" ht="12.75" customHeight="1" x14ac:dyDescent="0.25">
      <c r="A58" s="1238" t="s">
        <v>619</v>
      </c>
      <c r="B58" s="73"/>
      <c r="C58" s="131">
        <f>SB18b!C133</f>
        <v>0</v>
      </c>
      <c r="D58" s="132">
        <f>SB18b!D133</f>
        <v>0</v>
      </c>
      <c r="E58" s="132">
        <f>SB18b!E133</f>
        <v>0</v>
      </c>
      <c r="F58" s="132">
        <f>SB18b!F133</f>
        <v>0</v>
      </c>
      <c r="G58" s="132">
        <f>SB18b!G133</f>
        <v>0</v>
      </c>
      <c r="H58" s="132">
        <f>SB18b!H133</f>
        <v>0</v>
      </c>
      <c r="I58" s="132">
        <f>SB18b!I133</f>
        <v>0</v>
      </c>
      <c r="J58" s="171">
        <f>SB18b!J133</f>
        <v>0</v>
      </c>
      <c r="K58" s="171">
        <f>SB18b!K133</f>
        <v>0</v>
      </c>
      <c r="L58" s="132">
        <f>SB18b!L133</f>
        <v>0</v>
      </c>
      <c r="M58" s="133">
        <f>SB18b!M133</f>
        <v>0</v>
      </c>
      <c r="N58" s="128"/>
    </row>
    <row r="59" spans="1:14" ht="12.75" customHeight="1" x14ac:dyDescent="0.25">
      <c r="A59" s="1237" t="s">
        <v>1370</v>
      </c>
      <c r="B59" s="73">
        <v>6</v>
      </c>
      <c r="C59" s="700">
        <f>SUM(C57:C58)</f>
        <v>2120261</v>
      </c>
      <c r="D59" s="265">
        <f t="shared" ref="D59:M59" si="10">SUM(D57:D58)</f>
        <v>3120261</v>
      </c>
      <c r="E59" s="265">
        <f t="shared" si="10"/>
        <v>0</v>
      </c>
      <c r="F59" s="265">
        <f t="shared" si="10"/>
        <v>0</v>
      </c>
      <c r="G59" s="265">
        <f t="shared" si="10"/>
        <v>0</v>
      </c>
      <c r="H59" s="265">
        <f t="shared" si="10"/>
        <v>0</v>
      </c>
      <c r="I59" s="265">
        <f t="shared" si="10"/>
        <v>7000000</v>
      </c>
      <c r="J59" s="580">
        <f t="shared" si="10"/>
        <v>7000000</v>
      </c>
      <c r="K59" s="580">
        <f t="shared" si="10"/>
        <v>10120261</v>
      </c>
      <c r="L59" s="265">
        <f t="shared" si="10"/>
        <v>2823395</v>
      </c>
      <c r="M59" s="266">
        <f t="shared" si="10"/>
        <v>3125796</v>
      </c>
      <c r="N59" s="128"/>
    </row>
    <row r="60" spans="1:14" ht="12.75" customHeight="1" x14ac:dyDescent="0.25">
      <c r="A60" s="1239" t="s">
        <v>1665</v>
      </c>
      <c r="B60" s="73"/>
      <c r="C60" s="131">
        <f>SB18b!C138</f>
        <v>0</v>
      </c>
      <c r="D60" s="132">
        <f>SB18b!D138</f>
        <v>0</v>
      </c>
      <c r="E60" s="132">
        <f>SB18b!E138</f>
        <v>0</v>
      </c>
      <c r="F60" s="132">
        <f>SB18b!F138</f>
        <v>0</v>
      </c>
      <c r="G60" s="132">
        <f>SB18b!G138</f>
        <v>0</v>
      </c>
      <c r="H60" s="132">
        <f>SB18b!H138</f>
        <v>0</v>
      </c>
      <c r="I60" s="132">
        <f>SB18b!I138</f>
        <v>0</v>
      </c>
      <c r="J60" s="171">
        <f>SB18b!J138</f>
        <v>0</v>
      </c>
      <c r="K60" s="171">
        <f>SB18b!K138</f>
        <v>0</v>
      </c>
      <c r="L60" s="132">
        <f>SB18b!L138</f>
        <v>0</v>
      </c>
      <c r="M60" s="133">
        <f>SB18b!M138</f>
        <v>0</v>
      </c>
      <c r="N60" s="128"/>
    </row>
    <row r="61" spans="1:14" ht="12.75" customHeight="1" x14ac:dyDescent="0.25">
      <c r="A61" s="1238" t="s">
        <v>1667</v>
      </c>
      <c r="B61" s="73"/>
      <c r="C61" s="131">
        <f>SB18b!C142</f>
        <v>0</v>
      </c>
      <c r="D61" s="132">
        <f>SB18b!D142</f>
        <v>0</v>
      </c>
      <c r="E61" s="132">
        <f>SB18b!E142</f>
        <v>0</v>
      </c>
      <c r="F61" s="132">
        <f>SB18b!F142</f>
        <v>0</v>
      </c>
      <c r="G61" s="132">
        <f>SB18b!G142</f>
        <v>0</v>
      </c>
      <c r="H61" s="132">
        <f>SB18b!H142</f>
        <v>0</v>
      </c>
      <c r="I61" s="132">
        <f>SB18b!I142</f>
        <v>0</v>
      </c>
      <c r="J61" s="171">
        <f>SB18b!J142</f>
        <v>0</v>
      </c>
      <c r="K61" s="171">
        <f>SB18b!K142</f>
        <v>0</v>
      </c>
      <c r="L61" s="132">
        <f>SB18b!L142</f>
        <v>0</v>
      </c>
      <c r="M61" s="133">
        <f>SB18b!M142</f>
        <v>0</v>
      </c>
      <c r="N61" s="128"/>
    </row>
    <row r="62" spans="1:14" ht="12.75" customHeight="1" x14ac:dyDescent="0.25">
      <c r="A62" s="1238" t="s">
        <v>1668</v>
      </c>
      <c r="B62" s="73"/>
      <c r="C62" s="131">
        <f>SB18b!C143</f>
        <v>0</v>
      </c>
      <c r="D62" s="132">
        <f>SB18b!D143</f>
        <v>0</v>
      </c>
      <c r="E62" s="132">
        <f>SB18b!E143</f>
        <v>0</v>
      </c>
      <c r="F62" s="132">
        <f>SB18b!F143</f>
        <v>0</v>
      </c>
      <c r="G62" s="132">
        <f>SB18b!G143</f>
        <v>0</v>
      </c>
      <c r="H62" s="132">
        <f>SB18b!H143</f>
        <v>0</v>
      </c>
      <c r="I62" s="132">
        <f>SB18b!I143</f>
        <v>0</v>
      </c>
      <c r="J62" s="171">
        <f>SB18b!J143</f>
        <v>0</v>
      </c>
      <c r="K62" s="171">
        <f>SB18b!K143</f>
        <v>0</v>
      </c>
      <c r="L62" s="132">
        <f>SB18b!L143</f>
        <v>0</v>
      </c>
      <c r="M62" s="133">
        <f>SB18b!M143</f>
        <v>0</v>
      </c>
      <c r="N62" s="128"/>
    </row>
    <row r="63" spans="1:14" ht="12.75" customHeight="1" x14ac:dyDescent="0.25">
      <c r="A63" s="1237" t="s">
        <v>1666</v>
      </c>
      <c r="B63" s="73"/>
      <c r="C63" s="700">
        <f>SUM(C61:C62)</f>
        <v>0</v>
      </c>
      <c r="D63" s="265">
        <f t="shared" ref="D63:M63" si="11">SUM(D61:D62)</f>
        <v>0</v>
      </c>
      <c r="E63" s="265">
        <f t="shared" si="11"/>
        <v>0</v>
      </c>
      <c r="F63" s="265">
        <f t="shared" si="11"/>
        <v>0</v>
      </c>
      <c r="G63" s="265">
        <f t="shared" si="11"/>
        <v>0</v>
      </c>
      <c r="H63" s="265">
        <f t="shared" si="11"/>
        <v>0</v>
      </c>
      <c r="I63" s="265">
        <f t="shared" si="11"/>
        <v>0</v>
      </c>
      <c r="J63" s="580">
        <f t="shared" si="11"/>
        <v>0</v>
      </c>
      <c r="K63" s="580">
        <f t="shared" si="11"/>
        <v>0</v>
      </c>
      <c r="L63" s="265">
        <f t="shared" si="11"/>
        <v>0</v>
      </c>
      <c r="M63" s="266">
        <f t="shared" si="11"/>
        <v>0</v>
      </c>
      <c r="N63" s="128"/>
    </row>
    <row r="64" spans="1:14" ht="12.75" customHeight="1" x14ac:dyDescent="0.25">
      <c r="A64" s="1240" t="s">
        <v>1675</v>
      </c>
      <c r="B64" s="73"/>
      <c r="C64" s="131">
        <f>SB18b!C151</f>
        <v>0</v>
      </c>
      <c r="D64" s="132">
        <f>SB18b!D151</f>
        <v>0</v>
      </c>
      <c r="E64" s="132">
        <f>SB18b!E151</f>
        <v>0</v>
      </c>
      <c r="F64" s="132">
        <f>SB18b!F151</f>
        <v>0</v>
      </c>
      <c r="G64" s="132">
        <f>SB18b!G151</f>
        <v>0</v>
      </c>
      <c r="H64" s="132">
        <f>SB18b!H151</f>
        <v>0</v>
      </c>
      <c r="I64" s="132">
        <f>SB18b!I151</f>
        <v>0</v>
      </c>
      <c r="J64" s="171">
        <f>SB18b!J151</f>
        <v>0</v>
      </c>
      <c r="K64" s="171">
        <f>SB18b!K151</f>
        <v>0</v>
      </c>
      <c r="L64" s="132">
        <f>SB18b!L151</f>
        <v>0</v>
      </c>
      <c r="M64" s="133">
        <f>SB18b!M151</f>
        <v>0</v>
      </c>
      <c r="N64" s="128"/>
    </row>
    <row r="65" spans="1:14" ht="12.75" customHeight="1" x14ac:dyDescent="0.25">
      <c r="A65" s="1239" t="s">
        <v>1676</v>
      </c>
      <c r="B65" s="73"/>
      <c r="C65" s="131">
        <f>SB18b!C154</f>
        <v>0</v>
      </c>
      <c r="D65" s="132">
        <f>SB18b!D154</f>
        <v>0</v>
      </c>
      <c r="E65" s="132">
        <f>SB18b!E154</f>
        <v>0</v>
      </c>
      <c r="F65" s="132">
        <f>SB18b!F154</f>
        <v>0</v>
      </c>
      <c r="G65" s="132">
        <f>SB18b!G154</f>
        <v>0</v>
      </c>
      <c r="H65" s="132">
        <f>SB18b!H154</f>
        <v>0</v>
      </c>
      <c r="I65" s="132">
        <f>SB18b!I154</f>
        <v>0</v>
      </c>
      <c r="J65" s="171">
        <f>SB18b!J154</f>
        <v>0</v>
      </c>
      <c r="K65" s="171">
        <f>SB18b!K154</f>
        <v>0</v>
      </c>
      <c r="L65" s="132">
        <f>SB18b!L154</f>
        <v>0</v>
      </c>
      <c r="M65" s="133">
        <f>SB18b!M154</f>
        <v>0</v>
      </c>
      <c r="N65" s="128"/>
    </row>
    <row r="66" spans="1:14" ht="12.75" customHeight="1" x14ac:dyDescent="0.25">
      <c r="A66" s="1239" t="s">
        <v>1677</v>
      </c>
      <c r="B66" s="73"/>
      <c r="C66" s="131">
        <f>SB18b!C157</f>
        <v>0</v>
      </c>
      <c r="D66" s="132">
        <f>SB18b!D157</f>
        <v>0</v>
      </c>
      <c r="E66" s="132">
        <f>SB18b!E157</f>
        <v>0</v>
      </c>
      <c r="F66" s="132">
        <f>SB18b!F157</f>
        <v>0</v>
      </c>
      <c r="G66" s="132">
        <f>SB18b!G157</f>
        <v>0</v>
      </c>
      <c r="H66" s="132">
        <f>SB18b!H157</f>
        <v>0</v>
      </c>
      <c r="I66" s="132">
        <f>SB18b!I157</f>
        <v>0</v>
      </c>
      <c r="J66" s="171">
        <f>SB18b!J157</f>
        <v>0</v>
      </c>
      <c r="K66" s="171">
        <f>SB18b!K157</f>
        <v>0</v>
      </c>
      <c r="L66" s="132">
        <f>SB18b!L157</f>
        <v>0</v>
      </c>
      <c r="M66" s="133">
        <f>SB18b!M157</f>
        <v>0</v>
      </c>
      <c r="N66" s="128"/>
    </row>
    <row r="67" spans="1:14" ht="12.75" customHeight="1" x14ac:dyDescent="0.25">
      <c r="A67" s="1240" t="s">
        <v>1678</v>
      </c>
      <c r="B67" s="73"/>
      <c r="C67" s="131">
        <f>SB18b!C160</f>
        <v>0</v>
      </c>
      <c r="D67" s="132">
        <f>SB18b!D160</f>
        <v>0</v>
      </c>
      <c r="E67" s="132">
        <f>SB18b!E160</f>
        <v>0</v>
      </c>
      <c r="F67" s="132">
        <f>SB18b!F160</f>
        <v>0</v>
      </c>
      <c r="G67" s="132">
        <f>SB18b!G160</f>
        <v>0</v>
      </c>
      <c r="H67" s="132">
        <f>SB18b!H160</f>
        <v>0</v>
      </c>
      <c r="I67" s="132">
        <f>SB18b!I160</f>
        <v>0</v>
      </c>
      <c r="J67" s="171">
        <f>SB18b!J160</f>
        <v>0</v>
      </c>
      <c r="K67" s="171">
        <f>SB18b!K160</f>
        <v>0</v>
      </c>
      <c r="L67" s="132">
        <f>SB18b!L160</f>
        <v>0</v>
      </c>
      <c r="M67" s="133">
        <f>SB18b!M160</f>
        <v>0</v>
      </c>
      <c r="N67" s="128"/>
    </row>
    <row r="68" spans="1:14" ht="12.75" customHeight="1" x14ac:dyDescent="0.25">
      <c r="A68" s="1239" t="s">
        <v>1735</v>
      </c>
      <c r="B68" s="73"/>
      <c r="C68" s="131">
        <f>SB18b!C163</f>
        <v>0</v>
      </c>
      <c r="D68" s="132">
        <f>SB18b!D163</f>
        <v>0</v>
      </c>
      <c r="E68" s="132">
        <f>SB18b!E163</f>
        <v>0</v>
      </c>
      <c r="F68" s="132">
        <f>SB18b!F163</f>
        <v>0</v>
      </c>
      <c r="G68" s="132">
        <f>SB18b!G163</f>
        <v>0</v>
      </c>
      <c r="H68" s="132">
        <f>SB18b!H163</f>
        <v>0</v>
      </c>
      <c r="I68" s="132">
        <f>SB18b!I163</f>
        <v>0</v>
      </c>
      <c r="J68" s="171">
        <f>SB18b!J163</f>
        <v>0</v>
      </c>
      <c r="K68" s="171">
        <f>SB18b!K163</f>
        <v>0</v>
      </c>
      <c r="L68" s="132">
        <f>SB18b!L163</f>
        <v>0</v>
      </c>
      <c r="M68" s="133">
        <f>SB18b!M163</f>
        <v>0</v>
      </c>
      <c r="N68" s="128"/>
    </row>
    <row r="69" spans="1:14" ht="12.75" customHeight="1" x14ac:dyDescent="0.25">
      <c r="A69" s="1239" t="s">
        <v>1679</v>
      </c>
      <c r="B69" s="73"/>
      <c r="C69" s="131">
        <f>SB18b!C166</f>
        <v>0</v>
      </c>
      <c r="D69" s="132">
        <f>SB18b!D166</f>
        <v>0</v>
      </c>
      <c r="E69" s="132">
        <f>SB18b!E166</f>
        <v>0</v>
      </c>
      <c r="F69" s="132">
        <f>SB18b!F166</f>
        <v>0</v>
      </c>
      <c r="G69" s="132">
        <f>SB18b!G166</f>
        <v>0</v>
      </c>
      <c r="H69" s="132">
        <f>SB18b!H166</f>
        <v>0</v>
      </c>
      <c r="I69" s="132">
        <f>SB18b!I166</f>
        <v>0</v>
      </c>
      <c r="J69" s="171">
        <f>SB18b!J166</f>
        <v>0</v>
      </c>
      <c r="K69" s="171">
        <f>SB18b!K166</f>
        <v>0</v>
      </c>
      <c r="L69" s="132">
        <f>SB18b!L166</f>
        <v>0</v>
      </c>
      <c r="M69" s="133">
        <f>SB18b!M166</f>
        <v>0</v>
      </c>
      <c r="N69" s="128"/>
    </row>
    <row r="70" spans="1:14" ht="4.5" customHeight="1" x14ac:dyDescent="0.25">
      <c r="B70" s="115"/>
      <c r="C70" s="172"/>
      <c r="D70" s="173"/>
      <c r="E70" s="173"/>
      <c r="F70" s="173"/>
      <c r="G70" s="173"/>
      <c r="H70" s="173"/>
      <c r="I70" s="173"/>
      <c r="J70" s="171"/>
      <c r="K70" s="171"/>
      <c r="L70" s="173"/>
      <c r="M70" s="174"/>
      <c r="N70" s="128"/>
    </row>
    <row r="71" spans="1:14" ht="12.75" customHeight="1" x14ac:dyDescent="0.25">
      <c r="A71" s="233" t="s">
        <v>1686</v>
      </c>
      <c r="B71" s="115" t="s">
        <v>1687</v>
      </c>
      <c r="C71" s="140">
        <f>C81+C84+C85+C88+C91+C92+SUM(C95:C101)</f>
        <v>345097620</v>
      </c>
      <c r="D71" s="141">
        <f t="shared" ref="D71:M71" si="12">D81+D84+D85+D88+D91+D92+SUM(D95:D101)</f>
        <v>359032630</v>
      </c>
      <c r="E71" s="141">
        <f t="shared" si="12"/>
        <v>0</v>
      </c>
      <c r="F71" s="141">
        <f t="shared" si="12"/>
        <v>0</v>
      </c>
      <c r="G71" s="141">
        <f t="shared" si="12"/>
        <v>0</v>
      </c>
      <c r="H71" s="141">
        <f t="shared" si="12"/>
        <v>16071908</v>
      </c>
      <c r="I71" s="141">
        <f t="shared" si="12"/>
        <v>-81909901</v>
      </c>
      <c r="J71" s="141">
        <f t="shared" si="12"/>
        <v>-65837993</v>
      </c>
      <c r="K71" s="141">
        <f t="shared" si="12"/>
        <v>293194637</v>
      </c>
      <c r="L71" s="141">
        <f t="shared" si="12"/>
        <v>263221843</v>
      </c>
      <c r="M71" s="142">
        <f t="shared" si="12"/>
        <v>258943194</v>
      </c>
      <c r="N71" s="128"/>
    </row>
    <row r="72" spans="1:14" ht="12.75" customHeight="1" x14ac:dyDescent="0.25">
      <c r="A72" s="1236" t="s">
        <v>1569</v>
      </c>
      <c r="B72" s="73"/>
      <c r="C72" s="131">
        <f>SB18e!C9</f>
        <v>157040620</v>
      </c>
      <c r="D72" s="132">
        <f>SB18e!D9</f>
        <v>193436630</v>
      </c>
      <c r="E72" s="132">
        <f>SB18e!E9</f>
        <v>0</v>
      </c>
      <c r="F72" s="132">
        <f>SB18e!F9</f>
        <v>0</v>
      </c>
      <c r="G72" s="132">
        <f>SB18e!G9</f>
        <v>0</v>
      </c>
      <c r="H72" s="132">
        <f>SB18e!H9</f>
        <v>16071908</v>
      </c>
      <c r="I72" s="132">
        <f>SB18e!I9</f>
        <v>-73231045</v>
      </c>
      <c r="J72" s="171">
        <f>SB18e!J9</f>
        <v>-57159137</v>
      </c>
      <c r="K72" s="171">
        <f>SB18e!K9</f>
        <v>136277493</v>
      </c>
      <c r="L72" s="132">
        <f>SB18e!L9</f>
        <v>209565780</v>
      </c>
      <c r="M72" s="133">
        <f>SB18e!M9</f>
        <v>229482000</v>
      </c>
      <c r="N72" s="128"/>
    </row>
    <row r="73" spans="1:14" ht="12.75" customHeight="1" x14ac:dyDescent="0.25">
      <c r="A73" s="1236" t="s">
        <v>1573</v>
      </c>
      <c r="B73" s="73"/>
      <c r="C73" s="131">
        <f>SB18e!C14</f>
        <v>0</v>
      </c>
      <c r="D73" s="132">
        <f>SB18e!D14</f>
        <v>0</v>
      </c>
      <c r="E73" s="132">
        <f>SB18e!E14</f>
        <v>0</v>
      </c>
      <c r="F73" s="132">
        <f>SB18e!F14</f>
        <v>0</v>
      </c>
      <c r="G73" s="132">
        <f>SB18e!G14</f>
        <v>0</v>
      </c>
      <c r="H73" s="132">
        <f>SB18e!H14</f>
        <v>0</v>
      </c>
      <c r="I73" s="132">
        <f>SB18e!I14</f>
        <v>0</v>
      </c>
      <c r="J73" s="171">
        <f>SB18e!J14</f>
        <v>0</v>
      </c>
      <c r="K73" s="171">
        <f>SB18e!K14</f>
        <v>0</v>
      </c>
      <c r="L73" s="132">
        <f>SB18e!L14</f>
        <v>0</v>
      </c>
      <c r="M73" s="133">
        <f>SB18e!M14</f>
        <v>2100000</v>
      </c>
      <c r="N73" s="128"/>
    </row>
    <row r="74" spans="1:14" ht="12.75" customHeight="1" x14ac:dyDescent="0.25">
      <c r="A74" s="1236" t="s">
        <v>1577</v>
      </c>
      <c r="B74" s="73"/>
      <c r="C74" s="131">
        <f>SB18e!C18</f>
        <v>0</v>
      </c>
      <c r="D74" s="132">
        <f>SB18e!D18</f>
        <v>10000000</v>
      </c>
      <c r="E74" s="132">
        <f>SB18e!E18</f>
        <v>0</v>
      </c>
      <c r="F74" s="132">
        <f>SB18e!F18</f>
        <v>0</v>
      </c>
      <c r="G74" s="132">
        <f>SB18e!G18</f>
        <v>0</v>
      </c>
      <c r="H74" s="132">
        <f>SB18e!H18</f>
        <v>0</v>
      </c>
      <c r="I74" s="132">
        <f>SB18e!I18</f>
        <v>-10000000</v>
      </c>
      <c r="J74" s="171">
        <f>SB18e!J18</f>
        <v>-10000000</v>
      </c>
      <c r="K74" s="171">
        <f>SB18e!K18</f>
        <v>0</v>
      </c>
      <c r="L74" s="132">
        <f>SB18e!L18</f>
        <v>978241</v>
      </c>
      <c r="M74" s="133">
        <f>SB18e!M18</f>
        <v>1436435</v>
      </c>
      <c r="N74" s="128"/>
    </row>
    <row r="75" spans="1:14" ht="12.75" customHeight="1" x14ac:dyDescent="0.25">
      <c r="A75" s="1236" t="s">
        <v>1586</v>
      </c>
      <c r="B75" s="73"/>
      <c r="C75" s="131">
        <f>SB18e!C28</f>
        <v>20000000</v>
      </c>
      <c r="D75" s="132">
        <f>SB18e!D28</f>
        <v>15000000</v>
      </c>
      <c r="E75" s="132">
        <f>SB18e!E28</f>
        <v>0</v>
      </c>
      <c r="F75" s="132">
        <f>SB18e!F28</f>
        <v>0</v>
      </c>
      <c r="G75" s="132">
        <f>SB18e!G28</f>
        <v>0</v>
      </c>
      <c r="H75" s="132">
        <f>SB18e!H28</f>
        <v>0</v>
      </c>
      <c r="I75" s="132">
        <f>SB18e!I28</f>
        <v>-6000000</v>
      </c>
      <c r="J75" s="171">
        <f>SB18e!J28</f>
        <v>-6000000</v>
      </c>
      <c r="K75" s="171">
        <f>SB18e!K28</f>
        <v>9000000</v>
      </c>
      <c r="L75" s="132">
        <f>SB18e!L28</f>
        <v>10000000</v>
      </c>
      <c r="M75" s="133">
        <f>SB18e!M28</f>
        <v>7000000</v>
      </c>
      <c r="N75" s="128"/>
    </row>
    <row r="76" spans="1:14" ht="12.75" customHeight="1" x14ac:dyDescent="0.25">
      <c r="A76" s="1236" t="s">
        <v>1596</v>
      </c>
      <c r="B76" s="73"/>
      <c r="C76" s="131">
        <f>SB18e!C39</f>
        <v>154157000</v>
      </c>
      <c r="D76" s="132">
        <f>SB18e!D39</f>
        <v>120846000</v>
      </c>
      <c r="E76" s="132">
        <f>SB18e!E39</f>
        <v>0</v>
      </c>
      <c r="F76" s="132">
        <f>SB18e!F39</f>
        <v>0</v>
      </c>
      <c r="G76" s="132">
        <f>SB18e!G39</f>
        <v>0</v>
      </c>
      <c r="H76" s="132">
        <f>SB18e!H39</f>
        <v>0</v>
      </c>
      <c r="I76" s="132">
        <f>SB18e!I39</f>
        <v>-5743947</v>
      </c>
      <c r="J76" s="171">
        <f>SB18e!J39</f>
        <v>-5743947</v>
      </c>
      <c r="K76" s="171">
        <f>SB18e!K39</f>
        <v>115102053</v>
      </c>
      <c r="L76" s="132">
        <f>SB18e!L39</f>
        <v>32353620</v>
      </c>
      <c r="M76" s="133">
        <f>SB18e!M39</f>
        <v>0</v>
      </c>
      <c r="N76" s="128"/>
    </row>
    <row r="77" spans="1:14" ht="12.75" customHeight="1" x14ac:dyDescent="0.25">
      <c r="A77" s="1236" t="s">
        <v>1601</v>
      </c>
      <c r="B77" s="73"/>
      <c r="C77" s="131">
        <f>SB18e!C46</f>
        <v>0</v>
      </c>
      <c r="D77" s="132">
        <f>SB18e!D46</f>
        <v>0</v>
      </c>
      <c r="E77" s="132">
        <f>SB18e!E46</f>
        <v>0</v>
      </c>
      <c r="F77" s="132">
        <f>SB18e!F46</f>
        <v>0</v>
      </c>
      <c r="G77" s="132">
        <f>SB18e!G46</f>
        <v>0</v>
      </c>
      <c r="H77" s="132">
        <f>SB18e!H46</f>
        <v>0</v>
      </c>
      <c r="I77" s="132">
        <f>SB18e!I46</f>
        <v>1656914</v>
      </c>
      <c r="J77" s="171">
        <f>SB18e!J46</f>
        <v>1656914</v>
      </c>
      <c r="K77" s="171">
        <f>SB18e!K46</f>
        <v>1656914</v>
      </c>
      <c r="L77" s="132">
        <f>SB18e!L46</f>
        <v>0</v>
      </c>
      <c r="M77" s="133">
        <f>SB18e!M46</f>
        <v>0</v>
      </c>
      <c r="N77" s="128"/>
    </row>
    <row r="78" spans="1:14" ht="12.75" customHeight="1" x14ac:dyDescent="0.25">
      <c r="A78" s="1236" t="s">
        <v>1608</v>
      </c>
      <c r="B78" s="73"/>
      <c r="C78" s="131">
        <f>SB18e!C54</f>
        <v>0</v>
      </c>
      <c r="D78" s="132">
        <f>SB18e!D54</f>
        <v>0</v>
      </c>
      <c r="E78" s="132">
        <f>SB18e!E54</f>
        <v>0</v>
      </c>
      <c r="F78" s="132">
        <f>SB18e!F54</f>
        <v>0</v>
      </c>
      <c r="G78" s="132">
        <f>SB18e!G54</f>
        <v>0</v>
      </c>
      <c r="H78" s="132">
        <f>SB18e!H54</f>
        <v>0</v>
      </c>
      <c r="I78" s="132">
        <f>SB18e!I54</f>
        <v>0</v>
      </c>
      <c r="J78" s="171">
        <f>SB18e!J54</f>
        <v>0</v>
      </c>
      <c r="K78" s="171">
        <f>SB18e!K54</f>
        <v>0</v>
      </c>
      <c r="L78" s="132">
        <f>SB18e!L54</f>
        <v>0</v>
      </c>
      <c r="M78" s="133">
        <f>SB18e!M54</f>
        <v>0</v>
      </c>
      <c r="N78" s="128"/>
    </row>
    <row r="79" spans="1:14" ht="12.75" customHeight="1" x14ac:dyDescent="0.25">
      <c r="A79" s="1236" t="s">
        <v>1612</v>
      </c>
      <c r="B79" s="73"/>
      <c r="C79" s="131">
        <f>SB18e!C64</f>
        <v>0</v>
      </c>
      <c r="D79" s="132">
        <f>SB18e!D64</f>
        <v>0</v>
      </c>
      <c r="E79" s="132">
        <f>SB18e!E64</f>
        <v>0</v>
      </c>
      <c r="F79" s="132">
        <f>SB18e!F64</f>
        <v>0</v>
      </c>
      <c r="G79" s="132">
        <f>SB18e!G64</f>
        <v>0</v>
      </c>
      <c r="H79" s="132">
        <f>SB18e!H64</f>
        <v>0</v>
      </c>
      <c r="I79" s="132">
        <f>SB18e!I64</f>
        <v>0</v>
      </c>
      <c r="J79" s="171">
        <f>SB18e!J64</f>
        <v>0</v>
      </c>
      <c r="K79" s="171">
        <f>SB18e!K64</f>
        <v>0</v>
      </c>
      <c r="L79" s="132">
        <f>SB18e!L64</f>
        <v>0</v>
      </c>
      <c r="M79" s="133">
        <f>SB18e!M64</f>
        <v>0</v>
      </c>
      <c r="N79" s="128"/>
    </row>
    <row r="80" spans="1:14" ht="12.75" customHeight="1" x14ac:dyDescent="0.25">
      <c r="A80" s="1236" t="s">
        <v>1617</v>
      </c>
      <c r="B80" s="73"/>
      <c r="C80" s="131">
        <f>SB18e!C70</f>
        <v>0</v>
      </c>
      <c r="D80" s="132">
        <f>SB18e!D70</f>
        <v>0</v>
      </c>
      <c r="E80" s="132">
        <f>SB18e!E70</f>
        <v>0</v>
      </c>
      <c r="F80" s="132">
        <f>SB18e!F70</f>
        <v>0</v>
      </c>
      <c r="G80" s="132">
        <f>SB18e!G70</f>
        <v>0</v>
      </c>
      <c r="H80" s="132">
        <f>SB18e!H70</f>
        <v>0</v>
      </c>
      <c r="I80" s="132">
        <f>SB18e!I70</f>
        <v>0</v>
      </c>
      <c r="J80" s="171">
        <f>SB18e!J70</f>
        <v>0</v>
      </c>
      <c r="K80" s="171">
        <f>SB18e!K70</f>
        <v>0</v>
      </c>
      <c r="L80" s="132">
        <f>SB18e!L70</f>
        <v>978241</v>
      </c>
      <c r="M80" s="133">
        <f>SB18e!M70</f>
        <v>1305850</v>
      </c>
      <c r="N80" s="128"/>
    </row>
    <row r="81" spans="1:14" ht="12.75" customHeight="1" x14ac:dyDescent="0.25">
      <c r="A81" s="1237" t="s">
        <v>764</v>
      </c>
      <c r="B81" s="73"/>
      <c r="C81" s="700">
        <f>SUM(C72:C80)</f>
        <v>331197620</v>
      </c>
      <c r="D81" s="265">
        <f t="shared" ref="D81:M81" si="13">SUM(D72:D80)</f>
        <v>339282630</v>
      </c>
      <c r="E81" s="265">
        <f t="shared" si="13"/>
        <v>0</v>
      </c>
      <c r="F81" s="265">
        <f t="shared" si="13"/>
        <v>0</v>
      </c>
      <c r="G81" s="265">
        <f t="shared" si="13"/>
        <v>0</v>
      </c>
      <c r="H81" s="265">
        <f t="shared" si="13"/>
        <v>16071908</v>
      </c>
      <c r="I81" s="265">
        <f t="shared" si="13"/>
        <v>-93318078</v>
      </c>
      <c r="J81" s="580">
        <f t="shared" si="13"/>
        <v>-77246170</v>
      </c>
      <c r="K81" s="580">
        <f t="shared" si="13"/>
        <v>262036460</v>
      </c>
      <c r="L81" s="265">
        <f t="shared" si="13"/>
        <v>253875882</v>
      </c>
      <c r="M81" s="266">
        <f t="shared" si="13"/>
        <v>241324285</v>
      </c>
      <c r="N81" s="128"/>
    </row>
    <row r="82" spans="1:14" ht="12.75" customHeight="1" x14ac:dyDescent="0.25">
      <c r="A82" s="1238" t="s">
        <v>1622</v>
      </c>
      <c r="B82" s="73"/>
      <c r="C82" s="131">
        <f>SB18e!C77</f>
        <v>300000</v>
      </c>
      <c r="D82" s="132">
        <f>SB18e!D77</f>
        <v>300000</v>
      </c>
      <c r="E82" s="132">
        <f>SB18e!E77</f>
        <v>0</v>
      </c>
      <c r="F82" s="132">
        <f>SB18e!F77</f>
        <v>0</v>
      </c>
      <c r="G82" s="132">
        <f>SB18e!G77</f>
        <v>0</v>
      </c>
      <c r="H82" s="132">
        <f>SB18e!H77</f>
        <v>0</v>
      </c>
      <c r="I82" s="132">
        <f>SB18e!I77</f>
        <v>1100000</v>
      </c>
      <c r="J82" s="171">
        <f>SB18e!J77</f>
        <v>1100000</v>
      </c>
      <c r="K82" s="171">
        <f>SB18e!K77</f>
        <v>1400000</v>
      </c>
      <c r="L82" s="132">
        <f>SB18e!L77</f>
        <v>1100151</v>
      </c>
      <c r="M82" s="133">
        <f>SB18e!M77</f>
        <v>1283165</v>
      </c>
      <c r="N82" s="128"/>
    </row>
    <row r="83" spans="1:14" ht="12.75" customHeight="1" x14ac:dyDescent="0.25">
      <c r="A83" s="1238" t="s">
        <v>1640</v>
      </c>
      <c r="B83" s="73"/>
      <c r="C83" s="131">
        <f>SB18e!C100</f>
        <v>11000000</v>
      </c>
      <c r="D83" s="132">
        <f>SB18e!D100</f>
        <v>11000000</v>
      </c>
      <c r="E83" s="132">
        <f>SB18e!E100</f>
        <v>0</v>
      </c>
      <c r="F83" s="132">
        <f>SB18e!F100</f>
        <v>0</v>
      </c>
      <c r="G83" s="132">
        <f>SB18e!G100</f>
        <v>0</v>
      </c>
      <c r="H83" s="132">
        <f>SB18e!H100</f>
        <v>0</v>
      </c>
      <c r="I83" s="132">
        <f>SB18e!I100</f>
        <v>12396160</v>
      </c>
      <c r="J83" s="171">
        <f>SB18e!J100</f>
        <v>12396160</v>
      </c>
      <c r="K83" s="171">
        <f>SB18e!K100</f>
        <v>23396160</v>
      </c>
      <c r="L83" s="132">
        <f>SB18e!L100</f>
        <v>6288167</v>
      </c>
      <c r="M83" s="133">
        <f>SB18e!M100</f>
        <v>15000000</v>
      </c>
      <c r="N83" s="128"/>
    </row>
    <row r="84" spans="1:14" ht="12.75" customHeight="1" x14ac:dyDescent="0.25">
      <c r="A84" s="1237" t="s">
        <v>1621</v>
      </c>
      <c r="B84" s="73"/>
      <c r="C84" s="700">
        <f>SUM(C82:C83)</f>
        <v>11300000</v>
      </c>
      <c r="D84" s="265">
        <f t="shared" ref="D84:M84" si="14">SUM(D82:D83)</f>
        <v>11300000</v>
      </c>
      <c r="E84" s="265">
        <f t="shared" si="14"/>
        <v>0</v>
      </c>
      <c r="F84" s="265">
        <f t="shared" si="14"/>
        <v>0</v>
      </c>
      <c r="G84" s="265">
        <f t="shared" si="14"/>
        <v>0</v>
      </c>
      <c r="H84" s="265">
        <f t="shared" si="14"/>
        <v>0</v>
      </c>
      <c r="I84" s="265">
        <f t="shared" si="14"/>
        <v>13496160</v>
      </c>
      <c r="J84" s="580">
        <f t="shared" si="14"/>
        <v>13496160</v>
      </c>
      <c r="K84" s="580">
        <f t="shared" si="14"/>
        <v>24796160</v>
      </c>
      <c r="L84" s="265">
        <f t="shared" si="14"/>
        <v>7388318</v>
      </c>
      <c r="M84" s="266">
        <f t="shared" si="14"/>
        <v>16283165</v>
      </c>
      <c r="N84" s="128"/>
    </row>
    <row r="85" spans="1:14" ht="12.75" customHeight="1" x14ac:dyDescent="0.25">
      <c r="A85" s="1239" t="s">
        <v>1369</v>
      </c>
      <c r="B85" s="73"/>
      <c r="C85" s="131">
        <f>SB18e!C105</f>
        <v>0</v>
      </c>
      <c r="D85" s="132">
        <f>SB18e!D105</f>
        <v>0</v>
      </c>
      <c r="E85" s="132">
        <f>SB18e!E105</f>
        <v>0</v>
      </c>
      <c r="F85" s="132">
        <f>SB18e!F105</f>
        <v>0</v>
      </c>
      <c r="G85" s="132">
        <f>SB18e!G105</f>
        <v>0</v>
      </c>
      <c r="H85" s="132">
        <f>SB18e!H105</f>
        <v>0</v>
      </c>
      <c r="I85" s="132">
        <f>SB18e!I105</f>
        <v>0</v>
      </c>
      <c r="J85" s="171">
        <f>SB18e!J105</f>
        <v>0</v>
      </c>
      <c r="K85" s="171">
        <f>SB18e!K105</f>
        <v>0</v>
      </c>
      <c r="L85" s="132">
        <f>SB18e!L105</f>
        <v>0</v>
      </c>
      <c r="M85" s="133">
        <f>SB18e!M105</f>
        <v>0</v>
      </c>
      <c r="N85" s="128"/>
    </row>
    <row r="86" spans="1:14" ht="12.75" customHeight="1" x14ac:dyDescent="0.25">
      <c r="A86" s="1238" t="s">
        <v>1648</v>
      </c>
      <c r="B86" s="73"/>
      <c r="C86" s="131">
        <f>SB18e!C113</f>
        <v>300000</v>
      </c>
      <c r="D86" s="132">
        <f>SB18e!D113</f>
        <v>300000</v>
      </c>
      <c r="E86" s="132">
        <f>SB18e!E113</f>
        <v>0</v>
      </c>
      <c r="F86" s="132">
        <f>SB18e!F113</f>
        <v>0</v>
      </c>
      <c r="G86" s="132">
        <f>SB18e!G113</f>
        <v>0</v>
      </c>
      <c r="H86" s="132">
        <f>SB18e!H113</f>
        <v>0</v>
      </c>
      <c r="I86" s="132">
        <f>SB18e!I113</f>
        <v>0</v>
      </c>
      <c r="J86" s="171">
        <f>SB18e!J113</f>
        <v>0</v>
      </c>
      <c r="K86" s="171">
        <f>SB18e!K113</f>
        <v>300000</v>
      </c>
      <c r="L86" s="132">
        <f>SB18e!L113</f>
        <v>957643</v>
      </c>
      <c r="M86" s="133">
        <f>SB18e!M113</f>
        <v>500000</v>
      </c>
      <c r="N86" s="128"/>
    </row>
    <row r="87" spans="1:14" ht="12.75" customHeight="1" x14ac:dyDescent="0.25">
      <c r="A87" s="1238" t="s">
        <v>1651</v>
      </c>
      <c r="B87" s="73"/>
      <c r="C87" s="131">
        <f>SB18e!C116</f>
        <v>0</v>
      </c>
      <c r="D87" s="132">
        <f>SB18e!D116</f>
        <v>0</v>
      </c>
      <c r="E87" s="132">
        <f>SB18e!E116</f>
        <v>0</v>
      </c>
      <c r="F87" s="132">
        <f>SB18e!F116</f>
        <v>0</v>
      </c>
      <c r="G87" s="132">
        <f>SB18e!G116</f>
        <v>0</v>
      </c>
      <c r="H87" s="132">
        <f>SB18e!H116</f>
        <v>0</v>
      </c>
      <c r="I87" s="132">
        <f>SB18e!I116</f>
        <v>0</v>
      </c>
      <c r="J87" s="171">
        <f>SB18e!J116</f>
        <v>0</v>
      </c>
      <c r="K87" s="171">
        <f>SB18e!K116</f>
        <v>0</v>
      </c>
      <c r="L87" s="132">
        <f>SB18e!L116</f>
        <v>0</v>
      </c>
      <c r="M87" s="133">
        <f>SB18e!M116</f>
        <v>0</v>
      </c>
      <c r="N87" s="128"/>
    </row>
    <row r="88" spans="1:14" ht="12.75" customHeight="1" x14ac:dyDescent="0.25">
      <c r="A88" s="1237" t="s">
        <v>766</v>
      </c>
      <c r="B88" s="73"/>
      <c r="C88" s="700">
        <f>SUM(C86:C87)</f>
        <v>300000</v>
      </c>
      <c r="D88" s="265">
        <f t="shared" ref="D88:M88" si="15">SUM(D86:D87)</f>
        <v>300000</v>
      </c>
      <c r="E88" s="265">
        <f t="shared" si="15"/>
        <v>0</v>
      </c>
      <c r="F88" s="265">
        <f t="shared" si="15"/>
        <v>0</v>
      </c>
      <c r="G88" s="265">
        <f t="shared" si="15"/>
        <v>0</v>
      </c>
      <c r="H88" s="265">
        <f t="shared" si="15"/>
        <v>0</v>
      </c>
      <c r="I88" s="265">
        <f t="shared" si="15"/>
        <v>0</v>
      </c>
      <c r="J88" s="580">
        <f t="shared" si="15"/>
        <v>0</v>
      </c>
      <c r="K88" s="580">
        <f t="shared" si="15"/>
        <v>300000</v>
      </c>
      <c r="L88" s="265">
        <f t="shared" si="15"/>
        <v>957643</v>
      </c>
      <c r="M88" s="266">
        <f t="shared" si="15"/>
        <v>500000</v>
      </c>
      <c r="N88" s="128"/>
    </row>
    <row r="89" spans="1:14" ht="12.75" customHeight="1" x14ac:dyDescent="0.25">
      <c r="A89" s="1238" t="s">
        <v>1652</v>
      </c>
      <c r="B89" s="73"/>
      <c r="C89" s="131">
        <f>SB18e!C121</f>
        <v>2300000</v>
      </c>
      <c r="D89" s="132">
        <f>SB18e!D121</f>
        <v>8150000</v>
      </c>
      <c r="E89" s="132">
        <f>SB18e!E121</f>
        <v>0</v>
      </c>
      <c r="F89" s="132">
        <f>SB18e!F121</f>
        <v>0</v>
      </c>
      <c r="G89" s="132">
        <f>SB18e!G121</f>
        <v>0</v>
      </c>
      <c r="H89" s="132">
        <f>SB18e!H121</f>
        <v>0</v>
      </c>
      <c r="I89" s="132">
        <f>SB18e!I121</f>
        <v>-2087983</v>
      </c>
      <c r="J89" s="171">
        <f>SB18e!J121</f>
        <v>-2087983</v>
      </c>
      <c r="K89" s="171">
        <f>SB18e!K121</f>
        <v>6062017</v>
      </c>
      <c r="L89" s="132">
        <f>SB18e!L121</f>
        <v>1000000</v>
      </c>
      <c r="M89" s="133">
        <f>SB18e!M121</f>
        <v>835744</v>
      </c>
      <c r="N89" s="128"/>
    </row>
    <row r="90" spans="1:14" ht="12.75" customHeight="1" x14ac:dyDescent="0.25">
      <c r="A90" s="1238" t="s">
        <v>619</v>
      </c>
      <c r="B90" s="73"/>
      <c r="C90" s="131">
        <f>SB18e!C133</f>
        <v>0</v>
      </c>
      <c r="D90" s="132">
        <f>SB18e!D133</f>
        <v>0</v>
      </c>
      <c r="E90" s="132">
        <f>SB18e!E133</f>
        <v>0</v>
      </c>
      <c r="F90" s="132">
        <f>SB18e!F133</f>
        <v>0</v>
      </c>
      <c r="G90" s="132">
        <f>SB18e!G133</f>
        <v>0</v>
      </c>
      <c r="H90" s="132">
        <f>SB18e!H133</f>
        <v>0</v>
      </c>
      <c r="I90" s="132">
        <f>SB18e!I133</f>
        <v>0</v>
      </c>
      <c r="J90" s="171">
        <f>SB18e!J133</f>
        <v>0</v>
      </c>
      <c r="K90" s="171">
        <f>SB18e!K133</f>
        <v>0</v>
      </c>
      <c r="L90" s="132">
        <f>SB18e!L133</f>
        <v>0</v>
      </c>
      <c r="M90" s="133">
        <f>SB18e!M133</f>
        <v>0</v>
      </c>
      <c r="N90" s="128"/>
    </row>
    <row r="91" spans="1:14" ht="12.75" customHeight="1" x14ac:dyDescent="0.25">
      <c r="A91" s="1237" t="s">
        <v>1370</v>
      </c>
      <c r="B91" s="73">
        <v>6</v>
      </c>
      <c r="C91" s="700">
        <f>SUM(C89:C90)</f>
        <v>2300000</v>
      </c>
      <c r="D91" s="265">
        <f t="shared" ref="D91:M91" si="16">SUM(D89:D90)</f>
        <v>8150000</v>
      </c>
      <c r="E91" s="265">
        <f t="shared" si="16"/>
        <v>0</v>
      </c>
      <c r="F91" s="265">
        <f t="shared" si="16"/>
        <v>0</v>
      </c>
      <c r="G91" s="265">
        <f t="shared" si="16"/>
        <v>0</v>
      </c>
      <c r="H91" s="265">
        <f t="shared" si="16"/>
        <v>0</v>
      </c>
      <c r="I91" s="265">
        <f t="shared" si="16"/>
        <v>-2087983</v>
      </c>
      <c r="J91" s="580">
        <f t="shared" si="16"/>
        <v>-2087983</v>
      </c>
      <c r="K91" s="580">
        <f t="shared" si="16"/>
        <v>6062017</v>
      </c>
      <c r="L91" s="265">
        <f t="shared" si="16"/>
        <v>1000000</v>
      </c>
      <c r="M91" s="266">
        <f t="shared" si="16"/>
        <v>835744</v>
      </c>
      <c r="N91" s="128"/>
    </row>
    <row r="92" spans="1:14" ht="12.75" customHeight="1" x14ac:dyDescent="0.25">
      <c r="A92" s="1239" t="s">
        <v>1665</v>
      </c>
      <c r="B92" s="73"/>
      <c r="C92" s="131">
        <f>SB18e!C138</f>
        <v>0</v>
      </c>
      <c r="D92" s="132">
        <f>SB18e!D138</f>
        <v>0</v>
      </c>
      <c r="E92" s="132">
        <f>SB18e!E138</f>
        <v>0</v>
      </c>
      <c r="F92" s="132">
        <f>SB18e!F138</f>
        <v>0</v>
      </c>
      <c r="G92" s="132">
        <f>SB18e!G138</f>
        <v>0</v>
      </c>
      <c r="H92" s="132">
        <f>SB18e!H138</f>
        <v>0</v>
      </c>
      <c r="I92" s="132">
        <f>SB18e!I138</f>
        <v>0</v>
      </c>
      <c r="J92" s="171">
        <f>SB18e!J138</f>
        <v>0</v>
      </c>
      <c r="K92" s="171">
        <f>SB18e!K138</f>
        <v>0</v>
      </c>
      <c r="L92" s="132">
        <f>SB18e!L138</f>
        <v>0</v>
      </c>
      <c r="M92" s="133">
        <f>SB18e!M138</f>
        <v>0</v>
      </c>
      <c r="N92" s="128"/>
    </row>
    <row r="93" spans="1:14" ht="12.75" customHeight="1" x14ac:dyDescent="0.25">
      <c r="A93" s="1238" t="s">
        <v>1667</v>
      </c>
      <c r="B93" s="73"/>
      <c r="C93" s="131">
        <f>SB18e!C142</f>
        <v>0</v>
      </c>
      <c r="D93" s="132">
        <f>SB18e!D142</f>
        <v>0</v>
      </c>
      <c r="E93" s="132">
        <f>SB18e!E142</f>
        <v>0</v>
      </c>
      <c r="F93" s="132">
        <f>SB18e!F142</f>
        <v>0</v>
      </c>
      <c r="G93" s="132">
        <f>SB18e!G142</f>
        <v>0</v>
      </c>
      <c r="H93" s="132">
        <f>SB18e!H142</f>
        <v>0</v>
      </c>
      <c r="I93" s="132">
        <f>SB18e!I142</f>
        <v>0</v>
      </c>
      <c r="J93" s="171">
        <f>SB18e!J142</f>
        <v>0</v>
      </c>
      <c r="K93" s="171">
        <f>SB18e!K142</f>
        <v>0</v>
      </c>
      <c r="L93" s="132">
        <f>SB18e!L142</f>
        <v>0</v>
      </c>
      <c r="M93" s="133">
        <f>SB18e!M142</f>
        <v>0</v>
      </c>
      <c r="N93" s="128"/>
    </row>
    <row r="94" spans="1:14" ht="12.75" customHeight="1" x14ac:dyDescent="0.25">
      <c r="A94" s="1238" t="s">
        <v>1668</v>
      </c>
      <c r="B94" s="73"/>
      <c r="C94" s="131">
        <f>SB18e!C143</f>
        <v>0</v>
      </c>
      <c r="D94" s="132">
        <f>SB18e!D143</f>
        <v>0</v>
      </c>
      <c r="E94" s="132">
        <f>SB18e!E143</f>
        <v>0</v>
      </c>
      <c r="F94" s="132">
        <f>SB18e!F143</f>
        <v>0</v>
      </c>
      <c r="G94" s="132">
        <f>SB18e!G143</f>
        <v>0</v>
      </c>
      <c r="H94" s="132">
        <f>SB18e!H143</f>
        <v>0</v>
      </c>
      <c r="I94" s="132">
        <f>SB18e!I143</f>
        <v>0</v>
      </c>
      <c r="J94" s="171">
        <f>SB18e!J143</f>
        <v>0</v>
      </c>
      <c r="K94" s="171">
        <f>SB18e!K143</f>
        <v>0</v>
      </c>
      <c r="L94" s="132">
        <f>SB18e!L143</f>
        <v>0</v>
      </c>
      <c r="M94" s="133">
        <f>SB18e!M143</f>
        <v>0</v>
      </c>
      <c r="N94" s="128"/>
    </row>
    <row r="95" spans="1:14" ht="12.75" customHeight="1" x14ac:dyDescent="0.25">
      <c r="A95" s="1237" t="s">
        <v>1666</v>
      </c>
      <c r="B95" s="73"/>
      <c r="C95" s="700">
        <f>SUM(C93:C94)</f>
        <v>0</v>
      </c>
      <c r="D95" s="265">
        <f t="shared" ref="D95:M95" si="17">SUM(D93:D94)</f>
        <v>0</v>
      </c>
      <c r="E95" s="265">
        <f t="shared" si="17"/>
        <v>0</v>
      </c>
      <c r="F95" s="265">
        <f t="shared" si="17"/>
        <v>0</v>
      </c>
      <c r="G95" s="265">
        <f t="shared" si="17"/>
        <v>0</v>
      </c>
      <c r="H95" s="265">
        <f t="shared" si="17"/>
        <v>0</v>
      </c>
      <c r="I95" s="265">
        <f t="shared" si="17"/>
        <v>0</v>
      </c>
      <c r="J95" s="580">
        <f t="shared" si="17"/>
        <v>0</v>
      </c>
      <c r="K95" s="580">
        <f t="shared" si="17"/>
        <v>0</v>
      </c>
      <c r="L95" s="265">
        <f t="shared" si="17"/>
        <v>0</v>
      </c>
      <c r="M95" s="266">
        <f t="shared" si="17"/>
        <v>0</v>
      </c>
      <c r="N95" s="128"/>
    </row>
    <row r="96" spans="1:14" ht="12.75" customHeight="1" x14ac:dyDescent="0.25">
      <c r="A96" s="1240" t="s">
        <v>1675</v>
      </c>
      <c r="B96" s="73"/>
      <c r="C96" s="131">
        <f>SB18e!C151</f>
        <v>0</v>
      </c>
      <c r="D96" s="132">
        <f>SB18e!D151</f>
        <v>0</v>
      </c>
      <c r="E96" s="132">
        <f>SB18e!E151</f>
        <v>0</v>
      </c>
      <c r="F96" s="132">
        <f>SB18e!F151</f>
        <v>0</v>
      </c>
      <c r="G96" s="132">
        <f>SB18e!G151</f>
        <v>0</v>
      </c>
      <c r="H96" s="132">
        <f>SB18e!H151</f>
        <v>0</v>
      </c>
      <c r="I96" s="132">
        <f>SB18e!I151</f>
        <v>0</v>
      </c>
      <c r="J96" s="171">
        <f>SB18e!J151</f>
        <v>0</v>
      </c>
      <c r="K96" s="171">
        <f>SB18e!K151</f>
        <v>0</v>
      </c>
      <c r="L96" s="132">
        <f>SB18e!L151</f>
        <v>0</v>
      </c>
      <c r="M96" s="133">
        <f>SB18e!M151</f>
        <v>0</v>
      </c>
      <c r="N96" s="128"/>
    </row>
    <row r="97" spans="1:14" ht="12.75" customHeight="1" x14ac:dyDescent="0.25">
      <c r="A97" s="1239" t="s">
        <v>1676</v>
      </c>
      <c r="B97" s="73"/>
      <c r="C97" s="131">
        <f>SB18e!C154</f>
        <v>0</v>
      </c>
      <c r="D97" s="132">
        <f>SB18e!D154</f>
        <v>0</v>
      </c>
      <c r="E97" s="132">
        <f>SB18e!E154</f>
        <v>0</v>
      </c>
      <c r="F97" s="132">
        <f>SB18e!F154</f>
        <v>0</v>
      </c>
      <c r="G97" s="132">
        <f>SB18e!G154</f>
        <v>0</v>
      </c>
      <c r="H97" s="132">
        <f>SB18e!H154</f>
        <v>0</v>
      </c>
      <c r="I97" s="132">
        <f>SB18e!I154</f>
        <v>0</v>
      </c>
      <c r="J97" s="171">
        <f>SB18e!J154</f>
        <v>0</v>
      </c>
      <c r="K97" s="171">
        <f>SB18e!K154</f>
        <v>0</v>
      </c>
      <c r="L97" s="132">
        <f>SB18e!L154</f>
        <v>0</v>
      </c>
      <c r="M97" s="133">
        <f>SB18e!M154</f>
        <v>0</v>
      </c>
      <c r="N97" s="128"/>
    </row>
    <row r="98" spans="1:14" ht="12.75" customHeight="1" x14ac:dyDescent="0.25">
      <c r="A98" s="1239" t="s">
        <v>1677</v>
      </c>
      <c r="B98" s="73"/>
      <c r="C98" s="131">
        <f>SB18e!C157</f>
        <v>0</v>
      </c>
      <c r="D98" s="132">
        <f>SB18e!D157</f>
        <v>0</v>
      </c>
      <c r="E98" s="132">
        <f>SB18e!E157</f>
        <v>0</v>
      </c>
      <c r="F98" s="132">
        <f>SB18e!F157</f>
        <v>0</v>
      </c>
      <c r="G98" s="132">
        <f>SB18e!G157</f>
        <v>0</v>
      </c>
      <c r="H98" s="132">
        <f>SB18e!H157</f>
        <v>0</v>
      </c>
      <c r="I98" s="132">
        <f>SB18e!I157</f>
        <v>0</v>
      </c>
      <c r="J98" s="171">
        <f>SB18e!J157</f>
        <v>0</v>
      </c>
      <c r="K98" s="171">
        <f>SB18e!K157</f>
        <v>0</v>
      </c>
      <c r="L98" s="132">
        <f>SB18e!L157</f>
        <v>0</v>
      </c>
      <c r="M98" s="133">
        <f>SB18e!M157</f>
        <v>0</v>
      </c>
      <c r="N98" s="128"/>
    </row>
    <row r="99" spans="1:14" ht="12.75" customHeight="1" x14ac:dyDescent="0.25">
      <c r="A99" s="1240" t="s">
        <v>1678</v>
      </c>
      <c r="B99" s="73"/>
      <c r="C99" s="131">
        <f>SB18e!C160</f>
        <v>0</v>
      </c>
      <c r="D99" s="132">
        <f>SB18e!D160</f>
        <v>0</v>
      </c>
      <c r="E99" s="132">
        <f>SB18e!E160</f>
        <v>0</v>
      </c>
      <c r="F99" s="132">
        <f>SB18e!F160</f>
        <v>0</v>
      </c>
      <c r="G99" s="132">
        <f>SB18e!G160</f>
        <v>0</v>
      </c>
      <c r="H99" s="132">
        <f>SB18e!H160</f>
        <v>0</v>
      </c>
      <c r="I99" s="132">
        <f>SB18e!I160</f>
        <v>0</v>
      </c>
      <c r="J99" s="171">
        <f>SB18e!J160</f>
        <v>0</v>
      </c>
      <c r="K99" s="171">
        <f>SB18e!K160</f>
        <v>0</v>
      </c>
      <c r="L99" s="132">
        <f>SB18e!L160</f>
        <v>0</v>
      </c>
      <c r="M99" s="133">
        <f>SB18e!M160</f>
        <v>0</v>
      </c>
      <c r="N99" s="128"/>
    </row>
    <row r="100" spans="1:14" ht="12.75" customHeight="1" x14ac:dyDescent="0.25">
      <c r="A100" s="1239" t="s">
        <v>1735</v>
      </c>
      <c r="B100" s="73"/>
      <c r="C100" s="131">
        <f>SB18e!C163</f>
        <v>0</v>
      </c>
      <c r="D100" s="132">
        <f>SB18e!D163</f>
        <v>0</v>
      </c>
      <c r="E100" s="132">
        <f>SB18e!E163</f>
        <v>0</v>
      </c>
      <c r="F100" s="132">
        <f>SB18e!F163</f>
        <v>0</v>
      </c>
      <c r="G100" s="132">
        <f>SB18e!G163</f>
        <v>0</v>
      </c>
      <c r="H100" s="132">
        <f>SB18e!H163</f>
        <v>0</v>
      </c>
      <c r="I100" s="132">
        <f>SB18e!I163</f>
        <v>0</v>
      </c>
      <c r="J100" s="171">
        <f>SB18e!J163</f>
        <v>0</v>
      </c>
      <c r="K100" s="171">
        <f>SB18e!K163</f>
        <v>0</v>
      </c>
      <c r="L100" s="132">
        <f>SB18e!L163</f>
        <v>0</v>
      </c>
      <c r="M100" s="133">
        <f>SB18e!M163</f>
        <v>0</v>
      </c>
      <c r="N100" s="128"/>
    </row>
    <row r="101" spans="1:14" ht="12.75" customHeight="1" x14ac:dyDescent="0.25">
      <c r="A101" s="1239" t="s">
        <v>1679</v>
      </c>
      <c r="B101" s="73"/>
      <c r="C101" s="131">
        <f>SB18e!C166</f>
        <v>0</v>
      </c>
      <c r="D101" s="132">
        <f>SB18e!D166</f>
        <v>0</v>
      </c>
      <c r="E101" s="132">
        <f>SB18e!E166</f>
        <v>0</v>
      </c>
      <c r="F101" s="132">
        <f>SB18e!F166</f>
        <v>0</v>
      </c>
      <c r="G101" s="132">
        <f>SB18e!G166</f>
        <v>0</v>
      </c>
      <c r="H101" s="132">
        <f>SB18e!H166</f>
        <v>0</v>
      </c>
      <c r="I101" s="132">
        <f>SB18e!I166</f>
        <v>0</v>
      </c>
      <c r="J101" s="171">
        <f>SB18e!J166</f>
        <v>0</v>
      </c>
      <c r="K101" s="171">
        <f>SB18e!K166</f>
        <v>0</v>
      </c>
      <c r="L101" s="132">
        <f>SB18e!L166</f>
        <v>0</v>
      </c>
      <c r="M101" s="133">
        <f>SB18e!M166</f>
        <v>0</v>
      </c>
      <c r="N101" s="128"/>
    </row>
    <row r="102" spans="1:14" ht="4.5" customHeight="1" x14ac:dyDescent="0.25">
      <c r="B102" s="115"/>
      <c r="C102" s="172"/>
      <c r="D102" s="173"/>
      <c r="E102" s="173"/>
      <c r="F102" s="173"/>
      <c r="G102" s="173"/>
      <c r="H102" s="173"/>
      <c r="I102" s="173"/>
      <c r="J102" s="171"/>
      <c r="K102" s="171"/>
      <c r="L102" s="173"/>
      <c r="M102" s="174"/>
      <c r="N102" s="128"/>
    </row>
    <row r="103" spans="1:14" ht="12.75" customHeight="1" x14ac:dyDescent="0.25">
      <c r="A103" s="233" t="s">
        <v>1126</v>
      </c>
      <c r="B103" s="73">
        <v>4</v>
      </c>
      <c r="C103" s="74">
        <f>C7+C39+C71</f>
        <v>1201498682</v>
      </c>
      <c r="D103" s="75">
        <f t="shared" ref="D103:M103" si="18">D7+D39+D71</f>
        <v>1231141682</v>
      </c>
      <c r="E103" s="75">
        <f t="shared" si="18"/>
        <v>0</v>
      </c>
      <c r="F103" s="75">
        <f t="shared" si="18"/>
        <v>0</v>
      </c>
      <c r="G103" s="75">
        <f t="shared" si="18"/>
        <v>0</v>
      </c>
      <c r="H103" s="75">
        <f t="shared" si="18"/>
        <v>62291862</v>
      </c>
      <c r="I103" s="75">
        <f t="shared" si="18"/>
        <v>-256402899</v>
      </c>
      <c r="J103" s="75">
        <f t="shared" si="18"/>
        <v>-194111037</v>
      </c>
      <c r="K103" s="75">
        <f t="shared" si="18"/>
        <v>1037030645</v>
      </c>
      <c r="L103" s="75">
        <f t="shared" si="18"/>
        <v>728151750</v>
      </c>
      <c r="M103" s="76">
        <f t="shared" si="18"/>
        <v>641813437</v>
      </c>
      <c r="N103" s="128"/>
    </row>
    <row r="104" spans="1:14" ht="12" customHeight="1" x14ac:dyDescent="0.25">
      <c r="A104" s="1236" t="s">
        <v>1569</v>
      </c>
      <c r="B104" s="73"/>
      <c r="C104" s="74">
        <f t="shared" ref="C104:C133" si="19">C8+C40+C72</f>
        <v>421620062</v>
      </c>
      <c r="D104" s="75">
        <f t="shared" ref="D104:M106" si="20">D8+D40+D72</f>
        <v>419824062</v>
      </c>
      <c r="E104" s="75">
        <f t="shared" si="20"/>
        <v>0</v>
      </c>
      <c r="F104" s="75">
        <f t="shared" si="20"/>
        <v>0</v>
      </c>
      <c r="G104" s="75">
        <f t="shared" si="20"/>
        <v>0</v>
      </c>
      <c r="H104" s="75">
        <f t="shared" si="20"/>
        <v>31374025</v>
      </c>
      <c r="I104" s="75">
        <f t="shared" si="20"/>
        <v>-204621986</v>
      </c>
      <c r="J104" s="75">
        <f t="shared" si="20"/>
        <v>-173247961</v>
      </c>
      <c r="K104" s="75">
        <f t="shared" si="20"/>
        <v>246576101</v>
      </c>
      <c r="L104" s="75">
        <f t="shared" si="20"/>
        <v>266851029</v>
      </c>
      <c r="M104" s="76">
        <f t="shared" si="20"/>
        <v>296333714</v>
      </c>
      <c r="N104" s="128"/>
    </row>
    <row r="105" spans="1:14" ht="12" customHeight="1" x14ac:dyDescent="0.25">
      <c r="A105" s="1236" t="s">
        <v>1573</v>
      </c>
      <c r="B105" s="73"/>
      <c r="C105" s="74">
        <f t="shared" si="19"/>
        <v>0</v>
      </c>
      <c r="D105" s="75">
        <f t="shared" si="20"/>
        <v>0</v>
      </c>
      <c r="E105" s="75">
        <f t="shared" si="20"/>
        <v>0</v>
      </c>
      <c r="F105" s="75">
        <f t="shared" si="20"/>
        <v>0</v>
      </c>
      <c r="G105" s="75">
        <f t="shared" si="20"/>
        <v>0</v>
      </c>
      <c r="H105" s="75">
        <f t="shared" si="20"/>
        <v>0</v>
      </c>
      <c r="I105" s="75">
        <f t="shared" si="20"/>
        <v>0</v>
      </c>
      <c r="J105" s="75">
        <f t="shared" si="20"/>
        <v>0</v>
      </c>
      <c r="K105" s="75">
        <f t="shared" si="20"/>
        <v>0</v>
      </c>
      <c r="L105" s="75">
        <f t="shared" si="20"/>
        <v>8000000</v>
      </c>
      <c r="M105" s="76">
        <f t="shared" si="20"/>
        <v>17100000</v>
      </c>
      <c r="N105" s="128"/>
    </row>
    <row r="106" spans="1:14" ht="12" customHeight="1" x14ac:dyDescent="0.25">
      <c r="A106" s="1236" t="s">
        <v>1577</v>
      </c>
      <c r="B106" s="73"/>
      <c r="C106" s="74">
        <f t="shared" si="19"/>
        <v>20200867</v>
      </c>
      <c r="D106" s="75">
        <f t="shared" si="20"/>
        <v>81200867</v>
      </c>
      <c r="E106" s="75">
        <f t="shared" si="20"/>
        <v>0</v>
      </c>
      <c r="F106" s="75">
        <f t="shared" si="20"/>
        <v>0</v>
      </c>
      <c r="G106" s="75">
        <f t="shared" si="20"/>
        <v>0</v>
      </c>
      <c r="H106" s="75">
        <f t="shared" si="20"/>
        <v>7337771</v>
      </c>
      <c r="I106" s="75">
        <f t="shared" si="20"/>
        <v>-14000000</v>
      </c>
      <c r="J106" s="75">
        <f t="shared" si="20"/>
        <v>-6662229</v>
      </c>
      <c r="K106" s="75">
        <f t="shared" si="20"/>
        <v>74538638</v>
      </c>
      <c r="L106" s="75">
        <f t="shared" si="20"/>
        <v>28631053</v>
      </c>
      <c r="M106" s="76">
        <f t="shared" si="20"/>
        <v>36942500</v>
      </c>
      <c r="N106" s="128"/>
    </row>
    <row r="107" spans="1:14" ht="12" customHeight="1" x14ac:dyDescent="0.25">
      <c r="A107" s="1236" t="s">
        <v>1586</v>
      </c>
      <c r="B107" s="73"/>
      <c r="C107" s="74">
        <f t="shared" si="19"/>
        <v>250087332</v>
      </c>
      <c r="D107" s="75">
        <f t="shared" ref="D107:M107" si="21">D11+D43+D75</f>
        <v>250087332</v>
      </c>
      <c r="E107" s="75">
        <f t="shared" si="21"/>
        <v>0</v>
      </c>
      <c r="F107" s="75">
        <f t="shared" si="21"/>
        <v>0</v>
      </c>
      <c r="G107" s="75">
        <f t="shared" si="21"/>
        <v>0</v>
      </c>
      <c r="H107" s="75">
        <f t="shared" si="21"/>
        <v>23324013</v>
      </c>
      <c r="I107" s="75">
        <f t="shared" si="21"/>
        <v>-25259882</v>
      </c>
      <c r="J107" s="75">
        <f t="shared" si="21"/>
        <v>-1935869</v>
      </c>
      <c r="K107" s="75">
        <f t="shared" si="21"/>
        <v>248151463</v>
      </c>
      <c r="L107" s="75">
        <f t="shared" si="21"/>
        <v>226047583</v>
      </c>
      <c r="M107" s="76">
        <f t="shared" si="21"/>
        <v>192611701</v>
      </c>
      <c r="N107" s="128"/>
    </row>
    <row r="108" spans="1:14" ht="12" customHeight="1" x14ac:dyDescent="0.25">
      <c r="A108" s="1236" t="s">
        <v>1596</v>
      </c>
      <c r="B108" s="73"/>
      <c r="C108" s="74">
        <f t="shared" si="19"/>
        <v>286157000</v>
      </c>
      <c r="D108" s="75">
        <f t="shared" ref="D108:M108" si="22">D12+D44+D76</f>
        <v>209846000</v>
      </c>
      <c r="E108" s="75">
        <f t="shared" si="22"/>
        <v>0</v>
      </c>
      <c r="F108" s="75">
        <f t="shared" si="22"/>
        <v>0</v>
      </c>
      <c r="G108" s="75">
        <f t="shared" si="22"/>
        <v>0</v>
      </c>
      <c r="H108" s="75">
        <f t="shared" si="22"/>
        <v>256053</v>
      </c>
      <c r="I108" s="75">
        <f t="shared" si="22"/>
        <v>3680377</v>
      </c>
      <c r="J108" s="75">
        <f t="shared" si="22"/>
        <v>3936430</v>
      </c>
      <c r="K108" s="75">
        <f t="shared" si="22"/>
        <v>213782430</v>
      </c>
      <c r="L108" s="75">
        <f t="shared" si="22"/>
        <v>62570202</v>
      </c>
      <c r="M108" s="76">
        <f t="shared" si="22"/>
        <v>0</v>
      </c>
      <c r="N108" s="128"/>
    </row>
    <row r="109" spans="1:14" ht="12" customHeight="1" x14ac:dyDescent="0.25">
      <c r="A109" s="1236" t="s">
        <v>1601</v>
      </c>
      <c r="B109" s="73"/>
      <c r="C109" s="74">
        <f t="shared" si="19"/>
        <v>7600000</v>
      </c>
      <c r="D109" s="75">
        <f t="shared" ref="D109:M109" si="23">D13+D45+D77</f>
        <v>10600000</v>
      </c>
      <c r="E109" s="75">
        <f t="shared" si="23"/>
        <v>0</v>
      </c>
      <c r="F109" s="75">
        <f t="shared" si="23"/>
        <v>0</v>
      </c>
      <c r="G109" s="75">
        <f t="shared" si="23"/>
        <v>0</v>
      </c>
      <c r="H109" s="75">
        <f t="shared" si="23"/>
        <v>0</v>
      </c>
      <c r="I109" s="75">
        <f t="shared" si="23"/>
        <v>-2720000</v>
      </c>
      <c r="J109" s="75">
        <f t="shared" si="23"/>
        <v>-2720000</v>
      </c>
      <c r="K109" s="75">
        <f t="shared" si="23"/>
        <v>7880000</v>
      </c>
      <c r="L109" s="75">
        <f t="shared" si="23"/>
        <v>3581731</v>
      </c>
      <c r="M109" s="76">
        <f t="shared" si="23"/>
        <v>3150000</v>
      </c>
      <c r="N109" s="128"/>
    </row>
    <row r="110" spans="1:14" ht="12" customHeight="1" x14ac:dyDescent="0.25">
      <c r="A110" s="1236" t="s">
        <v>1608</v>
      </c>
      <c r="B110" s="73"/>
      <c r="C110" s="74">
        <f t="shared" si="19"/>
        <v>0</v>
      </c>
      <c r="D110" s="75">
        <f t="shared" ref="D110:M110" si="24">D14+D46+D78</f>
        <v>0</v>
      </c>
      <c r="E110" s="75">
        <f t="shared" si="24"/>
        <v>0</v>
      </c>
      <c r="F110" s="75">
        <f t="shared" si="24"/>
        <v>0</v>
      </c>
      <c r="G110" s="75">
        <f t="shared" si="24"/>
        <v>0</v>
      </c>
      <c r="H110" s="75">
        <f t="shared" si="24"/>
        <v>0</v>
      </c>
      <c r="I110" s="75">
        <f t="shared" si="24"/>
        <v>0</v>
      </c>
      <c r="J110" s="75">
        <f t="shared" si="24"/>
        <v>0</v>
      </c>
      <c r="K110" s="75">
        <f t="shared" si="24"/>
        <v>0</v>
      </c>
      <c r="L110" s="75">
        <f t="shared" si="24"/>
        <v>0</v>
      </c>
      <c r="M110" s="76">
        <f t="shared" si="24"/>
        <v>0</v>
      </c>
      <c r="N110" s="128"/>
    </row>
    <row r="111" spans="1:14" ht="12" customHeight="1" x14ac:dyDescent="0.25">
      <c r="A111" s="1236" t="s">
        <v>1612</v>
      </c>
      <c r="B111" s="73"/>
      <c r="C111" s="74">
        <f t="shared" si="19"/>
        <v>0</v>
      </c>
      <c r="D111" s="75">
        <f t="shared" ref="D111:M111" si="25">D15+D47+D79</f>
        <v>0</v>
      </c>
      <c r="E111" s="75">
        <f t="shared" si="25"/>
        <v>0</v>
      </c>
      <c r="F111" s="75">
        <f t="shared" si="25"/>
        <v>0</v>
      </c>
      <c r="G111" s="75">
        <f t="shared" si="25"/>
        <v>0</v>
      </c>
      <c r="H111" s="75">
        <f t="shared" si="25"/>
        <v>0</v>
      </c>
      <c r="I111" s="75">
        <f t="shared" si="25"/>
        <v>0</v>
      </c>
      <c r="J111" s="75">
        <f t="shared" si="25"/>
        <v>0</v>
      </c>
      <c r="K111" s="75">
        <f t="shared" si="25"/>
        <v>0</v>
      </c>
      <c r="L111" s="75">
        <f t="shared" si="25"/>
        <v>0</v>
      </c>
      <c r="M111" s="76">
        <f t="shared" si="25"/>
        <v>0</v>
      </c>
      <c r="N111" s="128"/>
    </row>
    <row r="112" spans="1:14" ht="12" customHeight="1" x14ac:dyDescent="0.25">
      <c r="A112" s="1236" t="s">
        <v>1617</v>
      </c>
      <c r="B112" s="73"/>
      <c r="C112" s="74">
        <f t="shared" si="19"/>
        <v>1500000</v>
      </c>
      <c r="D112" s="75">
        <f t="shared" ref="D112:M112" si="26">D16+D48+D80</f>
        <v>1500000</v>
      </c>
      <c r="E112" s="75">
        <f t="shared" si="26"/>
        <v>0</v>
      </c>
      <c r="F112" s="75">
        <f t="shared" si="26"/>
        <v>0</v>
      </c>
      <c r="G112" s="75">
        <f t="shared" si="26"/>
        <v>0</v>
      </c>
      <c r="H112" s="75">
        <f t="shared" si="26"/>
        <v>0</v>
      </c>
      <c r="I112" s="75">
        <f t="shared" si="26"/>
        <v>0</v>
      </c>
      <c r="J112" s="75">
        <f t="shared" si="26"/>
        <v>0</v>
      </c>
      <c r="K112" s="75">
        <f t="shared" si="26"/>
        <v>1500000</v>
      </c>
      <c r="L112" s="75">
        <f t="shared" si="26"/>
        <v>1271713</v>
      </c>
      <c r="M112" s="76">
        <f t="shared" si="26"/>
        <v>1958775</v>
      </c>
      <c r="N112" s="128"/>
    </row>
    <row r="113" spans="1:14" ht="12" customHeight="1" x14ac:dyDescent="0.25">
      <c r="A113" s="1237" t="s">
        <v>764</v>
      </c>
      <c r="B113" s="73"/>
      <c r="C113" s="74">
        <f t="shared" si="19"/>
        <v>987165261</v>
      </c>
      <c r="D113" s="75">
        <f t="shared" ref="D113:M113" si="27">D17+D49+D81</f>
        <v>973058261</v>
      </c>
      <c r="E113" s="75">
        <f t="shared" si="27"/>
        <v>0</v>
      </c>
      <c r="F113" s="75">
        <f t="shared" si="27"/>
        <v>0</v>
      </c>
      <c r="G113" s="75">
        <f t="shared" si="27"/>
        <v>0</v>
      </c>
      <c r="H113" s="75">
        <f t="shared" si="27"/>
        <v>62291862</v>
      </c>
      <c r="I113" s="75">
        <f t="shared" si="27"/>
        <v>-242921491</v>
      </c>
      <c r="J113" s="75">
        <f t="shared" si="27"/>
        <v>-180629629</v>
      </c>
      <c r="K113" s="75">
        <f t="shared" si="27"/>
        <v>792428632</v>
      </c>
      <c r="L113" s="75">
        <f t="shared" si="27"/>
        <v>596953311</v>
      </c>
      <c r="M113" s="76">
        <f t="shared" si="27"/>
        <v>548096690</v>
      </c>
      <c r="N113" s="128"/>
    </row>
    <row r="114" spans="1:14" ht="12" customHeight="1" x14ac:dyDescent="0.25">
      <c r="A114" s="1238" t="s">
        <v>1622</v>
      </c>
      <c r="B114" s="73"/>
      <c r="C114" s="74">
        <f t="shared" si="19"/>
        <v>120764213</v>
      </c>
      <c r="D114" s="75">
        <f t="shared" ref="D114:M114" si="28">D18+D50+D82</f>
        <v>101664213</v>
      </c>
      <c r="E114" s="75">
        <f t="shared" si="28"/>
        <v>0</v>
      </c>
      <c r="F114" s="75">
        <f t="shared" si="28"/>
        <v>0</v>
      </c>
      <c r="G114" s="75">
        <f t="shared" si="28"/>
        <v>0</v>
      </c>
      <c r="H114" s="75">
        <f t="shared" si="28"/>
        <v>0</v>
      </c>
      <c r="I114" s="75">
        <f t="shared" si="28"/>
        <v>-3698362</v>
      </c>
      <c r="J114" s="75">
        <f t="shared" si="28"/>
        <v>-3698362</v>
      </c>
      <c r="K114" s="75">
        <f t="shared" si="28"/>
        <v>97965851</v>
      </c>
      <c r="L114" s="75">
        <f t="shared" si="28"/>
        <v>49409958</v>
      </c>
      <c r="M114" s="76">
        <f t="shared" si="28"/>
        <v>36304764</v>
      </c>
      <c r="N114" s="128"/>
    </row>
    <row r="115" spans="1:14" ht="12" customHeight="1" x14ac:dyDescent="0.25">
      <c r="A115" s="1238" t="s">
        <v>1640</v>
      </c>
      <c r="B115" s="73"/>
      <c r="C115" s="74">
        <f t="shared" si="19"/>
        <v>56000000</v>
      </c>
      <c r="D115" s="75">
        <f t="shared" ref="D115:M115" si="29">D19+D51+D83</f>
        <v>56000000</v>
      </c>
      <c r="E115" s="75">
        <f t="shared" si="29"/>
        <v>0</v>
      </c>
      <c r="F115" s="75">
        <f t="shared" si="29"/>
        <v>0</v>
      </c>
      <c r="G115" s="75">
        <f t="shared" si="29"/>
        <v>0</v>
      </c>
      <c r="H115" s="75">
        <f t="shared" si="29"/>
        <v>0</v>
      </c>
      <c r="I115" s="75">
        <f t="shared" si="29"/>
        <v>-3263204</v>
      </c>
      <c r="J115" s="75">
        <f t="shared" si="29"/>
        <v>-3263204</v>
      </c>
      <c r="K115" s="75">
        <f t="shared" si="29"/>
        <v>52736796</v>
      </c>
      <c r="L115" s="75">
        <f t="shared" si="29"/>
        <v>46288167</v>
      </c>
      <c r="M115" s="76">
        <f t="shared" si="29"/>
        <v>35859450</v>
      </c>
      <c r="N115" s="128"/>
    </row>
    <row r="116" spans="1:14" ht="12" customHeight="1" x14ac:dyDescent="0.25">
      <c r="A116" s="1237" t="s">
        <v>1621</v>
      </c>
      <c r="B116" s="73"/>
      <c r="C116" s="74">
        <f t="shared" si="19"/>
        <v>176764213</v>
      </c>
      <c r="D116" s="75">
        <f t="shared" ref="D116:M116" si="30">D20+D52+D84</f>
        <v>157664213</v>
      </c>
      <c r="E116" s="75">
        <f t="shared" si="30"/>
        <v>0</v>
      </c>
      <c r="F116" s="75">
        <f t="shared" si="30"/>
        <v>0</v>
      </c>
      <c r="G116" s="75">
        <f t="shared" si="30"/>
        <v>0</v>
      </c>
      <c r="H116" s="75">
        <f t="shared" si="30"/>
        <v>0</v>
      </c>
      <c r="I116" s="75">
        <f t="shared" si="30"/>
        <v>-6961566</v>
      </c>
      <c r="J116" s="75">
        <f t="shared" si="30"/>
        <v>-6961566</v>
      </c>
      <c r="K116" s="75">
        <f t="shared" si="30"/>
        <v>150702647</v>
      </c>
      <c r="L116" s="75">
        <f t="shared" si="30"/>
        <v>95698125</v>
      </c>
      <c r="M116" s="76">
        <f t="shared" si="30"/>
        <v>72164214</v>
      </c>
      <c r="N116" s="128"/>
    </row>
    <row r="117" spans="1:14" ht="12" customHeight="1" x14ac:dyDescent="0.25">
      <c r="A117" s="1239" t="s">
        <v>1369</v>
      </c>
      <c r="B117" s="73"/>
      <c r="C117" s="74">
        <f t="shared" si="19"/>
        <v>0</v>
      </c>
      <c r="D117" s="75">
        <f t="shared" ref="D117:M117" si="31">D21+D53+D85</f>
        <v>0</v>
      </c>
      <c r="E117" s="75">
        <f t="shared" si="31"/>
        <v>0</v>
      </c>
      <c r="F117" s="75">
        <f t="shared" si="31"/>
        <v>0</v>
      </c>
      <c r="G117" s="75">
        <f t="shared" si="31"/>
        <v>0</v>
      </c>
      <c r="H117" s="75">
        <f t="shared" si="31"/>
        <v>0</v>
      </c>
      <c r="I117" s="75">
        <f t="shared" si="31"/>
        <v>0</v>
      </c>
      <c r="J117" s="75">
        <f t="shared" si="31"/>
        <v>0</v>
      </c>
      <c r="K117" s="75">
        <f t="shared" si="31"/>
        <v>0</v>
      </c>
      <c r="L117" s="75">
        <f t="shared" si="31"/>
        <v>0</v>
      </c>
      <c r="M117" s="76">
        <f t="shared" si="31"/>
        <v>0</v>
      </c>
      <c r="N117" s="128"/>
    </row>
    <row r="118" spans="1:14" ht="12" customHeight="1" x14ac:dyDescent="0.25">
      <c r="A118" s="1238" t="s">
        <v>1648</v>
      </c>
      <c r="B118" s="73"/>
      <c r="C118" s="74">
        <f t="shared" si="19"/>
        <v>5501619</v>
      </c>
      <c r="D118" s="75">
        <f t="shared" ref="D118:M118" si="32">D22+D54+D86</f>
        <v>5501619</v>
      </c>
      <c r="E118" s="75">
        <f t="shared" si="32"/>
        <v>0</v>
      </c>
      <c r="F118" s="75">
        <f t="shared" si="32"/>
        <v>0</v>
      </c>
      <c r="G118" s="75">
        <f t="shared" si="32"/>
        <v>0</v>
      </c>
      <c r="H118" s="75">
        <f t="shared" si="32"/>
        <v>0</v>
      </c>
      <c r="I118" s="75">
        <f t="shared" si="32"/>
        <v>-1108106</v>
      </c>
      <c r="J118" s="75">
        <f t="shared" si="32"/>
        <v>-1108106</v>
      </c>
      <c r="K118" s="75">
        <f t="shared" si="32"/>
        <v>4393513</v>
      </c>
      <c r="L118" s="75">
        <f t="shared" si="32"/>
        <v>7401115</v>
      </c>
      <c r="M118" s="76">
        <f t="shared" si="32"/>
        <v>7400000</v>
      </c>
      <c r="N118" s="128"/>
    </row>
    <row r="119" spans="1:14" ht="12" customHeight="1" x14ac:dyDescent="0.25">
      <c r="A119" s="1238" t="s">
        <v>1651</v>
      </c>
      <c r="B119" s="73"/>
      <c r="C119" s="74">
        <f t="shared" si="19"/>
        <v>0</v>
      </c>
      <c r="D119" s="75">
        <f t="shared" ref="D119:M119" si="33">D23+D55+D87</f>
        <v>0</v>
      </c>
      <c r="E119" s="75">
        <f t="shared" si="33"/>
        <v>0</v>
      </c>
      <c r="F119" s="75">
        <f t="shared" si="33"/>
        <v>0</v>
      </c>
      <c r="G119" s="75">
        <f t="shared" si="33"/>
        <v>0</v>
      </c>
      <c r="H119" s="75">
        <f t="shared" si="33"/>
        <v>0</v>
      </c>
      <c r="I119" s="75">
        <f t="shared" si="33"/>
        <v>0</v>
      </c>
      <c r="J119" s="75">
        <f t="shared" si="33"/>
        <v>0</v>
      </c>
      <c r="K119" s="75">
        <f t="shared" si="33"/>
        <v>0</v>
      </c>
      <c r="L119" s="75">
        <f t="shared" si="33"/>
        <v>0</v>
      </c>
      <c r="M119" s="76">
        <f t="shared" si="33"/>
        <v>0</v>
      </c>
      <c r="N119" s="128"/>
    </row>
    <row r="120" spans="1:14" ht="12" customHeight="1" x14ac:dyDescent="0.25">
      <c r="A120" s="1237" t="s">
        <v>766</v>
      </c>
      <c r="B120" s="73"/>
      <c r="C120" s="74">
        <f t="shared" si="19"/>
        <v>5501619</v>
      </c>
      <c r="D120" s="75">
        <f t="shared" ref="D120:M120" si="34">D24+D56+D88</f>
        <v>5501619</v>
      </c>
      <c r="E120" s="75">
        <f t="shared" si="34"/>
        <v>0</v>
      </c>
      <c r="F120" s="75">
        <f t="shared" si="34"/>
        <v>0</v>
      </c>
      <c r="G120" s="75">
        <f t="shared" si="34"/>
        <v>0</v>
      </c>
      <c r="H120" s="75">
        <f t="shared" si="34"/>
        <v>0</v>
      </c>
      <c r="I120" s="75">
        <f t="shared" si="34"/>
        <v>-1108106</v>
      </c>
      <c r="J120" s="75">
        <f t="shared" si="34"/>
        <v>-1108106</v>
      </c>
      <c r="K120" s="75">
        <f t="shared" si="34"/>
        <v>4393513</v>
      </c>
      <c r="L120" s="75">
        <f t="shared" si="34"/>
        <v>7401115</v>
      </c>
      <c r="M120" s="76">
        <f t="shared" si="34"/>
        <v>7400000</v>
      </c>
      <c r="N120" s="128"/>
    </row>
    <row r="121" spans="1:14" ht="12" customHeight="1" x14ac:dyDescent="0.25">
      <c r="A121" s="1238" t="s">
        <v>1652</v>
      </c>
      <c r="B121" s="73"/>
      <c r="C121" s="74">
        <f t="shared" si="19"/>
        <v>5720659</v>
      </c>
      <c r="D121" s="75">
        <f t="shared" ref="D121:M121" si="35">D25+D57+D89</f>
        <v>12570659</v>
      </c>
      <c r="E121" s="75">
        <f t="shared" si="35"/>
        <v>0</v>
      </c>
      <c r="F121" s="75">
        <f t="shared" si="35"/>
        <v>0</v>
      </c>
      <c r="G121" s="75">
        <f t="shared" si="35"/>
        <v>0</v>
      </c>
      <c r="H121" s="75">
        <f t="shared" si="35"/>
        <v>0</v>
      </c>
      <c r="I121" s="75">
        <f t="shared" si="35"/>
        <v>8162123</v>
      </c>
      <c r="J121" s="75">
        <f t="shared" si="35"/>
        <v>8162123</v>
      </c>
      <c r="K121" s="75">
        <f t="shared" si="35"/>
        <v>20732782</v>
      </c>
      <c r="L121" s="75">
        <f t="shared" si="35"/>
        <v>9315205</v>
      </c>
      <c r="M121" s="76">
        <f t="shared" si="35"/>
        <v>6961540</v>
      </c>
      <c r="N121" s="128"/>
    </row>
    <row r="122" spans="1:14" ht="12" customHeight="1" x14ac:dyDescent="0.25">
      <c r="A122" s="1238" t="s">
        <v>619</v>
      </c>
      <c r="B122" s="73"/>
      <c r="C122" s="74">
        <f t="shared" si="19"/>
        <v>0</v>
      </c>
      <c r="D122" s="75">
        <f t="shared" ref="D122:M122" si="36">D26+D58+D90</f>
        <v>0</v>
      </c>
      <c r="E122" s="75">
        <f t="shared" si="36"/>
        <v>0</v>
      </c>
      <c r="F122" s="75">
        <f t="shared" si="36"/>
        <v>0</v>
      </c>
      <c r="G122" s="75">
        <f t="shared" si="36"/>
        <v>0</v>
      </c>
      <c r="H122" s="75">
        <f t="shared" si="36"/>
        <v>0</v>
      </c>
      <c r="I122" s="75">
        <f t="shared" si="36"/>
        <v>0</v>
      </c>
      <c r="J122" s="75">
        <f t="shared" si="36"/>
        <v>0</v>
      </c>
      <c r="K122" s="75">
        <f t="shared" si="36"/>
        <v>0</v>
      </c>
      <c r="L122" s="75">
        <f t="shared" si="36"/>
        <v>0</v>
      </c>
      <c r="M122" s="76">
        <f t="shared" si="36"/>
        <v>0</v>
      </c>
      <c r="N122" s="128"/>
    </row>
    <row r="123" spans="1:14" ht="12" customHeight="1" x14ac:dyDescent="0.25">
      <c r="A123" s="1237" t="s">
        <v>1370</v>
      </c>
      <c r="B123" s="73"/>
      <c r="C123" s="74">
        <f t="shared" si="19"/>
        <v>5720659</v>
      </c>
      <c r="D123" s="75">
        <f t="shared" ref="D123:M123" si="37">D27+D59+D91</f>
        <v>12570659</v>
      </c>
      <c r="E123" s="75">
        <f t="shared" si="37"/>
        <v>0</v>
      </c>
      <c r="F123" s="75">
        <f t="shared" si="37"/>
        <v>0</v>
      </c>
      <c r="G123" s="75">
        <f t="shared" si="37"/>
        <v>0</v>
      </c>
      <c r="H123" s="75">
        <f t="shared" si="37"/>
        <v>0</v>
      </c>
      <c r="I123" s="75">
        <f t="shared" si="37"/>
        <v>8162123</v>
      </c>
      <c r="J123" s="75">
        <f t="shared" si="37"/>
        <v>8162123</v>
      </c>
      <c r="K123" s="75">
        <f t="shared" si="37"/>
        <v>20732782</v>
      </c>
      <c r="L123" s="75">
        <f t="shared" si="37"/>
        <v>9315205</v>
      </c>
      <c r="M123" s="76">
        <f t="shared" si="37"/>
        <v>6961540</v>
      </c>
      <c r="N123" s="128"/>
    </row>
    <row r="124" spans="1:14" ht="12" customHeight="1" x14ac:dyDescent="0.25">
      <c r="A124" s="1239" t="s">
        <v>1665</v>
      </c>
      <c r="B124" s="73"/>
      <c r="C124" s="74">
        <f t="shared" si="19"/>
        <v>0</v>
      </c>
      <c r="D124" s="75">
        <f t="shared" ref="D124:M124" si="38">D28+D60+D92</f>
        <v>0</v>
      </c>
      <c r="E124" s="75">
        <f t="shared" si="38"/>
        <v>0</v>
      </c>
      <c r="F124" s="75">
        <f t="shared" si="38"/>
        <v>0</v>
      </c>
      <c r="G124" s="75">
        <f t="shared" si="38"/>
        <v>0</v>
      </c>
      <c r="H124" s="75">
        <f t="shared" si="38"/>
        <v>0</v>
      </c>
      <c r="I124" s="75">
        <f t="shared" si="38"/>
        <v>0</v>
      </c>
      <c r="J124" s="75">
        <f t="shared" si="38"/>
        <v>0</v>
      </c>
      <c r="K124" s="75">
        <f t="shared" si="38"/>
        <v>0</v>
      </c>
      <c r="L124" s="75">
        <f t="shared" si="38"/>
        <v>0</v>
      </c>
      <c r="M124" s="76">
        <f t="shared" si="38"/>
        <v>0</v>
      </c>
      <c r="N124" s="128"/>
    </row>
    <row r="125" spans="1:14" ht="12" customHeight="1" x14ac:dyDescent="0.25">
      <c r="A125" s="1238" t="s">
        <v>1667</v>
      </c>
      <c r="B125" s="73"/>
      <c r="C125" s="74">
        <f t="shared" si="19"/>
        <v>0</v>
      </c>
      <c r="D125" s="75">
        <f t="shared" ref="D125:M125" si="39">D29+D61+D93</f>
        <v>0</v>
      </c>
      <c r="E125" s="75">
        <f t="shared" si="39"/>
        <v>0</v>
      </c>
      <c r="F125" s="75">
        <f t="shared" si="39"/>
        <v>0</v>
      </c>
      <c r="G125" s="75">
        <f t="shared" si="39"/>
        <v>0</v>
      </c>
      <c r="H125" s="75">
        <f t="shared" si="39"/>
        <v>0</v>
      </c>
      <c r="I125" s="75">
        <f t="shared" si="39"/>
        <v>0</v>
      </c>
      <c r="J125" s="75">
        <f t="shared" si="39"/>
        <v>0</v>
      </c>
      <c r="K125" s="75">
        <f t="shared" si="39"/>
        <v>0</v>
      </c>
      <c r="L125" s="75">
        <f t="shared" si="39"/>
        <v>0</v>
      </c>
      <c r="M125" s="76">
        <f t="shared" si="39"/>
        <v>0</v>
      </c>
      <c r="N125" s="128"/>
    </row>
    <row r="126" spans="1:14" ht="12" customHeight="1" x14ac:dyDescent="0.25">
      <c r="A126" s="1238" t="s">
        <v>1668</v>
      </c>
      <c r="B126" s="73"/>
      <c r="C126" s="74">
        <f t="shared" si="19"/>
        <v>303584</v>
      </c>
      <c r="D126" s="75">
        <f t="shared" ref="D126:M126" si="40">D30+D62+D94</f>
        <v>303584</v>
      </c>
      <c r="E126" s="75">
        <f t="shared" si="40"/>
        <v>0</v>
      </c>
      <c r="F126" s="75">
        <f t="shared" si="40"/>
        <v>0</v>
      </c>
      <c r="G126" s="75">
        <f t="shared" si="40"/>
        <v>0</v>
      </c>
      <c r="H126" s="75">
        <f t="shared" si="40"/>
        <v>0</v>
      </c>
      <c r="I126" s="75">
        <f t="shared" si="40"/>
        <v>-141894</v>
      </c>
      <c r="J126" s="75">
        <f t="shared" si="40"/>
        <v>-141894</v>
      </c>
      <c r="K126" s="75">
        <f t="shared" si="40"/>
        <v>161690</v>
      </c>
      <c r="L126" s="75">
        <f t="shared" si="40"/>
        <v>370753</v>
      </c>
      <c r="M126" s="76">
        <f t="shared" si="40"/>
        <v>257123</v>
      </c>
      <c r="N126" s="128"/>
    </row>
    <row r="127" spans="1:14" ht="12" customHeight="1" x14ac:dyDescent="0.25">
      <c r="A127" s="1237" t="s">
        <v>1666</v>
      </c>
      <c r="B127" s="73"/>
      <c r="C127" s="74">
        <f t="shared" si="19"/>
        <v>303584</v>
      </c>
      <c r="D127" s="75">
        <f t="shared" ref="D127:M127" si="41">D31+D63+D95</f>
        <v>303584</v>
      </c>
      <c r="E127" s="75">
        <f t="shared" si="41"/>
        <v>0</v>
      </c>
      <c r="F127" s="75">
        <f t="shared" si="41"/>
        <v>0</v>
      </c>
      <c r="G127" s="75">
        <f t="shared" si="41"/>
        <v>0</v>
      </c>
      <c r="H127" s="75">
        <f t="shared" si="41"/>
        <v>0</v>
      </c>
      <c r="I127" s="75">
        <f t="shared" si="41"/>
        <v>-141894</v>
      </c>
      <c r="J127" s="75">
        <f t="shared" si="41"/>
        <v>-141894</v>
      </c>
      <c r="K127" s="75">
        <f t="shared" si="41"/>
        <v>161690</v>
      </c>
      <c r="L127" s="75">
        <f t="shared" si="41"/>
        <v>370753</v>
      </c>
      <c r="M127" s="76">
        <f t="shared" si="41"/>
        <v>257123</v>
      </c>
      <c r="N127" s="128"/>
    </row>
    <row r="128" spans="1:14" ht="12" customHeight="1" x14ac:dyDescent="0.25">
      <c r="A128" s="1240" t="s">
        <v>1675</v>
      </c>
      <c r="B128" s="73"/>
      <c r="C128" s="74">
        <f t="shared" si="19"/>
        <v>2000000</v>
      </c>
      <c r="D128" s="75">
        <f t="shared" ref="D128:M128" si="42">D32+D64+D96</f>
        <v>2000000</v>
      </c>
      <c r="E128" s="75">
        <f t="shared" si="42"/>
        <v>0</v>
      </c>
      <c r="F128" s="75">
        <f t="shared" si="42"/>
        <v>0</v>
      </c>
      <c r="G128" s="75">
        <f t="shared" si="42"/>
        <v>0</v>
      </c>
      <c r="H128" s="75">
        <f t="shared" si="42"/>
        <v>0</v>
      </c>
      <c r="I128" s="75">
        <f t="shared" si="42"/>
        <v>500000</v>
      </c>
      <c r="J128" s="75">
        <f t="shared" si="42"/>
        <v>500000</v>
      </c>
      <c r="K128" s="75">
        <f t="shared" si="42"/>
        <v>2500000</v>
      </c>
      <c r="L128" s="75">
        <f t="shared" si="42"/>
        <v>978241</v>
      </c>
      <c r="M128" s="76">
        <f t="shared" si="42"/>
        <v>1305850</v>
      </c>
      <c r="N128" s="128"/>
    </row>
    <row r="129" spans="1:14" ht="12" customHeight="1" x14ac:dyDescent="0.25">
      <c r="A129" s="1239" t="s">
        <v>1676</v>
      </c>
      <c r="B129" s="73"/>
      <c r="C129" s="74">
        <f t="shared" si="19"/>
        <v>373225</v>
      </c>
      <c r="D129" s="75">
        <f t="shared" ref="D129:M129" si="43">D33+D65+D97</f>
        <v>1873225</v>
      </c>
      <c r="E129" s="75">
        <f t="shared" si="43"/>
        <v>0</v>
      </c>
      <c r="F129" s="75">
        <f t="shared" si="43"/>
        <v>0</v>
      </c>
      <c r="G129" s="75">
        <f t="shared" si="43"/>
        <v>0</v>
      </c>
      <c r="H129" s="75">
        <f t="shared" si="43"/>
        <v>0</v>
      </c>
      <c r="I129" s="75">
        <f t="shared" si="43"/>
        <v>-100000</v>
      </c>
      <c r="J129" s="75">
        <f t="shared" si="43"/>
        <v>-100000</v>
      </c>
      <c r="K129" s="75">
        <f t="shared" si="43"/>
        <v>1773225</v>
      </c>
      <c r="L129" s="75">
        <f t="shared" si="43"/>
        <v>487331</v>
      </c>
      <c r="M129" s="76">
        <f t="shared" si="43"/>
        <v>1122340</v>
      </c>
      <c r="N129" s="128"/>
    </row>
    <row r="130" spans="1:14" ht="12" customHeight="1" x14ac:dyDescent="0.25">
      <c r="A130" s="1239" t="s">
        <v>1677</v>
      </c>
      <c r="B130" s="73"/>
      <c r="C130" s="74">
        <f t="shared" si="19"/>
        <v>3670121</v>
      </c>
      <c r="D130" s="75">
        <f t="shared" ref="D130:M130" si="44">D34+D66+D98</f>
        <v>3670121</v>
      </c>
      <c r="E130" s="75">
        <f t="shared" si="44"/>
        <v>0</v>
      </c>
      <c r="F130" s="75">
        <f t="shared" si="44"/>
        <v>0</v>
      </c>
      <c r="G130" s="75">
        <f t="shared" si="44"/>
        <v>0</v>
      </c>
      <c r="H130" s="75">
        <f t="shared" si="44"/>
        <v>0</v>
      </c>
      <c r="I130" s="75">
        <f t="shared" si="44"/>
        <v>168035</v>
      </c>
      <c r="J130" s="75">
        <f t="shared" si="44"/>
        <v>168035</v>
      </c>
      <c r="K130" s="75">
        <f t="shared" si="44"/>
        <v>3838156</v>
      </c>
      <c r="L130" s="75">
        <f t="shared" si="44"/>
        <v>1947669</v>
      </c>
      <c r="M130" s="76">
        <f t="shared" si="44"/>
        <v>4505680</v>
      </c>
      <c r="N130" s="128"/>
    </row>
    <row r="131" spans="1:14" ht="12" customHeight="1" x14ac:dyDescent="0.25">
      <c r="A131" s="1240" t="s">
        <v>1678</v>
      </c>
      <c r="B131" s="73"/>
      <c r="C131" s="74">
        <f t="shared" si="19"/>
        <v>20000000</v>
      </c>
      <c r="D131" s="75">
        <f t="shared" ref="D131:M131" si="45">D35+D67+D99</f>
        <v>74500000</v>
      </c>
      <c r="E131" s="75">
        <f t="shared" si="45"/>
        <v>0</v>
      </c>
      <c r="F131" s="75">
        <f t="shared" si="45"/>
        <v>0</v>
      </c>
      <c r="G131" s="75">
        <f t="shared" si="45"/>
        <v>0</v>
      </c>
      <c r="H131" s="75">
        <f t="shared" si="45"/>
        <v>0</v>
      </c>
      <c r="I131" s="75">
        <f t="shared" si="45"/>
        <v>-14000000</v>
      </c>
      <c r="J131" s="75">
        <f t="shared" si="45"/>
        <v>-14000000</v>
      </c>
      <c r="K131" s="75">
        <f t="shared" si="45"/>
        <v>60500000</v>
      </c>
      <c r="L131" s="75">
        <f t="shared" si="45"/>
        <v>15000000</v>
      </c>
      <c r="M131" s="76">
        <f t="shared" si="45"/>
        <v>0</v>
      </c>
      <c r="N131" s="128"/>
    </row>
    <row r="132" spans="1:14" ht="12" customHeight="1" x14ac:dyDescent="0.25">
      <c r="A132" s="1239" t="s">
        <v>1735</v>
      </c>
      <c r="B132" s="73"/>
      <c r="C132" s="74">
        <f t="shared" si="19"/>
        <v>0</v>
      </c>
      <c r="D132" s="75">
        <f t="shared" ref="D132:M132" si="46">D36+D68+D100</f>
        <v>0</v>
      </c>
      <c r="E132" s="75">
        <f t="shared" si="46"/>
        <v>0</v>
      </c>
      <c r="F132" s="75">
        <f t="shared" si="46"/>
        <v>0</v>
      </c>
      <c r="G132" s="75">
        <f t="shared" si="46"/>
        <v>0</v>
      </c>
      <c r="H132" s="75">
        <f t="shared" si="46"/>
        <v>0</v>
      </c>
      <c r="I132" s="75">
        <f t="shared" si="46"/>
        <v>0</v>
      </c>
      <c r="J132" s="75">
        <f t="shared" si="46"/>
        <v>0</v>
      </c>
      <c r="K132" s="75">
        <f t="shared" si="46"/>
        <v>0</v>
      </c>
      <c r="L132" s="75">
        <f t="shared" si="46"/>
        <v>0</v>
      </c>
      <c r="M132" s="76">
        <f t="shared" si="46"/>
        <v>0</v>
      </c>
      <c r="N132" s="128"/>
    </row>
    <row r="133" spans="1:14" ht="12" customHeight="1" x14ac:dyDescent="0.25">
      <c r="A133" s="1239" t="s">
        <v>1679</v>
      </c>
      <c r="B133" s="73"/>
      <c r="C133" s="74">
        <f t="shared" si="19"/>
        <v>0</v>
      </c>
      <c r="D133" s="75">
        <f t="shared" ref="D133:M133" si="47">D37+D69+D101</f>
        <v>0</v>
      </c>
      <c r="E133" s="75">
        <f t="shared" si="47"/>
        <v>0</v>
      </c>
      <c r="F133" s="75">
        <f t="shared" si="47"/>
        <v>0</v>
      </c>
      <c r="G133" s="75">
        <f t="shared" si="47"/>
        <v>0</v>
      </c>
      <c r="H133" s="75">
        <f t="shared" si="47"/>
        <v>0</v>
      </c>
      <c r="I133" s="75">
        <f t="shared" si="47"/>
        <v>0</v>
      </c>
      <c r="J133" s="75">
        <f t="shared" si="47"/>
        <v>0</v>
      </c>
      <c r="K133" s="75">
        <f t="shared" si="47"/>
        <v>0</v>
      </c>
      <c r="L133" s="75">
        <f t="shared" si="47"/>
        <v>0</v>
      </c>
      <c r="M133" s="76">
        <f t="shared" si="47"/>
        <v>0</v>
      </c>
      <c r="N133" s="128"/>
    </row>
    <row r="134" spans="1:14" ht="12.75" customHeight="1" x14ac:dyDescent="0.25">
      <c r="A134" s="162" t="s">
        <v>1127</v>
      </c>
      <c r="B134" s="79">
        <v>4</v>
      </c>
      <c r="C134" s="80">
        <f>C7+C39+C71</f>
        <v>1201498682</v>
      </c>
      <c r="D134" s="81">
        <f t="shared" ref="D134:M134" si="48">D7+D39+D71</f>
        <v>1231141682</v>
      </c>
      <c r="E134" s="81">
        <f t="shared" si="48"/>
        <v>0</v>
      </c>
      <c r="F134" s="81">
        <f t="shared" si="48"/>
        <v>0</v>
      </c>
      <c r="G134" s="81">
        <f t="shared" si="48"/>
        <v>0</v>
      </c>
      <c r="H134" s="81">
        <f t="shared" si="48"/>
        <v>62291862</v>
      </c>
      <c r="I134" s="81">
        <f t="shared" si="48"/>
        <v>-256402899</v>
      </c>
      <c r="J134" s="81">
        <f t="shared" si="48"/>
        <v>-194111037</v>
      </c>
      <c r="K134" s="81">
        <f t="shared" si="48"/>
        <v>1037030645</v>
      </c>
      <c r="L134" s="81">
        <f t="shared" si="48"/>
        <v>728151750</v>
      </c>
      <c r="M134" s="82">
        <f t="shared" si="48"/>
        <v>641813437</v>
      </c>
      <c r="N134" s="128"/>
    </row>
    <row r="135" spans="1:14" ht="5.0999999999999996" customHeight="1" x14ac:dyDescent="0.25">
      <c r="A135" s="136"/>
      <c r="B135" s="73"/>
      <c r="C135" s="74"/>
      <c r="D135" s="75"/>
      <c r="E135" s="75"/>
      <c r="F135" s="75"/>
      <c r="G135" s="75"/>
      <c r="H135" s="75"/>
      <c r="I135" s="75"/>
      <c r="J135" s="75"/>
      <c r="K135" s="75"/>
      <c r="L135" s="75"/>
      <c r="M135" s="76"/>
      <c r="N135" s="128"/>
    </row>
    <row r="136" spans="1:14" ht="12.75" customHeight="1" x14ac:dyDescent="0.25">
      <c r="A136" s="139" t="s">
        <v>768</v>
      </c>
      <c r="B136" s="73">
        <v>5</v>
      </c>
      <c r="C136" s="131">
        <f>C146+C149+C150+C153+C156+C157+SUM(C160:C166)</f>
        <v>16565000526</v>
      </c>
      <c r="D136" s="173">
        <f t="shared" ref="D136:M136" si="49">D146+D149+D150+D153+D156+D157+SUM(D160:D166)</f>
        <v>16594643526</v>
      </c>
      <c r="E136" s="173">
        <f t="shared" si="49"/>
        <v>0</v>
      </c>
      <c r="F136" s="173">
        <f t="shared" si="49"/>
        <v>0</v>
      </c>
      <c r="G136" s="173">
        <f t="shared" si="49"/>
        <v>0</v>
      </c>
      <c r="H136" s="173">
        <f t="shared" si="49"/>
        <v>62291861</v>
      </c>
      <c r="I136" s="173">
        <f t="shared" si="49"/>
        <v>-1729913659</v>
      </c>
      <c r="J136" s="75">
        <f t="shared" si="49"/>
        <v>-1667621798</v>
      </c>
      <c r="K136" s="75">
        <f t="shared" si="49"/>
        <v>14927021728</v>
      </c>
      <c r="L136" s="173">
        <f t="shared" si="49"/>
        <v>17008152276</v>
      </c>
      <c r="M136" s="174">
        <f t="shared" si="49"/>
        <v>17349965713</v>
      </c>
      <c r="N136" s="128"/>
    </row>
    <row r="137" spans="1:14" ht="12.75" customHeight="1" x14ac:dyDescent="0.25">
      <c r="A137" s="1236" t="str">
        <f>+A8</f>
        <v>Roads Infrastructure</v>
      </c>
      <c r="B137" s="73"/>
      <c r="C137" s="130">
        <v>6296793009</v>
      </c>
      <c r="D137" s="109">
        <v>6262247009</v>
      </c>
      <c r="E137" s="109">
        <v>0</v>
      </c>
      <c r="F137" s="109">
        <v>0</v>
      </c>
      <c r="G137" s="109">
        <v>0</v>
      </c>
      <c r="H137" s="109">
        <f>'B5-Capex'!H57</f>
        <v>31374024</v>
      </c>
      <c r="I137" s="109">
        <v>-204621985</v>
      </c>
      <c r="J137" s="75">
        <f t="shared" ref="J137:J145" si="50">SUM(E137:I137)</f>
        <v>-173247961</v>
      </c>
      <c r="K137" s="75">
        <f t="shared" ref="K137:K150" si="51">IF(D137=0,C137+J137,D137+J137)</f>
        <v>6088999048</v>
      </c>
      <c r="L137" s="109">
        <v>1831993789.7423999</v>
      </c>
      <c r="M137" s="110">
        <v>1578435673.7423999</v>
      </c>
      <c r="N137" s="128"/>
    </row>
    <row r="138" spans="1:14" ht="12.75" customHeight="1" x14ac:dyDescent="0.25">
      <c r="A138" s="1236" t="str">
        <f t="shared" ref="A138:A166" si="52">+A9</f>
        <v>Storm water Infrastructure</v>
      </c>
      <c r="B138" s="73"/>
      <c r="C138" s="130">
        <v>421400985</v>
      </c>
      <c r="D138" s="109">
        <v>421400985</v>
      </c>
      <c r="E138" s="109">
        <v>0</v>
      </c>
      <c r="F138" s="109">
        <v>0</v>
      </c>
      <c r="G138" s="109">
        <v>0</v>
      </c>
      <c r="H138" s="109">
        <v>0</v>
      </c>
      <c r="I138" s="109">
        <v>0</v>
      </c>
      <c r="J138" s="75">
        <f t="shared" si="50"/>
        <v>0</v>
      </c>
      <c r="K138" s="75">
        <f>IF(D138=0,C138+J138,D138+J138)</f>
        <v>421400985</v>
      </c>
      <c r="L138" s="109">
        <v>2566442099.71</v>
      </c>
      <c r="M138" s="110">
        <v>2862775813.71</v>
      </c>
      <c r="N138" s="128"/>
    </row>
    <row r="139" spans="1:14" ht="12.75" customHeight="1" x14ac:dyDescent="0.25">
      <c r="A139" s="1236" t="str">
        <f t="shared" si="52"/>
        <v>Electrical Infrastructure</v>
      </c>
      <c r="B139" s="137"/>
      <c r="C139" s="130">
        <v>2534619885</v>
      </c>
      <c r="D139" s="109">
        <v>2600119885</v>
      </c>
      <c r="E139" s="109">
        <v>0</v>
      </c>
      <c r="F139" s="109">
        <v>0</v>
      </c>
      <c r="G139" s="109">
        <v>0</v>
      </c>
      <c r="H139" s="109">
        <f>'B5-Capex'!H60</f>
        <v>7337771</v>
      </c>
      <c r="I139" s="109">
        <v>-15249996</v>
      </c>
      <c r="J139" s="75">
        <f t="shared" si="50"/>
        <v>-7912225</v>
      </c>
      <c r="K139" s="75">
        <f>IF(D139=0,C139+J139,D139+J139)</f>
        <v>2592207660</v>
      </c>
      <c r="L139" s="109">
        <v>1659289965.372</v>
      </c>
      <c r="M139" s="110">
        <v>1696232465.372</v>
      </c>
      <c r="N139" s="128"/>
    </row>
    <row r="140" spans="1:14" ht="12.75" customHeight="1" x14ac:dyDescent="0.25">
      <c r="A140" s="1236" t="str">
        <f t="shared" si="52"/>
        <v>Water Supply Infrastructure</v>
      </c>
      <c r="B140" s="73"/>
      <c r="C140" s="130">
        <v>2038852563</v>
      </c>
      <c r="D140" s="109">
        <v>2038852563</v>
      </c>
      <c r="E140" s="109">
        <v>0</v>
      </c>
      <c r="F140" s="109">
        <v>0</v>
      </c>
      <c r="G140" s="109">
        <v>0</v>
      </c>
      <c r="H140" s="109">
        <f>'B5-Capex'!H61</f>
        <v>23324013</v>
      </c>
      <c r="I140" s="109">
        <v>-25259882</v>
      </c>
      <c r="J140" s="75">
        <f t="shared" si="50"/>
        <v>-1935869</v>
      </c>
      <c r="K140" s="75">
        <f>IF(D140=0,C140+J140,D140+J140)</f>
        <v>2036916694</v>
      </c>
      <c r="L140" s="109">
        <v>3346913780.8445001</v>
      </c>
      <c r="M140" s="110">
        <v>3539525481.8445001</v>
      </c>
      <c r="N140" s="128"/>
    </row>
    <row r="141" spans="1:14" ht="12.75" customHeight="1" x14ac:dyDescent="0.25">
      <c r="A141" s="1236" t="str">
        <f t="shared" si="52"/>
        <v>Sanitation Infrastructure</v>
      </c>
      <c r="B141" s="73"/>
      <c r="C141" s="130">
        <v>709080024</v>
      </c>
      <c r="D141" s="109">
        <v>632769024</v>
      </c>
      <c r="E141" s="109">
        <v>0</v>
      </c>
      <c r="F141" s="109">
        <v>0</v>
      </c>
      <c r="G141" s="109">
        <v>0</v>
      </c>
      <c r="H141" s="109">
        <f>'B5-Capex'!H62</f>
        <v>256053</v>
      </c>
      <c r="I141" s="109">
        <v>3680377</v>
      </c>
      <c r="J141" s="75">
        <f t="shared" si="50"/>
        <v>3936430</v>
      </c>
      <c r="K141" s="75">
        <f>IF(D141=0,C141+J141,D141+J141)</f>
        <v>636705454</v>
      </c>
      <c r="L141" s="109">
        <v>2481614722.2090001</v>
      </c>
      <c r="M141" s="110">
        <v>2481614722.2090001</v>
      </c>
      <c r="N141" s="128"/>
    </row>
    <row r="142" spans="1:14" ht="12.75" customHeight="1" x14ac:dyDescent="0.25">
      <c r="A142" s="1236" t="str">
        <f t="shared" si="52"/>
        <v>Solid Waste Infrastructure</v>
      </c>
      <c r="B142" s="73"/>
      <c r="C142" s="130">
        <v>6252132</v>
      </c>
      <c r="D142" s="109">
        <v>29252132</v>
      </c>
      <c r="E142" s="109">
        <v>0</v>
      </c>
      <c r="F142" s="109">
        <v>0</v>
      </c>
      <c r="G142" s="109">
        <v>0</v>
      </c>
      <c r="H142" s="109">
        <f>'B5-Capex'!H63</f>
        <v>0</v>
      </c>
      <c r="I142" s="109">
        <v>-2720000</v>
      </c>
      <c r="J142" s="75">
        <f t="shared" si="50"/>
        <v>-2720000</v>
      </c>
      <c r="K142" s="75">
        <f t="shared" si="51"/>
        <v>26532132</v>
      </c>
      <c r="L142" s="109">
        <v>125883860.706</v>
      </c>
      <c r="M142" s="110">
        <v>129033860.706</v>
      </c>
      <c r="N142" s="128"/>
    </row>
    <row r="143" spans="1:14" ht="12.75" customHeight="1" x14ac:dyDescent="0.25">
      <c r="A143" s="1236" t="str">
        <f t="shared" si="52"/>
        <v>Rail Infrastructure</v>
      </c>
      <c r="B143" s="137"/>
      <c r="C143" s="130"/>
      <c r="D143" s="109">
        <v>0</v>
      </c>
      <c r="E143" s="109">
        <v>0</v>
      </c>
      <c r="F143" s="109">
        <v>0</v>
      </c>
      <c r="G143" s="109">
        <v>0</v>
      </c>
      <c r="H143" s="109">
        <v>0</v>
      </c>
      <c r="I143" s="109">
        <v>0</v>
      </c>
      <c r="J143" s="75">
        <f t="shared" si="50"/>
        <v>0</v>
      </c>
      <c r="K143" s="75">
        <f t="shared" si="51"/>
        <v>0</v>
      </c>
      <c r="L143" s="109">
        <v>0</v>
      </c>
      <c r="M143" s="110">
        <v>0</v>
      </c>
      <c r="N143" s="128"/>
    </row>
    <row r="144" spans="1:14" ht="12.75" customHeight="1" x14ac:dyDescent="0.25">
      <c r="A144" s="1236" t="str">
        <f t="shared" si="52"/>
        <v>Coastal Infrastructure</v>
      </c>
      <c r="B144" s="73"/>
      <c r="C144" s="130"/>
      <c r="D144" s="109">
        <v>0</v>
      </c>
      <c r="E144" s="109">
        <v>0</v>
      </c>
      <c r="F144" s="109">
        <v>0</v>
      </c>
      <c r="G144" s="109">
        <v>0</v>
      </c>
      <c r="H144" s="109">
        <v>0</v>
      </c>
      <c r="I144" s="109">
        <v>0</v>
      </c>
      <c r="J144" s="75">
        <f t="shared" si="50"/>
        <v>0</v>
      </c>
      <c r="K144" s="75">
        <f t="shared" si="51"/>
        <v>0</v>
      </c>
      <c r="L144" s="109">
        <v>0</v>
      </c>
      <c r="M144" s="110">
        <v>0</v>
      </c>
      <c r="N144" s="128"/>
    </row>
    <row r="145" spans="1:14" ht="12.75" customHeight="1" x14ac:dyDescent="0.25">
      <c r="A145" s="1236" t="str">
        <f t="shared" si="52"/>
        <v>Information and Communication Infrastructure</v>
      </c>
      <c r="B145" s="73"/>
      <c r="C145" s="130">
        <v>12383127</v>
      </c>
      <c r="D145" s="109">
        <v>12383127</v>
      </c>
      <c r="E145" s="109">
        <v>0</v>
      </c>
      <c r="F145" s="109">
        <v>0</v>
      </c>
      <c r="G145" s="109">
        <v>0</v>
      </c>
      <c r="H145" s="109">
        <v>0</v>
      </c>
      <c r="I145" s="109">
        <v>0</v>
      </c>
      <c r="J145" s="75">
        <f t="shared" si="50"/>
        <v>0</v>
      </c>
      <c r="K145" s="75">
        <f t="shared" si="51"/>
        <v>12383127</v>
      </c>
      <c r="L145" s="109">
        <v>45922379.259000003</v>
      </c>
      <c r="M145" s="110">
        <v>47881154.259000003</v>
      </c>
      <c r="N145" s="128"/>
    </row>
    <row r="146" spans="1:14" ht="12.75" customHeight="1" x14ac:dyDescent="0.25">
      <c r="A146" s="1237" t="str">
        <f t="shared" si="52"/>
        <v>Infrastructure</v>
      </c>
      <c r="B146" s="73"/>
      <c r="C146" s="700">
        <f t="shared" ref="C146:J146" si="53">SUM(C137:C145)</f>
        <v>12019381725</v>
      </c>
      <c r="D146" s="265">
        <f t="shared" si="53"/>
        <v>11997024725</v>
      </c>
      <c r="E146" s="265">
        <f t="shared" si="53"/>
        <v>0</v>
      </c>
      <c r="F146" s="265">
        <f t="shared" si="53"/>
        <v>0</v>
      </c>
      <c r="G146" s="265">
        <f t="shared" si="53"/>
        <v>0</v>
      </c>
      <c r="H146" s="265">
        <f t="shared" si="53"/>
        <v>62291861</v>
      </c>
      <c r="I146" s="265">
        <f t="shared" si="53"/>
        <v>-244171486</v>
      </c>
      <c r="J146" s="580">
        <f t="shared" si="53"/>
        <v>-181879625</v>
      </c>
      <c r="K146" s="580">
        <f t="shared" si="51"/>
        <v>11815145100</v>
      </c>
      <c r="L146" s="265">
        <f>SUM(L137:L145)</f>
        <v>12058060597.842899</v>
      </c>
      <c r="M146" s="266">
        <f>SUM(M137:M145)</f>
        <v>12335499171.842899</v>
      </c>
      <c r="N146" s="128"/>
    </row>
    <row r="147" spans="1:14" s="184" customFormat="1" ht="0.95" customHeight="1" x14ac:dyDescent="0.25">
      <c r="A147" s="1324"/>
      <c r="B147" s="1325"/>
      <c r="C147" s="131"/>
      <c r="D147" s="132"/>
      <c r="E147" s="132"/>
      <c r="F147" s="132"/>
      <c r="G147" s="132"/>
      <c r="H147" s="132"/>
      <c r="I147" s="132"/>
      <c r="J147" s="132"/>
      <c r="K147" s="132"/>
      <c r="L147" s="132"/>
      <c r="M147" s="133"/>
      <c r="N147" s="836"/>
    </row>
    <row r="148" spans="1:14" s="184" customFormat="1" ht="0.95" customHeight="1" x14ac:dyDescent="0.25">
      <c r="A148" s="1324"/>
      <c r="B148" s="1325"/>
      <c r="C148" s="131"/>
      <c r="D148" s="132"/>
      <c r="E148" s="132"/>
      <c r="F148" s="132"/>
      <c r="G148" s="132"/>
      <c r="H148" s="132"/>
      <c r="I148" s="132"/>
      <c r="J148" s="132"/>
      <c r="K148" s="132"/>
      <c r="L148" s="132"/>
      <c r="M148" s="133"/>
      <c r="N148" s="836"/>
    </row>
    <row r="149" spans="1:14" ht="12.75" customHeight="1" x14ac:dyDescent="0.25">
      <c r="A149" s="1237" t="str">
        <f t="shared" si="52"/>
        <v>Community Assets</v>
      </c>
      <c r="B149" s="73"/>
      <c r="C149" s="130">
        <v>1061352347</v>
      </c>
      <c r="D149" s="109">
        <v>1113352347</v>
      </c>
      <c r="E149" s="109">
        <v>0</v>
      </c>
      <c r="F149" s="109">
        <v>0</v>
      </c>
      <c r="G149" s="109">
        <v>0</v>
      </c>
      <c r="H149" s="109">
        <v>0</v>
      </c>
      <c r="I149" s="109">
        <v>726014857</v>
      </c>
      <c r="J149" s="75">
        <f>SUM(E149:I149)</f>
        <v>726014857</v>
      </c>
      <c r="K149" s="75">
        <f>IF(D149=0,C149+J149,D149+J149)</f>
        <v>1839367204</v>
      </c>
      <c r="L149" s="109">
        <v>2286725921.2179565</v>
      </c>
      <c r="M149" s="110">
        <v>2286727261.2179565</v>
      </c>
      <c r="N149" s="128"/>
    </row>
    <row r="150" spans="1:14" ht="12.75" customHeight="1" x14ac:dyDescent="0.25">
      <c r="A150" s="1239" t="str">
        <f t="shared" si="52"/>
        <v>Heritage Assets</v>
      </c>
      <c r="B150" s="73"/>
      <c r="C150" s="130">
        <v>0</v>
      </c>
      <c r="D150" s="109">
        <v>0</v>
      </c>
      <c r="E150" s="109">
        <v>0</v>
      </c>
      <c r="F150" s="109">
        <v>0</v>
      </c>
      <c r="G150" s="109">
        <v>0</v>
      </c>
      <c r="H150" s="109">
        <v>0</v>
      </c>
      <c r="I150" s="109">
        <v>0</v>
      </c>
      <c r="J150" s="75">
        <f>SUM(E150:I150)</f>
        <v>0</v>
      </c>
      <c r="K150" s="75">
        <f t="shared" si="51"/>
        <v>0</v>
      </c>
      <c r="L150" s="109">
        <v>320500817.86150002</v>
      </c>
      <c r="M150" s="110">
        <v>356360267.86150002</v>
      </c>
      <c r="N150" s="128"/>
    </row>
    <row r="151" spans="1:14" s="184" customFormat="1" ht="0.95" customHeight="1" x14ac:dyDescent="0.25">
      <c r="A151" s="1324"/>
      <c r="B151" s="1325"/>
      <c r="C151" s="131"/>
      <c r="D151" s="132"/>
      <c r="E151" s="132"/>
      <c r="F151" s="132"/>
      <c r="G151" s="132"/>
      <c r="H151" s="132"/>
      <c r="I151" s="132"/>
      <c r="J151" s="132"/>
      <c r="K151" s="132"/>
      <c r="L151" s="132"/>
      <c r="M151" s="133"/>
      <c r="N151" s="836"/>
    </row>
    <row r="152" spans="1:14" s="184" customFormat="1" ht="0.95" customHeight="1" x14ac:dyDescent="0.25">
      <c r="A152" s="1324"/>
      <c r="B152" s="1325"/>
      <c r="C152" s="131"/>
      <c r="D152" s="132"/>
      <c r="E152" s="132"/>
      <c r="F152" s="132"/>
      <c r="G152" s="132"/>
      <c r="H152" s="132"/>
      <c r="I152" s="132"/>
      <c r="J152" s="132"/>
      <c r="K152" s="132"/>
      <c r="L152" s="132"/>
      <c r="M152" s="133"/>
      <c r="N152" s="836"/>
    </row>
    <row r="153" spans="1:14" ht="12.75" customHeight="1" x14ac:dyDescent="0.25">
      <c r="A153" s="1237" t="str">
        <f t="shared" si="52"/>
        <v>Investment properties</v>
      </c>
      <c r="B153" s="73"/>
      <c r="C153" s="130">
        <v>732808388</v>
      </c>
      <c r="D153" s="109">
        <v>732808388</v>
      </c>
      <c r="E153" s="109">
        <v>0</v>
      </c>
      <c r="F153" s="109">
        <v>0</v>
      </c>
      <c r="G153" s="109">
        <v>0</v>
      </c>
      <c r="H153" s="109">
        <v>0</v>
      </c>
      <c r="I153" s="109">
        <v>0</v>
      </c>
      <c r="J153" s="75">
        <f>SUM(E153:I153)</f>
        <v>0</v>
      </c>
      <c r="K153" s="75">
        <f>IF(D153=0,C153+J153,D153+J153)</f>
        <v>732808388</v>
      </c>
      <c r="L153" s="109">
        <v>732808386.95000005</v>
      </c>
      <c r="M153" s="110">
        <v>740208386.95000005</v>
      </c>
      <c r="N153" s="128"/>
    </row>
    <row r="154" spans="1:14" s="184" customFormat="1" ht="0.95" customHeight="1" x14ac:dyDescent="0.25">
      <c r="A154" s="1324"/>
      <c r="B154" s="1325"/>
      <c r="C154" s="131"/>
      <c r="D154" s="132"/>
      <c r="E154" s="132"/>
      <c r="F154" s="132"/>
      <c r="G154" s="132"/>
      <c r="H154" s="132"/>
      <c r="I154" s="132"/>
      <c r="J154" s="132"/>
      <c r="K154" s="132"/>
      <c r="L154" s="132"/>
      <c r="M154" s="133"/>
      <c r="N154" s="836"/>
    </row>
    <row r="155" spans="1:14" s="184" customFormat="1" ht="0.95" customHeight="1" x14ac:dyDescent="0.25">
      <c r="A155" s="1324"/>
      <c r="B155" s="1325"/>
      <c r="C155" s="131"/>
      <c r="D155" s="132"/>
      <c r="E155" s="132"/>
      <c r="F155" s="132"/>
      <c r="G155" s="132"/>
      <c r="H155" s="132"/>
      <c r="I155" s="132"/>
      <c r="J155" s="132"/>
      <c r="K155" s="132"/>
      <c r="L155" s="132"/>
      <c r="M155" s="133"/>
      <c r="N155" s="836"/>
    </row>
    <row r="156" spans="1:14" ht="12.75" customHeight="1" x14ac:dyDescent="0.25">
      <c r="A156" s="1237" t="str">
        <f t="shared" si="52"/>
        <v>Other Assets</v>
      </c>
      <c r="B156" s="73"/>
      <c r="C156" s="130">
        <v>2447375588</v>
      </c>
      <c r="D156" s="109">
        <v>2447375588</v>
      </c>
      <c r="E156" s="109">
        <v>0</v>
      </c>
      <c r="F156" s="109">
        <v>0</v>
      </c>
      <c r="G156" s="109">
        <v>0</v>
      </c>
      <c r="H156" s="109">
        <v>0</v>
      </c>
      <c r="I156" s="109">
        <v>-2198157030</v>
      </c>
      <c r="J156" s="75">
        <f>SUM(E156:I156)</f>
        <v>-2198157030</v>
      </c>
      <c r="K156" s="75">
        <f>IF(D156=0,C156+J156,D156+J156)</f>
        <v>249218558</v>
      </c>
      <c r="L156" s="109">
        <v>675400730.71141291</v>
      </c>
      <c r="M156" s="110">
        <v>682362270.71141291</v>
      </c>
      <c r="N156" s="128"/>
    </row>
    <row r="157" spans="1:14" ht="12.75" customHeight="1" x14ac:dyDescent="0.25">
      <c r="A157" s="1239" t="str">
        <f t="shared" si="52"/>
        <v>Biological or Cultivated Assets</v>
      </c>
      <c r="B157" s="73"/>
      <c r="C157" s="130">
        <v>11833140</v>
      </c>
      <c r="D157" s="109">
        <v>11833140</v>
      </c>
      <c r="E157" s="109">
        <v>0</v>
      </c>
      <c r="F157" s="109">
        <v>0</v>
      </c>
      <c r="G157" s="109">
        <v>0</v>
      </c>
      <c r="H157" s="109">
        <v>0</v>
      </c>
      <c r="I157" s="109">
        <v>0</v>
      </c>
      <c r="J157" s="75">
        <f>SUM(E157:I157)</f>
        <v>0</v>
      </c>
      <c r="K157" s="75">
        <f>IF(D157=0,C157+J157,D157+J157)</f>
        <v>11833140</v>
      </c>
      <c r="L157" s="109">
        <v>287014481.75036889</v>
      </c>
      <c r="M157" s="110">
        <v>293976021.75036889</v>
      </c>
      <c r="N157" s="128"/>
    </row>
    <row r="158" spans="1:14" s="184" customFormat="1" ht="0.95" customHeight="1" x14ac:dyDescent="0.25">
      <c r="A158" s="1324"/>
      <c r="B158" s="1325"/>
      <c r="C158" s="131"/>
      <c r="D158" s="132"/>
      <c r="E158" s="132"/>
      <c r="F158" s="132"/>
      <c r="G158" s="132"/>
      <c r="H158" s="132"/>
      <c r="I158" s="132"/>
      <c r="J158" s="132"/>
      <c r="K158" s="132"/>
      <c r="L158" s="132"/>
      <c r="M158" s="133"/>
      <c r="N158" s="836"/>
    </row>
    <row r="159" spans="1:14" s="184" customFormat="1" ht="0.95" customHeight="1" x14ac:dyDescent="0.25">
      <c r="A159" s="1324"/>
      <c r="B159" s="1325"/>
      <c r="C159" s="131"/>
      <c r="D159" s="132"/>
      <c r="E159" s="132"/>
      <c r="F159" s="132"/>
      <c r="G159" s="132"/>
      <c r="H159" s="132"/>
      <c r="I159" s="132"/>
      <c r="J159" s="132"/>
      <c r="K159" s="132"/>
      <c r="L159" s="132"/>
      <c r="M159" s="133"/>
      <c r="N159" s="836"/>
    </row>
    <row r="160" spans="1:14" ht="12.75" customHeight="1" x14ac:dyDescent="0.25">
      <c r="A160" s="1237" t="str">
        <f t="shared" si="52"/>
        <v>Intangible Assets</v>
      </c>
      <c r="B160" s="73"/>
      <c r="C160" s="130">
        <v>11383052</v>
      </c>
      <c r="D160" s="109">
        <v>11383052</v>
      </c>
      <c r="E160" s="109">
        <v>0</v>
      </c>
      <c r="F160" s="109">
        <v>0</v>
      </c>
      <c r="G160" s="109">
        <v>0</v>
      </c>
      <c r="H160" s="109">
        <v>0</v>
      </c>
      <c r="I160" s="109">
        <v>0</v>
      </c>
      <c r="J160" s="75">
        <f>SUM(E160:I160)</f>
        <v>0</v>
      </c>
      <c r="K160" s="75">
        <f>IF(D160=0,C160+J160,D160+J160)</f>
        <v>11383052</v>
      </c>
      <c r="L160" s="109">
        <v>14328066.498000002</v>
      </c>
      <c r="M160" s="110">
        <v>14585189.498000002</v>
      </c>
      <c r="N160" s="128"/>
    </row>
    <row r="161" spans="1:14" ht="12.75" customHeight="1" x14ac:dyDescent="0.25">
      <c r="A161" s="1240" t="str">
        <f t="shared" si="52"/>
        <v>Computer Equipment</v>
      </c>
      <c r="B161" s="73"/>
      <c r="C161" s="130">
        <v>8344188</v>
      </c>
      <c r="D161" s="109">
        <v>8344188</v>
      </c>
      <c r="E161" s="109">
        <v>0</v>
      </c>
      <c r="F161" s="109">
        <v>0</v>
      </c>
      <c r="G161" s="109">
        <v>0</v>
      </c>
      <c r="H161" s="109">
        <v>0</v>
      </c>
      <c r="I161" s="109">
        <v>500000</v>
      </c>
      <c r="J161" s="75">
        <f t="shared" ref="J161:J166" si="54">SUM(E161:I161)</f>
        <v>500000</v>
      </c>
      <c r="K161" s="75">
        <f t="shared" ref="K161:K166" si="55">IF(D161=0,C161+J161,D161+J161)</f>
        <v>8844188</v>
      </c>
      <c r="L161" s="109">
        <v>21548574.919709779</v>
      </c>
      <c r="M161" s="110">
        <v>22854424.919709779</v>
      </c>
      <c r="N161" s="128"/>
    </row>
    <row r="162" spans="1:14" ht="12.75" customHeight="1" x14ac:dyDescent="0.25">
      <c r="A162" s="1239" t="str">
        <f t="shared" si="52"/>
        <v>Furniture and Office Equipment</v>
      </c>
      <c r="B162" s="73"/>
      <c r="C162" s="130">
        <v>16805639</v>
      </c>
      <c r="D162" s="109">
        <v>16805639</v>
      </c>
      <c r="E162" s="109">
        <v>0</v>
      </c>
      <c r="F162" s="109">
        <v>0</v>
      </c>
      <c r="G162" s="109">
        <v>0</v>
      </c>
      <c r="H162" s="109">
        <v>0</v>
      </c>
      <c r="I162" s="109">
        <v>-100000</v>
      </c>
      <c r="J162" s="75">
        <f t="shared" si="54"/>
        <v>-100000</v>
      </c>
      <c r="K162" s="75">
        <f t="shared" si="55"/>
        <v>16705639</v>
      </c>
      <c r="L162" s="109">
        <v>23842433.551233582</v>
      </c>
      <c r="M162" s="110">
        <v>24964773.551233582</v>
      </c>
      <c r="N162" s="128"/>
    </row>
    <row r="163" spans="1:14" ht="12.75" customHeight="1" x14ac:dyDescent="0.25">
      <c r="A163" s="1239" t="str">
        <f t="shared" si="52"/>
        <v>Machinery and Equipment</v>
      </c>
      <c r="B163" s="73"/>
      <c r="C163" s="130">
        <v>330124</v>
      </c>
      <c r="D163" s="109">
        <v>330124</v>
      </c>
      <c r="E163" s="109">
        <v>0</v>
      </c>
      <c r="F163" s="109">
        <f>H136-H167</f>
        <v>0</v>
      </c>
      <c r="G163" s="109">
        <v>0</v>
      </c>
      <c r="H163" s="109">
        <v>0</v>
      </c>
      <c r="I163" s="109">
        <v>0</v>
      </c>
      <c r="J163" s="75">
        <f t="shared" si="54"/>
        <v>0</v>
      </c>
      <c r="K163" s="75">
        <f t="shared" si="55"/>
        <v>330124</v>
      </c>
      <c r="L163" s="109">
        <v>32268338.837526813</v>
      </c>
      <c r="M163" s="110">
        <v>36774018.837526813</v>
      </c>
      <c r="N163" s="128"/>
    </row>
    <row r="164" spans="1:14" ht="12.75" customHeight="1" x14ac:dyDescent="0.25">
      <c r="A164" s="1240" t="str">
        <f t="shared" si="52"/>
        <v>Transport Assets</v>
      </c>
      <c r="B164" s="73"/>
      <c r="C164" s="130">
        <v>73513217</v>
      </c>
      <c r="D164" s="109">
        <v>73513217</v>
      </c>
      <c r="E164" s="109">
        <v>0</v>
      </c>
      <c r="F164" s="109">
        <v>0</v>
      </c>
      <c r="G164" s="109">
        <v>0</v>
      </c>
      <c r="H164" s="109">
        <v>0</v>
      </c>
      <c r="I164" s="109">
        <v>-14000000</v>
      </c>
      <c r="J164" s="75">
        <f t="shared" si="54"/>
        <v>-14000000</v>
      </c>
      <c r="K164" s="75">
        <f t="shared" si="55"/>
        <v>59513217</v>
      </c>
      <c r="L164" s="109">
        <v>373780547.35939217</v>
      </c>
      <c r="M164" s="110">
        <v>373780547.35939217</v>
      </c>
      <c r="N164" s="128"/>
    </row>
    <row r="165" spans="1:14" ht="12.75" customHeight="1" x14ac:dyDescent="0.25">
      <c r="A165" s="1239" t="str">
        <f t="shared" si="52"/>
        <v>Land</v>
      </c>
      <c r="B165" s="73"/>
      <c r="C165" s="130">
        <v>181873118</v>
      </c>
      <c r="D165" s="109">
        <v>181873118</v>
      </c>
      <c r="E165" s="109">
        <v>0</v>
      </c>
      <c r="F165" s="109">
        <v>0</v>
      </c>
      <c r="G165" s="109">
        <v>0</v>
      </c>
      <c r="H165" s="109">
        <v>0</v>
      </c>
      <c r="I165" s="109">
        <v>0</v>
      </c>
      <c r="J165" s="75">
        <f t="shared" si="54"/>
        <v>0</v>
      </c>
      <c r="K165" s="75">
        <f t="shared" si="55"/>
        <v>181873118</v>
      </c>
      <c r="L165" s="109">
        <v>181873378.5</v>
      </c>
      <c r="M165" s="110">
        <v>181873378.5</v>
      </c>
      <c r="N165" s="128"/>
    </row>
    <row r="166" spans="1:14" ht="12.75" customHeight="1" x14ac:dyDescent="0.25">
      <c r="A166" s="1239" t="str">
        <f t="shared" si="52"/>
        <v>Zoo's, Marine and Non-biological Animals</v>
      </c>
      <c r="B166" s="73"/>
      <c r="C166" s="130">
        <v>0</v>
      </c>
      <c r="D166" s="109">
        <v>0</v>
      </c>
      <c r="E166" s="109">
        <v>0</v>
      </c>
      <c r="F166" s="109">
        <v>0</v>
      </c>
      <c r="G166" s="109">
        <v>0</v>
      </c>
      <c r="H166" s="109">
        <v>0</v>
      </c>
      <c r="I166" s="109">
        <v>0</v>
      </c>
      <c r="J166" s="75">
        <f t="shared" si="54"/>
        <v>0</v>
      </c>
      <c r="K166" s="75">
        <f t="shared" si="55"/>
        <v>0</v>
      </c>
      <c r="L166" s="109">
        <v>0</v>
      </c>
      <c r="M166" s="110">
        <v>0</v>
      </c>
      <c r="N166" s="128"/>
    </row>
    <row r="167" spans="1:14" ht="12.75" customHeight="1" x14ac:dyDescent="0.25">
      <c r="A167" s="162" t="s">
        <v>1128</v>
      </c>
      <c r="B167" s="79">
        <v>5</v>
      </c>
      <c r="C167" s="80">
        <f>C146+C149+C150+C153+C156+C157+SUM(C160:C166)</f>
        <v>16565000526</v>
      </c>
      <c r="D167" s="81">
        <f t="shared" ref="D167:M167" si="56">D146+D149+D150+D153+D156+D157+SUM(D160:D166)</f>
        <v>16594643526</v>
      </c>
      <c r="E167" s="81">
        <f t="shared" si="56"/>
        <v>0</v>
      </c>
      <c r="F167" s="81">
        <f t="shared" si="56"/>
        <v>0</v>
      </c>
      <c r="G167" s="81">
        <f t="shared" si="56"/>
        <v>0</v>
      </c>
      <c r="H167" s="81">
        <f t="shared" si="56"/>
        <v>62291861</v>
      </c>
      <c r="I167" s="81">
        <f t="shared" si="56"/>
        <v>-1729913659</v>
      </c>
      <c r="J167" s="81">
        <f t="shared" si="56"/>
        <v>-1667621798</v>
      </c>
      <c r="K167" s="81">
        <f t="shared" si="56"/>
        <v>14927021728</v>
      </c>
      <c r="L167" s="81">
        <f t="shared" si="56"/>
        <v>17008152276</v>
      </c>
      <c r="M167" s="82">
        <f t="shared" si="56"/>
        <v>17349965713</v>
      </c>
      <c r="N167" s="128"/>
    </row>
    <row r="168" spans="1:14" ht="5.0999999999999996" customHeight="1" x14ac:dyDescent="0.25">
      <c r="A168" s="136"/>
      <c r="B168" s="73"/>
      <c r="C168" s="74"/>
      <c r="D168" s="75"/>
      <c r="E168" s="75"/>
      <c r="F168" s="75"/>
      <c r="G168" s="75"/>
      <c r="H168" s="75"/>
      <c r="I168" s="75"/>
      <c r="J168" s="75"/>
      <c r="K168" s="75"/>
      <c r="L168" s="75"/>
      <c r="M168" s="76"/>
      <c r="N168" s="128"/>
    </row>
    <row r="169" spans="1:14" ht="12.75" customHeight="1" x14ac:dyDescent="0.25">
      <c r="A169" s="829" t="s">
        <v>769</v>
      </c>
      <c r="B169" s="73"/>
      <c r="C169" s="74"/>
      <c r="D169" s="75"/>
      <c r="E169" s="75"/>
      <c r="F169" s="75"/>
      <c r="G169" s="75"/>
      <c r="H169" s="75"/>
      <c r="I169" s="75"/>
      <c r="J169" s="75"/>
      <c r="K169" s="75"/>
      <c r="L169" s="75"/>
      <c r="M169" s="76"/>
      <c r="N169" s="128"/>
    </row>
    <row r="170" spans="1:14" ht="12.75" customHeight="1" x14ac:dyDescent="0.25">
      <c r="A170" s="234" t="s">
        <v>564</v>
      </c>
      <c r="B170" s="73"/>
      <c r="C170" s="131">
        <f>SB18d!C169</f>
        <v>255000000</v>
      </c>
      <c r="D170" s="75">
        <f>SB18d!D169</f>
        <v>255000000</v>
      </c>
      <c r="E170" s="75">
        <f>SB18d!E169</f>
        <v>0</v>
      </c>
      <c r="F170" s="75">
        <f>SB18d!F169</f>
        <v>0</v>
      </c>
      <c r="G170" s="75">
        <f>SB18d!G169</f>
        <v>0</v>
      </c>
      <c r="H170" s="75">
        <f>SB18d!H169</f>
        <v>0</v>
      </c>
      <c r="I170" s="75">
        <f>SB18d!I169</f>
        <v>0</v>
      </c>
      <c r="J170" s="75">
        <f>SB18d!J169</f>
        <v>0</v>
      </c>
      <c r="K170" s="75">
        <f>SB18d!K169</f>
        <v>255000000</v>
      </c>
      <c r="L170" s="171">
        <f>SB18d!L169</f>
        <v>285000000</v>
      </c>
      <c r="M170" s="235">
        <f>SB18d!M169</f>
        <v>300000000</v>
      </c>
      <c r="N170" s="128"/>
    </row>
    <row r="171" spans="1:14" ht="12.75" customHeight="1" x14ac:dyDescent="0.25">
      <c r="A171" s="234" t="s">
        <v>770</v>
      </c>
      <c r="B171" s="73">
        <v>3</v>
      </c>
      <c r="C171" s="236">
        <f>C181+C184+C185+C188+C191+C192+SUM(C195:C201)</f>
        <v>552545618</v>
      </c>
      <c r="D171" s="237">
        <f>D181+D184+D185+D188+D191+D192+SUM(D195:D201)</f>
        <v>552545618</v>
      </c>
      <c r="E171" s="237">
        <f>E181+E184+E185+E188+E191+E192+SUM(E195:E201)</f>
        <v>0</v>
      </c>
      <c r="F171" s="237">
        <f t="shared" ref="F171:K171" si="57">F181+F184+F185+F188+F191+F192+SUM(F195:F201)</f>
        <v>0</v>
      </c>
      <c r="G171" s="237">
        <f t="shared" si="57"/>
        <v>0</v>
      </c>
      <c r="H171" s="237">
        <f t="shared" si="57"/>
        <v>0</v>
      </c>
      <c r="I171" s="237">
        <f t="shared" si="57"/>
        <v>144521766</v>
      </c>
      <c r="J171" s="237">
        <f t="shared" si="57"/>
        <v>144521766</v>
      </c>
      <c r="K171" s="237">
        <f t="shared" si="57"/>
        <v>697067384</v>
      </c>
      <c r="L171" s="237">
        <f>L181+L184+L185+L188+L191+L192+SUM(L195:L201)</f>
        <v>590032269</v>
      </c>
      <c r="M171" s="238">
        <f>M181+M184+M185+M188+M191+M192+SUM(M195:M201)</f>
        <v>601933079</v>
      </c>
      <c r="N171" s="128"/>
    </row>
    <row r="172" spans="1:14" ht="12.75" customHeight="1" x14ac:dyDescent="0.25">
      <c r="A172" s="1236" t="str">
        <f>+A8</f>
        <v>Roads Infrastructure</v>
      </c>
      <c r="B172" s="73"/>
      <c r="C172" s="131">
        <f>SB18c!C9</f>
        <v>77031479</v>
      </c>
      <c r="D172" s="131">
        <f>SB18c!D9</f>
        <v>77031479</v>
      </c>
      <c r="E172" s="131">
        <f>SB18c!E9</f>
        <v>0</v>
      </c>
      <c r="F172" s="131">
        <f>SB18c!F9</f>
        <v>0</v>
      </c>
      <c r="G172" s="131">
        <f>SB18c!G9</f>
        <v>0</v>
      </c>
      <c r="H172" s="131">
        <f>SB18c!H9</f>
        <v>0</v>
      </c>
      <c r="I172" s="131">
        <f>SB18c!I9</f>
        <v>19376290</v>
      </c>
      <c r="J172" s="171">
        <f>SB18c!J9</f>
        <v>19376290</v>
      </c>
      <c r="K172" s="171">
        <f>SB18c!K9</f>
        <v>96407769</v>
      </c>
      <c r="L172" s="132">
        <f>SB18c!L9</f>
        <v>78350803</v>
      </c>
      <c r="M172" s="266">
        <f>SB18c!M9</f>
        <v>82087489</v>
      </c>
      <c r="N172" s="128"/>
    </row>
    <row r="173" spans="1:14" ht="12.75" customHeight="1" x14ac:dyDescent="0.25">
      <c r="A173" s="1236" t="str">
        <f t="shared" ref="A173:A201" si="58">+A9</f>
        <v>Storm water Infrastructure</v>
      </c>
      <c r="B173" s="73"/>
      <c r="C173" s="131">
        <f>SB18c!C14</f>
        <v>0</v>
      </c>
      <c r="D173" s="131">
        <f>SB18c!D14</f>
        <v>0</v>
      </c>
      <c r="E173" s="131">
        <f>SB18c!E14</f>
        <v>0</v>
      </c>
      <c r="F173" s="131">
        <f>SB18c!F14</f>
        <v>0</v>
      </c>
      <c r="G173" s="131">
        <f>SB18c!G14</f>
        <v>0</v>
      </c>
      <c r="H173" s="131">
        <f>SB18c!H14</f>
        <v>0</v>
      </c>
      <c r="I173" s="131">
        <f>SB18c!I14</f>
        <v>0</v>
      </c>
      <c r="J173" s="171">
        <f>SB18c!J14</f>
        <v>0</v>
      </c>
      <c r="K173" s="171">
        <f>SB18c!K14</f>
        <v>0</v>
      </c>
      <c r="L173" s="131">
        <f>SB18c!L14</f>
        <v>0</v>
      </c>
      <c r="M173" s="133">
        <f>SB18c!M14</f>
        <v>0</v>
      </c>
      <c r="N173" s="128"/>
    </row>
    <row r="174" spans="1:14" ht="12.75" customHeight="1" x14ac:dyDescent="0.25">
      <c r="A174" s="1236" t="str">
        <f t="shared" si="58"/>
        <v>Electrical Infrastructure</v>
      </c>
      <c r="B174" s="73"/>
      <c r="C174" s="131">
        <f>SB18c!C18</f>
        <v>114437734</v>
      </c>
      <c r="D174" s="131">
        <f>SB18c!D18</f>
        <v>114437734</v>
      </c>
      <c r="E174" s="131">
        <f>SB18c!E18</f>
        <v>0</v>
      </c>
      <c r="F174" s="131">
        <f>SB18c!F18</f>
        <v>0</v>
      </c>
      <c r="G174" s="131">
        <f>SB18c!G18</f>
        <v>0</v>
      </c>
      <c r="H174" s="131">
        <f>SB18c!H18</f>
        <v>0</v>
      </c>
      <c r="I174" s="131">
        <f>SB18c!I18</f>
        <v>-100000</v>
      </c>
      <c r="J174" s="171">
        <f>SB18c!J18</f>
        <v>-100000</v>
      </c>
      <c r="K174" s="171">
        <f>SB18c!K18</f>
        <v>114337734</v>
      </c>
      <c r="L174" s="132">
        <f>SB18c!L18</f>
        <v>128600401</v>
      </c>
      <c r="M174" s="133">
        <f>SB18c!M18</f>
        <v>127060770</v>
      </c>
      <c r="N174" s="128"/>
    </row>
    <row r="175" spans="1:14" ht="12.75" customHeight="1" x14ac:dyDescent="0.25">
      <c r="A175" s="1236" t="str">
        <f t="shared" si="58"/>
        <v>Water Supply Infrastructure</v>
      </c>
      <c r="B175" s="73"/>
      <c r="C175" s="131">
        <f>SB18c!C28</f>
        <v>130506825</v>
      </c>
      <c r="D175" s="131">
        <f>SB18c!D28</f>
        <v>130506825</v>
      </c>
      <c r="E175" s="131">
        <f>SB18c!E28</f>
        <v>0</v>
      </c>
      <c r="F175" s="131">
        <f>SB18c!F28</f>
        <v>0</v>
      </c>
      <c r="G175" s="131">
        <f>SB18c!G28</f>
        <v>0</v>
      </c>
      <c r="H175" s="131">
        <f>SB18c!H28</f>
        <v>0</v>
      </c>
      <c r="I175" s="131">
        <f>SB18c!I28</f>
        <v>84080732</v>
      </c>
      <c r="J175" s="171">
        <f>SB18c!J28</f>
        <v>84080732</v>
      </c>
      <c r="K175" s="171">
        <f>SB18c!K28</f>
        <v>214587557</v>
      </c>
      <c r="L175" s="132">
        <f>SB18c!L28</f>
        <v>144703603</v>
      </c>
      <c r="M175" s="133">
        <f>SB18c!M28</f>
        <v>152280414</v>
      </c>
      <c r="N175" s="128"/>
    </row>
    <row r="176" spans="1:14" ht="12.75" customHeight="1" x14ac:dyDescent="0.25">
      <c r="A176" s="1236" t="str">
        <f t="shared" si="58"/>
        <v>Sanitation Infrastructure</v>
      </c>
      <c r="B176" s="73"/>
      <c r="C176" s="131">
        <f>SB18c!C39</f>
        <v>11132574</v>
      </c>
      <c r="D176" s="131">
        <f>SB18c!D39</f>
        <v>11132574</v>
      </c>
      <c r="E176" s="131">
        <f>SB18c!E39</f>
        <v>0</v>
      </c>
      <c r="F176" s="131">
        <f>SB18c!F39</f>
        <v>0</v>
      </c>
      <c r="G176" s="131">
        <f>SB18c!G39</f>
        <v>0</v>
      </c>
      <c r="H176" s="131">
        <f>SB18c!H39</f>
        <v>0</v>
      </c>
      <c r="I176" s="131">
        <f>SB18c!I39</f>
        <v>0</v>
      </c>
      <c r="J176" s="171">
        <f>SB18c!J39</f>
        <v>0</v>
      </c>
      <c r="K176" s="171">
        <f>SB18c!K39</f>
        <v>11132574</v>
      </c>
      <c r="L176" s="132">
        <f>SB18c!L39</f>
        <v>11666938</v>
      </c>
      <c r="M176" s="133">
        <f>SB18c!M39</f>
        <v>12226951</v>
      </c>
      <c r="N176" s="128"/>
    </row>
    <row r="177" spans="1:14" ht="12.75" customHeight="1" x14ac:dyDescent="0.25">
      <c r="A177" s="1236" t="str">
        <f t="shared" si="58"/>
        <v>Solid Waste Infrastructure</v>
      </c>
      <c r="B177" s="73"/>
      <c r="C177" s="131">
        <f>SB18c!C46</f>
        <v>57847885</v>
      </c>
      <c r="D177" s="131">
        <f>SB18c!D46</f>
        <v>57847885</v>
      </c>
      <c r="E177" s="131">
        <f>SB18c!E46</f>
        <v>0</v>
      </c>
      <c r="F177" s="131">
        <f>SB18c!F46</f>
        <v>0</v>
      </c>
      <c r="G177" s="131">
        <f>SB18c!G46</f>
        <v>0</v>
      </c>
      <c r="H177" s="131">
        <f>SB18c!H46</f>
        <v>0</v>
      </c>
      <c r="I177" s="131">
        <f>SB18c!I46</f>
        <v>21500000</v>
      </c>
      <c r="J177" s="171">
        <f>SB18c!J46</f>
        <v>21500000</v>
      </c>
      <c r="K177" s="171">
        <f>SB18c!K46</f>
        <v>79347885</v>
      </c>
      <c r="L177" s="131">
        <f>SB18c!L46</f>
        <v>56336584</v>
      </c>
      <c r="M177" s="133">
        <f>SB18c!M46</f>
        <v>59040739</v>
      </c>
      <c r="N177" s="128"/>
    </row>
    <row r="178" spans="1:14" ht="12.75" customHeight="1" x14ac:dyDescent="0.25">
      <c r="A178" s="1236" t="str">
        <f t="shared" si="58"/>
        <v>Rail Infrastructure</v>
      </c>
      <c r="B178" s="73"/>
      <c r="C178" s="131">
        <f>SB18c!C54</f>
        <v>0</v>
      </c>
      <c r="D178" s="131">
        <f>SB18c!D54</f>
        <v>0</v>
      </c>
      <c r="E178" s="131">
        <f>SB18c!E54</f>
        <v>0</v>
      </c>
      <c r="F178" s="131">
        <f>SB18c!F54</f>
        <v>0</v>
      </c>
      <c r="G178" s="131">
        <f>SB18c!G54</f>
        <v>0</v>
      </c>
      <c r="H178" s="131">
        <f>SB18c!H54</f>
        <v>0</v>
      </c>
      <c r="I178" s="131">
        <f>SB18c!I54</f>
        <v>0</v>
      </c>
      <c r="J178" s="171">
        <f>SB18c!J54</f>
        <v>0</v>
      </c>
      <c r="K178" s="171">
        <f>SB18c!K54</f>
        <v>0</v>
      </c>
      <c r="L178" s="132">
        <f>SB18c!L54</f>
        <v>0</v>
      </c>
      <c r="M178" s="133">
        <f>SB18c!M54</f>
        <v>0</v>
      </c>
      <c r="N178" s="128"/>
    </row>
    <row r="179" spans="1:14" ht="12.75" customHeight="1" x14ac:dyDescent="0.25">
      <c r="A179" s="1236" t="str">
        <f t="shared" si="58"/>
        <v>Coastal Infrastructure</v>
      </c>
      <c r="B179" s="73"/>
      <c r="C179" s="131">
        <f>SB18c!C64</f>
        <v>0</v>
      </c>
      <c r="D179" s="131">
        <f>SB18c!D64</f>
        <v>0</v>
      </c>
      <c r="E179" s="131">
        <f>SB18c!E64</f>
        <v>0</v>
      </c>
      <c r="F179" s="131">
        <f>SB18c!F64</f>
        <v>0</v>
      </c>
      <c r="G179" s="131">
        <f>SB18c!G64</f>
        <v>0</v>
      </c>
      <c r="H179" s="131">
        <f>SB18c!H64</f>
        <v>0</v>
      </c>
      <c r="I179" s="131">
        <f>SB18c!I64</f>
        <v>0</v>
      </c>
      <c r="J179" s="171">
        <f>SB18c!J64</f>
        <v>0</v>
      </c>
      <c r="K179" s="171">
        <f>SB18c!K64</f>
        <v>0</v>
      </c>
      <c r="L179" s="132">
        <f>SB18c!L64</f>
        <v>0</v>
      </c>
      <c r="M179" s="133">
        <f>SB18c!M64</f>
        <v>0</v>
      </c>
      <c r="N179" s="128"/>
    </row>
    <row r="180" spans="1:14" ht="12.75" customHeight="1" x14ac:dyDescent="0.25">
      <c r="A180" s="1236" t="str">
        <f t="shared" si="58"/>
        <v>Information and Communication Infrastructure</v>
      </c>
      <c r="B180" s="73"/>
      <c r="C180" s="131">
        <f>SB18c!C70</f>
        <v>0</v>
      </c>
      <c r="D180" s="131">
        <f>SB18c!D70</f>
        <v>0</v>
      </c>
      <c r="E180" s="131">
        <f>SB18c!E70</f>
        <v>0</v>
      </c>
      <c r="F180" s="131">
        <f>SB18c!F70</f>
        <v>0</v>
      </c>
      <c r="G180" s="131">
        <f>SB18c!G70</f>
        <v>0</v>
      </c>
      <c r="H180" s="131">
        <f>SB18c!H70</f>
        <v>0</v>
      </c>
      <c r="I180" s="131">
        <f>SB18c!I70</f>
        <v>0</v>
      </c>
      <c r="J180" s="171">
        <f>SB18c!J70</f>
        <v>0</v>
      </c>
      <c r="K180" s="171">
        <f>SB18c!K70</f>
        <v>0</v>
      </c>
      <c r="L180" s="132">
        <f>SB18c!L70</f>
        <v>0</v>
      </c>
      <c r="M180" s="133">
        <f>SB18c!M70</f>
        <v>0</v>
      </c>
      <c r="N180" s="128"/>
    </row>
    <row r="181" spans="1:14" ht="12.75" customHeight="1" x14ac:dyDescent="0.25">
      <c r="A181" s="1237" t="str">
        <f t="shared" si="58"/>
        <v>Infrastructure</v>
      </c>
      <c r="B181" s="73"/>
      <c r="C181" s="700">
        <f>SUM(C172:C180)</f>
        <v>390956497</v>
      </c>
      <c r="D181" s="265">
        <f t="shared" ref="D181:M181" si="59">SUM(D172:D180)</f>
        <v>390956497</v>
      </c>
      <c r="E181" s="265">
        <f t="shared" si="59"/>
        <v>0</v>
      </c>
      <c r="F181" s="265">
        <f t="shared" si="59"/>
        <v>0</v>
      </c>
      <c r="G181" s="265">
        <f t="shared" si="59"/>
        <v>0</v>
      </c>
      <c r="H181" s="265">
        <f t="shared" si="59"/>
        <v>0</v>
      </c>
      <c r="I181" s="265">
        <f t="shared" si="59"/>
        <v>124857022</v>
      </c>
      <c r="J181" s="580">
        <f t="shared" si="59"/>
        <v>124857022</v>
      </c>
      <c r="K181" s="580">
        <f t="shared" si="59"/>
        <v>515813519</v>
      </c>
      <c r="L181" s="265">
        <f t="shared" si="59"/>
        <v>419658329</v>
      </c>
      <c r="M181" s="266">
        <f t="shared" si="59"/>
        <v>432696363</v>
      </c>
      <c r="N181" s="128"/>
    </row>
    <row r="182" spans="1:14" ht="12.75" customHeight="1" x14ac:dyDescent="0.25">
      <c r="A182" s="1238" t="str">
        <f t="shared" si="58"/>
        <v>Community Facilities</v>
      </c>
      <c r="B182" s="73"/>
      <c r="C182" s="131">
        <f>SB18c!C77</f>
        <v>7588114</v>
      </c>
      <c r="D182" s="131">
        <f>SB18c!D77</f>
        <v>7588114</v>
      </c>
      <c r="E182" s="131">
        <f>SB18c!E77</f>
        <v>0</v>
      </c>
      <c r="F182" s="131">
        <f>SB18c!F77</f>
        <v>0</v>
      </c>
      <c r="G182" s="131">
        <f>SB18c!G77</f>
        <v>0</v>
      </c>
      <c r="H182" s="131">
        <f>SB18c!H77</f>
        <v>0</v>
      </c>
      <c r="I182" s="131">
        <f>SB18c!I77</f>
        <v>1400000</v>
      </c>
      <c r="J182" s="171">
        <f>SB18c!J77</f>
        <v>1400000</v>
      </c>
      <c r="K182" s="171">
        <f>SB18c!K77</f>
        <v>8988114</v>
      </c>
      <c r="L182" s="132">
        <f>SB18c!L77</f>
        <v>5437143</v>
      </c>
      <c r="M182" s="133">
        <f>SB18c!M77</f>
        <v>5698125</v>
      </c>
      <c r="N182" s="128"/>
    </row>
    <row r="183" spans="1:14" ht="12.75" customHeight="1" x14ac:dyDescent="0.25">
      <c r="A183" s="1238" t="str">
        <f t="shared" si="58"/>
        <v>Sport and Recreation Facilities</v>
      </c>
      <c r="B183" s="73"/>
      <c r="C183" s="131">
        <f>SB18c!C100</f>
        <v>32534319</v>
      </c>
      <c r="D183" s="272">
        <f>SB18c!D100</f>
        <v>32534319</v>
      </c>
      <c r="E183" s="1241">
        <f>SB18c!E100</f>
        <v>0</v>
      </c>
      <c r="F183" s="1241">
        <f>SB18c!F100</f>
        <v>0</v>
      </c>
      <c r="G183" s="1241">
        <f>SB18c!G100</f>
        <v>0</v>
      </c>
      <c r="H183" s="1241">
        <f>SB18c!H100</f>
        <v>0</v>
      </c>
      <c r="I183" s="1241">
        <f>SB18c!I100</f>
        <v>1427900</v>
      </c>
      <c r="J183" s="1242">
        <f>SB18c!J100</f>
        <v>1427900</v>
      </c>
      <c r="K183" s="1242">
        <f>SB18c!K100</f>
        <v>33962219</v>
      </c>
      <c r="L183" s="272">
        <f>SB18c!L100</f>
        <v>34375556</v>
      </c>
      <c r="M183" s="275">
        <f>SB18c!M100</f>
        <v>36321380</v>
      </c>
      <c r="N183" s="128"/>
    </row>
    <row r="184" spans="1:14" ht="12.75" customHeight="1" x14ac:dyDescent="0.25">
      <c r="A184" s="1237" t="str">
        <f t="shared" si="58"/>
        <v>Community Assets</v>
      </c>
      <c r="B184" s="73"/>
      <c r="C184" s="700">
        <f>SUM(C182:C183)</f>
        <v>40122433</v>
      </c>
      <c r="D184" s="131">
        <f t="shared" ref="D184:M184" si="60">SUM(D182:D183)</f>
        <v>40122433</v>
      </c>
      <c r="E184" s="131">
        <f t="shared" si="60"/>
        <v>0</v>
      </c>
      <c r="F184" s="131">
        <f t="shared" si="60"/>
        <v>0</v>
      </c>
      <c r="G184" s="131">
        <f t="shared" si="60"/>
        <v>0</v>
      </c>
      <c r="H184" s="131">
        <f t="shared" si="60"/>
        <v>0</v>
      </c>
      <c r="I184" s="131">
        <f t="shared" si="60"/>
        <v>2827900</v>
      </c>
      <c r="J184" s="171">
        <f t="shared" si="60"/>
        <v>2827900</v>
      </c>
      <c r="K184" s="171">
        <f t="shared" si="60"/>
        <v>42950333</v>
      </c>
      <c r="L184" s="132">
        <f t="shared" si="60"/>
        <v>39812699</v>
      </c>
      <c r="M184" s="133">
        <f t="shared" si="60"/>
        <v>42019505</v>
      </c>
      <c r="N184" s="128"/>
    </row>
    <row r="185" spans="1:14" ht="12.75" customHeight="1" x14ac:dyDescent="0.25">
      <c r="A185" s="1239" t="str">
        <f t="shared" si="58"/>
        <v>Heritage Assets</v>
      </c>
      <c r="B185" s="73"/>
      <c r="C185" s="131">
        <f>SB18c!C105</f>
        <v>0</v>
      </c>
      <c r="D185" s="131">
        <f>SB18c!D105</f>
        <v>0</v>
      </c>
      <c r="E185" s="131">
        <f>SB18c!E105</f>
        <v>0</v>
      </c>
      <c r="F185" s="131">
        <f>SB18c!F105</f>
        <v>0</v>
      </c>
      <c r="G185" s="131">
        <f>SB18c!G105</f>
        <v>0</v>
      </c>
      <c r="H185" s="131">
        <f>SB18c!H105</f>
        <v>0</v>
      </c>
      <c r="I185" s="131">
        <f>SB18c!I105</f>
        <v>0</v>
      </c>
      <c r="J185" s="171">
        <f>SB18c!J105</f>
        <v>0</v>
      </c>
      <c r="K185" s="171">
        <f>SB18c!K105</f>
        <v>0</v>
      </c>
      <c r="L185" s="132">
        <f>SB18c!L105</f>
        <v>0</v>
      </c>
      <c r="M185" s="133">
        <f>SB18c!M105</f>
        <v>0</v>
      </c>
      <c r="N185" s="128"/>
    </row>
    <row r="186" spans="1:14" ht="12.75" customHeight="1" x14ac:dyDescent="0.25">
      <c r="A186" s="1238" t="str">
        <f t="shared" si="58"/>
        <v>Revenue Generating</v>
      </c>
      <c r="B186" s="73"/>
      <c r="C186" s="131">
        <f>SB18c!C113</f>
        <v>0</v>
      </c>
      <c r="D186" s="131">
        <f>SB18c!D113</f>
        <v>0</v>
      </c>
      <c r="E186" s="131">
        <f>SB18c!E113</f>
        <v>0</v>
      </c>
      <c r="F186" s="131">
        <f>SB18c!F113</f>
        <v>0</v>
      </c>
      <c r="G186" s="131">
        <f>SB18c!G113</f>
        <v>0</v>
      </c>
      <c r="H186" s="131">
        <f>SB18c!H113</f>
        <v>0</v>
      </c>
      <c r="I186" s="131">
        <f>SB18c!I113</f>
        <v>0</v>
      </c>
      <c r="J186" s="171">
        <f>SB18c!J113</f>
        <v>0</v>
      </c>
      <c r="K186" s="171">
        <f>SB18c!K113</f>
        <v>0</v>
      </c>
      <c r="L186" s="132">
        <f>SB18c!L113</f>
        <v>0</v>
      </c>
      <c r="M186" s="133">
        <f>SB18c!M113</f>
        <v>0</v>
      </c>
      <c r="N186" s="128"/>
    </row>
    <row r="187" spans="1:14" ht="12.75" customHeight="1" x14ac:dyDescent="0.25">
      <c r="A187" s="1238" t="str">
        <f t="shared" si="58"/>
        <v>Non-revenue Generating</v>
      </c>
      <c r="B187" s="73"/>
      <c r="C187" s="131">
        <f>SB18c!C116</f>
        <v>0</v>
      </c>
      <c r="D187" s="272">
        <f>SB18c!D116</f>
        <v>0</v>
      </c>
      <c r="E187" s="1241">
        <f>SB18c!E116</f>
        <v>0</v>
      </c>
      <c r="F187" s="1241">
        <f>SB18c!F116</f>
        <v>0</v>
      </c>
      <c r="G187" s="1241">
        <f>SB18c!G116</f>
        <v>0</v>
      </c>
      <c r="H187" s="1241">
        <f>SB18c!H116</f>
        <v>0</v>
      </c>
      <c r="I187" s="1241">
        <f>SB18c!I116</f>
        <v>0</v>
      </c>
      <c r="J187" s="1242">
        <f>SB18c!J116</f>
        <v>0</v>
      </c>
      <c r="K187" s="1242">
        <f>SB18c!K116</f>
        <v>0</v>
      </c>
      <c r="L187" s="272">
        <f>SB18c!L116</f>
        <v>0</v>
      </c>
      <c r="M187" s="275">
        <f>SB18c!M116</f>
        <v>0</v>
      </c>
      <c r="N187" s="128"/>
    </row>
    <row r="188" spans="1:14" ht="12.75" customHeight="1" x14ac:dyDescent="0.25">
      <c r="A188" s="1237" t="str">
        <f t="shared" si="58"/>
        <v>Investment properties</v>
      </c>
      <c r="B188" s="73"/>
      <c r="C188" s="700">
        <f>SUM(C186:C187)</f>
        <v>0</v>
      </c>
      <c r="D188" s="131">
        <f t="shared" ref="D188:M188" si="61">SUM(D186:D187)</f>
        <v>0</v>
      </c>
      <c r="E188" s="131">
        <f t="shared" si="61"/>
        <v>0</v>
      </c>
      <c r="F188" s="131">
        <f t="shared" si="61"/>
        <v>0</v>
      </c>
      <c r="G188" s="131">
        <f t="shared" si="61"/>
        <v>0</v>
      </c>
      <c r="H188" s="131">
        <f t="shared" si="61"/>
        <v>0</v>
      </c>
      <c r="I188" s="131">
        <f t="shared" si="61"/>
        <v>0</v>
      </c>
      <c r="J188" s="171">
        <f t="shared" si="61"/>
        <v>0</v>
      </c>
      <c r="K188" s="171">
        <f t="shared" si="61"/>
        <v>0</v>
      </c>
      <c r="L188" s="132">
        <f t="shared" si="61"/>
        <v>0</v>
      </c>
      <c r="M188" s="133">
        <f t="shared" si="61"/>
        <v>0</v>
      </c>
      <c r="N188" s="128"/>
    </row>
    <row r="189" spans="1:14" ht="12.75" customHeight="1" x14ac:dyDescent="0.25">
      <c r="A189" s="1238" t="str">
        <f t="shared" si="58"/>
        <v>Operational Buildings</v>
      </c>
      <c r="B189" s="73"/>
      <c r="C189" s="131">
        <f>SB18c!C121</f>
        <v>58826095</v>
      </c>
      <c r="D189" s="131">
        <f>SB18c!D121</f>
        <v>58826095</v>
      </c>
      <c r="E189" s="131">
        <f>SB18c!E121</f>
        <v>0</v>
      </c>
      <c r="F189" s="131">
        <f>SB18c!F121</f>
        <v>0</v>
      </c>
      <c r="G189" s="131">
        <f>SB18c!G121</f>
        <v>0</v>
      </c>
      <c r="H189" s="131">
        <f>SB18c!H121</f>
        <v>0</v>
      </c>
      <c r="I189" s="131">
        <f>SB18c!I121</f>
        <v>15587803</v>
      </c>
      <c r="J189" s="171">
        <f>SB18c!J121</f>
        <v>15587803</v>
      </c>
      <c r="K189" s="171">
        <f>SB18c!K121</f>
        <v>74413898</v>
      </c>
      <c r="L189" s="132">
        <f>SB18c!L121</f>
        <v>64913902</v>
      </c>
      <c r="M189" s="133">
        <f>SB18c!M121</f>
        <v>58418801</v>
      </c>
      <c r="N189" s="128"/>
    </row>
    <row r="190" spans="1:14" ht="12.75" customHeight="1" x14ac:dyDescent="0.25">
      <c r="A190" s="1238" t="str">
        <f t="shared" si="58"/>
        <v>Housing</v>
      </c>
      <c r="B190" s="73"/>
      <c r="C190" s="1155">
        <f>SB18c!C133</f>
        <v>0</v>
      </c>
      <c r="D190" s="1241">
        <f>SB18c!D133</f>
        <v>0</v>
      </c>
      <c r="E190" s="1241">
        <f>SB18c!E133</f>
        <v>0</v>
      </c>
      <c r="F190" s="1241">
        <f>SB18c!F133</f>
        <v>0</v>
      </c>
      <c r="G190" s="1241">
        <f>SB18c!G133</f>
        <v>0</v>
      </c>
      <c r="H190" s="1241">
        <f>SB18c!H133</f>
        <v>0</v>
      </c>
      <c r="I190" s="1241">
        <f>SB18c!I133</f>
        <v>0</v>
      </c>
      <c r="J190" s="1242">
        <f>SB18c!J133</f>
        <v>0</v>
      </c>
      <c r="K190" s="1242">
        <f>SB18c!K133</f>
        <v>0</v>
      </c>
      <c r="L190" s="272">
        <f>SB18c!L133</f>
        <v>0</v>
      </c>
      <c r="M190" s="275">
        <f>SB18c!M133</f>
        <v>0</v>
      </c>
      <c r="N190" s="128"/>
    </row>
    <row r="191" spans="1:14" ht="12.75" customHeight="1" x14ac:dyDescent="0.25">
      <c r="A191" s="1237" t="str">
        <f t="shared" si="58"/>
        <v>Other Assets</v>
      </c>
      <c r="B191" s="73"/>
      <c r="C191" s="1122">
        <f>SUM(C189:C190)</f>
        <v>58826095</v>
      </c>
      <c r="D191" s="131">
        <f t="shared" ref="D191:M191" si="62">SUM(D189:D190)</f>
        <v>58826095</v>
      </c>
      <c r="E191" s="131">
        <f t="shared" si="62"/>
        <v>0</v>
      </c>
      <c r="F191" s="131">
        <f t="shared" si="62"/>
        <v>0</v>
      </c>
      <c r="G191" s="131">
        <f t="shared" si="62"/>
        <v>0</v>
      </c>
      <c r="H191" s="131">
        <f t="shared" si="62"/>
        <v>0</v>
      </c>
      <c r="I191" s="131">
        <f t="shared" si="62"/>
        <v>15587803</v>
      </c>
      <c r="J191" s="171">
        <f t="shared" si="62"/>
        <v>15587803</v>
      </c>
      <c r="K191" s="171">
        <f t="shared" si="62"/>
        <v>74413898</v>
      </c>
      <c r="L191" s="132">
        <f t="shared" si="62"/>
        <v>64913902</v>
      </c>
      <c r="M191" s="133">
        <f t="shared" si="62"/>
        <v>58418801</v>
      </c>
      <c r="N191" s="128"/>
    </row>
    <row r="192" spans="1:14" ht="12.75" customHeight="1" x14ac:dyDescent="0.25">
      <c r="A192" s="1239" t="str">
        <f t="shared" si="58"/>
        <v>Biological or Cultivated Assets</v>
      </c>
      <c r="B192" s="73"/>
      <c r="C192" s="131">
        <f>SB18c!C138</f>
        <v>0</v>
      </c>
      <c r="D192" s="131">
        <f>SB18c!D138</f>
        <v>0</v>
      </c>
      <c r="E192" s="131">
        <f>SB18c!E138</f>
        <v>0</v>
      </c>
      <c r="F192" s="131">
        <f>SB18c!F138</f>
        <v>0</v>
      </c>
      <c r="G192" s="131">
        <f>SB18c!G138</f>
        <v>0</v>
      </c>
      <c r="H192" s="131">
        <f>SB18c!H138</f>
        <v>0</v>
      </c>
      <c r="I192" s="131">
        <f>SB18c!I138</f>
        <v>0</v>
      </c>
      <c r="J192" s="171">
        <f>SB18c!J138</f>
        <v>0</v>
      </c>
      <c r="K192" s="171">
        <f>SB18c!K138</f>
        <v>0</v>
      </c>
      <c r="L192" s="132">
        <f>SB18c!L138</f>
        <v>0</v>
      </c>
      <c r="M192" s="133">
        <f>SB18c!M138</f>
        <v>0</v>
      </c>
      <c r="N192" s="128"/>
    </row>
    <row r="193" spans="1:14" ht="12.75" customHeight="1" x14ac:dyDescent="0.25">
      <c r="A193" s="1238" t="str">
        <f t="shared" si="58"/>
        <v>Servitudes</v>
      </c>
      <c r="B193" s="73"/>
      <c r="C193" s="131">
        <f>SB18c!C142</f>
        <v>0</v>
      </c>
      <c r="D193" s="131">
        <f>SB18c!D142</f>
        <v>0</v>
      </c>
      <c r="E193" s="131">
        <f>SB18c!E142</f>
        <v>0</v>
      </c>
      <c r="F193" s="131">
        <f>SB18c!F142</f>
        <v>0</v>
      </c>
      <c r="G193" s="131">
        <f>SB18c!G142</f>
        <v>0</v>
      </c>
      <c r="H193" s="131">
        <f>SB18c!H142</f>
        <v>0</v>
      </c>
      <c r="I193" s="131">
        <f>SB18c!I142</f>
        <v>0</v>
      </c>
      <c r="J193" s="171">
        <f>SB18c!J142</f>
        <v>0</v>
      </c>
      <c r="K193" s="171">
        <f>SB18c!K142</f>
        <v>0</v>
      </c>
      <c r="L193" s="132">
        <f>SB18c!L142</f>
        <v>0</v>
      </c>
      <c r="M193" s="133">
        <f>SB18c!M142</f>
        <v>0</v>
      </c>
      <c r="N193" s="128"/>
    </row>
    <row r="194" spans="1:14" ht="12.75" customHeight="1" x14ac:dyDescent="0.25">
      <c r="A194" s="1238" t="str">
        <f t="shared" si="58"/>
        <v>Licences and Rights</v>
      </c>
      <c r="B194" s="73"/>
      <c r="C194" s="1155">
        <f>SB18c!C143</f>
        <v>10500000</v>
      </c>
      <c r="D194" s="1241">
        <f>SB18c!D143</f>
        <v>10500000</v>
      </c>
      <c r="E194" s="1241">
        <f>SB18c!E143</f>
        <v>0</v>
      </c>
      <c r="F194" s="1241">
        <f>SB18c!F143</f>
        <v>0</v>
      </c>
      <c r="G194" s="1241">
        <f>SB18c!G143</f>
        <v>0</v>
      </c>
      <c r="H194" s="1241">
        <f>SB18c!H143</f>
        <v>0</v>
      </c>
      <c r="I194" s="1241">
        <f>SB18c!I143</f>
        <v>700000</v>
      </c>
      <c r="J194" s="1242">
        <f>SB18c!J143</f>
        <v>700000</v>
      </c>
      <c r="K194" s="1242">
        <f>SB18c!K143</f>
        <v>11200000</v>
      </c>
      <c r="L194" s="272">
        <f>SB18c!L143</f>
        <v>11004000</v>
      </c>
      <c r="M194" s="275">
        <f>SB18c!M143</f>
        <v>11532192</v>
      </c>
      <c r="N194" s="128"/>
    </row>
    <row r="195" spans="1:14" ht="12.75" customHeight="1" x14ac:dyDescent="0.25">
      <c r="A195" s="1237" t="str">
        <f t="shared" si="58"/>
        <v>Intangible Assets</v>
      </c>
      <c r="B195" s="73"/>
      <c r="C195" s="1122">
        <f>SUM(C193:C194)</f>
        <v>10500000</v>
      </c>
      <c r="D195" s="131">
        <f t="shared" ref="D195:M195" si="63">SUM(D193:D194)</f>
        <v>10500000</v>
      </c>
      <c r="E195" s="131">
        <f t="shared" si="63"/>
        <v>0</v>
      </c>
      <c r="F195" s="131">
        <f t="shared" si="63"/>
        <v>0</v>
      </c>
      <c r="G195" s="131">
        <f t="shared" si="63"/>
        <v>0</v>
      </c>
      <c r="H195" s="131">
        <f t="shared" si="63"/>
        <v>0</v>
      </c>
      <c r="I195" s="131">
        <f t="shared" si="63"/>
        <v>700000</v>
      </c>
      <c r="J195" s="171">
        <f t="shared" si="63"/>
        <v>700000</v>
      </c>
      <c r="K195" s="171">
        <f t="shared" si="63"/>
        <v>11200000</v>
      </c>
      <c r="L195" s="132">
        <f t="shared" si="63"/>
        <v>11004000</v>
      </c>
      <c r="M195" s="133">
        <f t="shared" si="63"/>
        <v>11532192</v>
      </c>
      <c r="N195" s="128"/>
    </row>
    <row r="196" spans="1:14" ht="12.75" customHeight="1" x14ac:dyDescent="0.25">
      <c r="A196" s="1240" t="str">
        <f t="shared" si="58"/>
        <v>Computer Equipment</v>
      </c>
      <c r="B196" s="73"/>
      <c r="C196" s="131">
        <f>SB18c!C151</f>
        <v>4000000</v>
      </c>
      <c r="D196" s="131">
        <f>SB18c!D151</f>
        <v>4000000</v>
      </c>
      <c r="E196" s="131">
        <f>SB18c!E151</f>
        <v>0</v>
      </c>
      <c r="F196" s="131">
        <f>SB18c!F151</f>
        <v>0</v>
      </c>
      <c r="G196" s="131">
        <f>SB18c!G151</f>
        <v>0</v>
      </c>
      <c r="H196" s="131">
        <f>SB18c!H151</f>
        <v>0</v>
      </c>
      <c r="I196" s="131">
        <f>SB18c!I151</f>
        <v>130000</v>
      </c>
      <c r="J196" s="171">
        <f>SB18c!J151</f>
        <v>130000</v>
      </c>
      <c r="K196" s="171">
        <f>SB18c!K151</f>
        <v>4130000</v>
      </c>
      <c r="L196" s="132">
        <f>SB18c!L151</f>
        <v>4192000</v>
      </c>
      <c r="M196" s="133">
        <f>SB18c!M151</f>
        <v>4393216</v>
      </c>
      <c r="N196" s="128"/>
    </row>
    <row r="197" spans="1:14" ht="12.75" customHeight="1" x14ac:dyDescent="0.25">
      <c r="A197" s="1239" t="str">
        <f t="shared" si="58"/>
        <v>Furniture and Office Equipment</v>
      </c>
      <c r="B197" s="73"/>
      <c r="C197" s="131">
        <f>SB18c!C154</f>
        <v>8778700</v>
      </c>
      <c r="D197" s="131">
        <f>SB18c!D154</f>
        <v>8778700</v>
      </c>
      <c r="E197" s="131">
        <f>SB18c!E154</f>
        <v>0</v>
      </c>
      <c r="F197" s="131">
        <f>SB18c!F154</f>
        <v>0</v>
      </c>
      <c r="G197" s="131">
        <f>SB18c!G154</f>
        <v>0</v>
      </c>
      <c r="H197" s="131">
        <f>SB18c!H154</f>
        <v>0</v>
      </c>
      <c r="I197" s="131">
        <f>SB18c!I154</f>
        <v>419041</v>
      </c>
      <c r="J197" s="171">
        <f>SB18c!J154</f>
        <v>419041</v>
      </c>
      <c r="K197" s="171">
        <f>SB18c!K154</f>
        <v>9197741</v>
      </c>
      <c r="L197" s="132">
        <f>SB18c!L154</f>
        <v>9200077</v>
      </c>
      <c r="M197" s="133">
        <f>SB18c!M154</f>
        <v>9641680</v>
      </c>
      <c r="N197" s="128"/>
    </row>
    <row r="198" spans="1:14" ht="12.75" customHeight="1" x14ac:dyDescent="0.25">
      <c r="A198" s="1239" t="str">
        <f t="shared" si="58"/>
        <v>Machinery and Equipment</v>
      </c>
      <c r="B198" s="73"/>
      <c r="C198" s="131">
        <f>SB18c!C157</f>
        <v>2837</v>
      </c>
      <c r="D198" s="131">
        <f>SB18c!D157</f>
        <v>2837</v>
      </c>
      <c r="E198" s="131">
        <f>SB18c!E157</f>
        <v>0</v>
      </c>
      <c r="F198" s="131">
        <f>SB18c!F157</f>
        <v>0</v>
      </c>
      <c r="G198" s="131">
        <f>SB18c!G157</f>
        <v>0</v>
      </c>
      <c r="H198" s="131">
        <f>SB18c!H157</f>
        <v>0</v>
      </c>
      <c r="I198" s="131">
        <f>SB18c!I157</f>
        <v>0</v>
      </c>
      <c r="J198" s="171">
        <f>SB18c!J157</f>
        <v>0</v>
      </c>
      <c r="K198" s="171">
        <f>SB18c!K157</f>
        <v>2837</v>
      </c>
      <c r="L198" s="132">
        <f>SB18c!L157</f>
        <v>2973</v>
      </c>
      <c r="M198" s="133">
        <f>SB18c!M157</f>
        <v>3115</v>
      </c>
      <c r="N198" s="128"/>
    </row>
    <row r="199" spans="1:14" ht="12.75" customHeight="1" x14ac:dyDescent="0.25">
      <c r="A199" s="1240" t="str">
        <f t="shared" si="58"/>
        <v>Transport Assets</v>
      </c>
      <c r="B199" s="73"/>
      <c r="C199" s="131">
        <f>SB18c!C160</f>
        <v>39359056</v>
      </c>
      <c r="D199" s="131">
        <f>SB18c!D160</f>
        <v>39359056</v>
      </c>
      <c r="E199" s="131">
        <f>SB18c!E160</f>
        <v>0</v>
      </c>
      <c r="F199" s="131">
        <f>SB18c!F160</f>
        <v>0</v>
      </c>
      <c r="G199" s="131">
        <f>SB18c!G160</f>
        <v>0</v>
      </c>
      <c r="H199" s="131">
        <f>SB18c!H160</f>
        <v>0</v>
      </c>
      <c r="I199" s="131">
        <f>SB18c!I160</f>
        <v>0</v>
      </c>
      <c r="J199" s="171">
        <f>SB18c!J160</f>
        <v>0</v>
      </c>
      <c r="K199" s="171">
        <f>SB18c!K160</f>
        <v>39359056</v>
      </c>
      <c r="L199" s="132">
        <f>SB18c!L160</f>
        <v>41248289</v>
      </c>
      <c r="M199" s="133">
        <f>SB18c!M160</f>
        <v>43228207</v>
      </c>
      <c r="N199" s="128"/>
    </row>
    <row r="200" spans="1:14" ht="12.75" customHeight="1" x14ac:dyDescent="0.25">
      <c r="A200" s="1239" t="str">
        <f t="shared" si="58"/>
        <v>Land</v>
      </c>
      <c r="B200" s="73"/>
      <c r="C200" s="131">
        <f>SB18c!C163</f>
        <v>0</v>
      </c>
      <c r="D200" s="131">
        <f>SB18c!D163</f>
        <v>0</v>
      </c>
      <c r="E200" s="131">
        <f>SB18c!E163</f>
        <v>0</v>
      </c>
      <c r="F200" s="131">
        <f>SB18c!F163</f>
        <v>0</v>
      </c>
      <c r="G200" s="131">
        <f>SB18c!G163</f>
        <v>0</v>
      </c>
      <c r="H200" s="131">
        <f>SB18c!H163</f>
        <v>0</v>
      </c>
      <c r="I200" s="131">
        <f>SB18c!I163</f>
        <v>0</v>
      </c>
      <c r="J200" s="171">
        <f>SB18c!J163</f>
        <v>0</v>
      </c>
      <c r="K200" s="171">
        <f>SB18c!K163</f>
        <v>0</v>
      </c>
      <c r="L200" s="132">
        <f>SB18c!L163</f>
        <v>0</v>
      </c>
      <c r="M200" s="133">
        <f>SB18c!M163</f>
        <v>0</v>
      </c>
      <c r="N200" s="128"/>
    </row>
    <row r="201" spans="1:14" ht="12.75" customHeight="1" x14ac:dyDescent="0.25">
      <c r="A201" s="1239" t="str">
        <f t="shared" si="58"/>
        <v>Zoo's, Marine and Non-biological Animals</v>
      </c>
      <c r="B201" s="73">
        <v>6</v>
      </c>
      <c r="C201" s="131">
        <f>SB18c!C166</f>
        <v>0</v>
      </c>
      <c r="D201" s="131">
        <f>SB18c!D166</f>
        <v>0</v>
      </c>
      <c r="E201" s="131">
        <f>SB18c!E166</f>
        <v>0</v>
      </c>
      <c r="F201" s="131">
        <f>SB18c!F166</f>
        <v>0</v>
      </c>
      <c r="G201" s="131">
        <f>SB18c!G166</f>
        <v>0</v>
      </c>
      <c r="H201" s="131">
        <f>SB18c!H166</f>
        <v>0</v>
      </c>
      <c r="I201" s="131">
        <f>SB18c!I166</f>
        <v>0</v>
      </c>
      <c r="J201" s="171">
        <f>SB18c!J166</f>
        <v>0</v>
      </c>
      <c r="K201" s="171">
        <f>SB18c!K166</f>
        <v>0</v>
      </c>
      <c r="L201" s="132">
        <f>SB18c!L166</f>
        <v>0</v>
      </c>
      <c r="M201" s="133">
        <f>SB18c!M166</f>
        <v>0</v>
      </c>
      <c r="N201" s="128"/>
    </row>
    <row r="202" spans="1:14" ht="12.75" customHeight="1" x14ac:dyDescent="0.25">
      <c r="A202" s="162" t="s">
        <v>981</v>
      </c>
      <c r="B202" s="79"/>
      <c r="C202" s="116">
        <f>+C170+C171</f>
        <v>807545618</v>
      </c>
      <c r="D202" s="117">
        <f t="shared" ref="D202:M202" si="64">+D170+D171</f>
        <v>807545618</v>
      </c>
      <c r="E202" s="117">
        <f t="shared" si="64"/>
        <v>0</v>
      </c>
      <c r="F202" s="117">
        <f t="shared" si="64"/>
        <v>0</v>
      </c>
      <c r="G202" s="117">
        <f t="shared" si="64"/>
        <v>0</v>
      </c>
      <c r="H202" s="117">
        <f t="shared" si="64"/>
        <v>0</v>
      </c>
      <c r="I202" s="117">
        <f t="shared" si="64"/>
        <v>144521766</v>
      </c>
      <c r="J202" s="117">
        <f t="shared" si="64"/>
        <v>144521766</v>
      </c>
      <c r="K202" s="117">
        <f t="shared" si="64"/>
        <v>952067384</v>
      </c>
      <c r="L202" s="157">
        <f t="shared" si="64"/>
        <v>875032269</v>
      </c>
      <c r="M202" s="239">
        <f t="shared" si="64"/>
        <v>901933079</v>
      </c>
      <c r="N202" s="128"/>
    </row>
    <row r="203" spans="1:14" ht="5.0999999999999996" customHeight="1" x14ac:dyDescent="0.25">
      <c r="A203" s="136"/>
      <c r="B203" s="73"/>
      <c r="C203" s="240"/>
      <c r="D203" s="75"/>
      <c r="E203" s="75"/>
      <c r="F203" s="75"/>
      <c r="G203" s="75"/>
      <c r="H203" s="75"/>
      <c r="I203" s="75"/>
      <c r="J203" s="75"/>
      <c r="K203" s="75"/>
      <c r="L203" s="75"/>
      <c r="M203" s="76"/>
      <c r="N203" s="128"/>
    </row>
    <row r="204" spans="1:14" ht="12.75" customHeight="1" x14ac:dyDescent="0.25">
      <c r="A204" s="241" t="s">
        <v>1688</v>
      </c>
      <c r="B204" s="73"/>
      <c r="C204" s="242">
        <f>IF(ISERROR((C39+C71)/C134),0,((C39+C71)/C134))</f>
        <v>0.29595197175588744</v>
      </c>
      <c r="D204" s="243">
        <f>IF(ISERROR((D39+D71)/D134),0,((D39+D71)/D134))</f>
        <v>0.30668356008110526</v>
      </c>
      <c r="E204" s="244"/>
      <c r="F204" s="244"/>
      <c r="G204" s="244"/>
      <c r="H204" s="244"/>
      <c r="I204" s="244"/>
      <c r="J204" s="244"/>
      <c r="K204" s="243">
        <f>IF(ISERROR((K39+K71)/K134),0,((K39+K71)/K134))</f>
        <v>0.31426635130922287</v>
      </c>
      <c r="L204" s="243">
        <f>IF(ISERROR((L39+L71)/L134),0,((L39+L71)/L134))</f>
        <v>0.37733362310809526</v>
      </c>
      <c r="M204" s="245">
        <f>IF(ISERROR((M39+M71)/M134),0,((M39+M71)/M134))</f>
        <v>0.42372946454843385</v>
      </c>
      <c r="N204" s="128"/>
    </row>
    <row r="205" spans="1:14" ht="12.75" customHeight="1" x14ac:dyDescent="0.25">
      <c r="A205" s="241" t="s">
        <v>1689</v>
      </c>
      <c r="B205" s="73"/>
      <c r="C205" s="242">
        <f>IF(ISERROR((C39+C71)/C170),0,((C39+C71)/C170))</f>
        <v>1.3944545254901961</v>
      </c>
      <c r="D205" s="243">
        <f>IF(ISERROR((D39+D71)/D170),0,((D39+D71)/D170))</f>
        <v>1.4806702509803922</v>
      </c>
      <c r="E205" s="244"/>
      <c r="F205" s="244"/>
      <c r="G205" s="244"/>
      <c r="H205" s="244"/>
      <c r="I205" s="244"/>
      <c r="J205" s="244"/>
      <c r="K205" s="243">
        <f>IF(ISERROR((K39+K71)/K170),0,((K39+K71)/K170))</f>
        <v>1.2780542627450981</v>
      </c>
      <c r="L205" s="243">
        <f>IF(ISERROR((L39+L71)/L170),0,((L39+L71)/L170))</f>
        <v>0.96405662456140351</v>
      </c>
      <c r="M205" s="245">
        <f>IF(ISERROR((M39+M71)/M170),0,((M39+M71)/M170))</f>
        <v>0.90651754666666662</v>
      </c>
      <c r="N205" s="128"/>
    </row>
    <row r="206" spans="1:14" ht="12.75" customHeight="1" x14ac:dyDescent="0.25">
      <c r="A206" s="241" t="s">
        <v>982</v>
      </c>
      <c r="B206" s="73"/>
      <c r="C206" s="242">
        <f>IF(ISERROR(C171/C167),0,(C171/C167))</f>
        <v>3.3356208901577672E-2</v>
      </c>
      <c r="D206" s="243">
        <f>IF(ISERROR(D171/D167),0,(D171/D167))</f>
        <v>3.3296624729195763E-2</v>
      </c>
      <c r="E206" s="244"/>
      <c r="F206" s="244"/>
      <c r="G206" s="244"/>
      <c r="H206" s="244"/>
      <c r="I206" s="244"/>
      <c r="J206" s="244"/>
      <c r="K206" s="243">
        <f>IF(ISERROR(K171/K167),0,(K171/K167))</f>
        <v>4.6698356624781084E-2</v>
      </c>
      <c r="L206" s="243">
        <f>IF(ISERROR(L171/L167),0,(L171/L167))</f>
        <v>3.4691144542055137E-2</v>
      </c>
      <c r="M206" s="245">
        <f>IF(ISERROR(M171/M167),0,(M171/M167))</f>
        <v>3.4693617783289506E-2</v>
      </c>
      <c r="N206" s="128"/>
    </row>
    <row r="207" spans="1:14" ht="12.75" customHeight="1" x14ac:dyDescent="0.25">
      <c r="A207" s="241" t="s">
        <v>1690</v>
      </c>
      <c r="B207" s="73"/>
      <c r="C207" s="242">
        <f>IF(ISERROR((C39+C71+C171)/C167),0,((C39+C71+C171)/C167))</f>
        <v>5.4822305654299262E-2</v>
      </c>
      <c r="D207" s="243">
        <f>IF(ISERROR((D39+D71+D171)/D167),0,((D39+D71+D171)/D167))</f>
        <v>5.6049202294868268E-2</v>
      </c>
      <c r="E207" s="244"/>
      <c r="F207" s="244"/>
      <c r="G207" s="244"/>
      <c r="H207" s="244"/>
      <c r="I207" s="244"/>
      <c r="J207" s="244"/>
      <c r="K207" s="243">
        <f>IF(ISERROR((K39+K71+K171)/K167),0,((K39+K71+K171)/K167))</f>
        <v>6.853150210675435E-2</v>
      </c>
      <c r="L207" s="243">
        <f>IF(ISERROR((L39+L71+L171)/L167),0,((L39+L71+L171)/L167))</f>
        <v>5.0845523544629394E-2</v>
      </c>
      <c r="M207" s="245">
        <f>IF(ISERROR((M39+M71+M171)/M167),0,((M39+M71+M171)/M167))</f>
        <v>5.0368303745131439E-2</v>
      </c>
      <c r="N207" s="128"/>
    </row>
    <row r="208" spans="1:14" ht="12" customHeight="1" x14ac:dyDescent="0.25">
      <c r="A208" s="246"/>
      <c r="B208" s="88"/>
      <c r="C208" s="247"/>
      <c r="D208" s="248"/>
      <c r="E208" s="249"/>
      <c r="F208" s="249"/>
      <c r="G208" s="249"/>
      <c r="H208" s="249"/>
      <c r="I208" s="249"/>
      <c r="J208" s="249"/>
      <c r="K208" s="248"/>
      <c r="L208" s="248"/>
      <c r="M208" s="250"/>
      <c r="N208" s="128"/>
    </row>
    <row r="209" spans="1:14" ht="12.75" customHeight="1" x14ac:dyDescent="0.25">
      <c r="A209" s="158" t="str">
        <f>head27a</f>
        <v>References</v>
      </c>
      <c r="B209" s="93"/>
      <c r="C209" s="96"/>
      <c r="D209" s="96"/>
      <c r="E209" s="96"/>
      <c r="F209" s="96"/>
      <c r="G209" s="96"/>
      <c r="H209" s="96"/>
      <c r="I209" s="96"/>
      <c r="J209" s="96"/>
      <c r="K209" s="96"/>
      <c r="L209" s="96"/>
      <c r="M209" s="96"/>
      <c r="N209" s="128"/>
    </row>
    <row r="210" spans="1:14" ht="12.75" customHeight="1" x14ac:dyDescent="0.25">
      <c r="A210" s="638" t="s">
        <v>1691</v>
      </c>
      <c r="B210" s="99"/>
      <c r="C210" s="99"/>
      <c r="D210" s="99"/>
      <c r="E210" s="99"/>
      <c r="F210" s="99"/>
      <c r="G210" s="99"/>
      <c r="H210" s="99"/>
      <c r="I210" s="99"/>
      <c r="J210" s="99"/>
      <c r="K210" s="99"/>
      <c r="L210" s="99"/>
      <c r="M210" s="99"/>
      <c r="N210" s="128"/>
    </row>
    <row r="211" spans="1:14" ht="12.75" customHeight="1" x14ac:dyDescent="0.25">
      <c r="A211" s="638" t="s">
        <v>1692</v>
      </c>
      <c r="B211" s="99"/>
      <c r="C211" s="159"/>
      <c r="D211" s="159"/>
      <c r="E211" s="159"/>
      <c r="F211" s="159"/>
      <c r="G211" s="159"/>
      <c r="H211" s="159"/>
      <c r="I211" s="159"/>
      <c r="J211" s="159"/>
      <c r="K211" s="159"/>
      <c r="L211" s="159"/>
      <c r="M211" s="99"/>
      <c r="N211" s="128"/>
    </row>
    <row r="212" spans="1:14" ht="12.75" customHeight="1" x14ac:dyDescent="0.25">
      <c r="A212" s="638" t="s">
        <v>1693</v>
      </c>
      <c r="B212" s="99"/>
      <c r="C212" s="159"/>
      <c r="D212" s="159"/>
      <c r="E212" s="159"/>
      <c r="F212" s="159"/>
      <c r="G212" s="159"/>
      <c r="H212" s="159"/>
      <c r="I212" s="159"/>
      <c r="J212" s="159"/>
      <c r="K212" s="159"/>
      <c r="L212" s="159"/>
      <c r="M212" s="99"/>
      <c r="N212" s="128"/>
    </row>
    <row r="213" spans="1:14" ht="12.75" customHeight="1" x14ac:dyDescent="0.25">
      <c r="A213" s="638" t="s">
        <v>1694</v>
      </c>
      <c r="B213" s="93"/>
      <c r="C213" s="96"/>
      <c r="D213" s="96"/>
      <c r="E213" s="96"/>
      <c r="F213" s="96"/>
      <c r="G213" s="96"/>
      <c r="H213" s="96"/>
      <c r="I213" s="96"/>
      <c r="J213" s="96"/>
      <c r="K213" s="96"/>
      <c r="L213" s="96"/>
      <c r="M213" s="96"/>
      <c r="N213" s="128"/>
    </row>
    <row r="214" spans="1:14" ht="12.75" customHeight="1" x14ac:dyDescent="0.25">
      <c r="A214" s="120" t="s">
        <v>1046</v>
      </c>
      <c r="B214" s="93"/>
      <c r="C214" s="96"/>
      <c r="D214" s="96"/>
      <c r="E214" s="96"/>
      <c r="F214" s="96"/>
      <c r="G214" s="96"/>
      <c r="H214" s="96"/>
      <c r="I214" s="96"/>
      <c r="J214" s="96"/>
      <c r="K214" s="96"/>
      <c r="L214" s="96"/>
      <c r="M214" s="96"/>
      <c r="N214" s="128"/>
    </row>
    <row r="215" spans="1:14" ht="12.75" customHeight="1" x14ac:dyDescent="0.25">
      <c r="A215" s="638" t="s">
        <v>545</v>
      </c>
      <c r="B215" s="93"/>
      <c r="C215" s="96"/>
      <c r="D215" s="96"/>
      <c r="E215" s="96"/>
      <c r="F215" s="96"/>
      <c r="G215" s="96"/>
      <c r="H215" s="96"/>
      <c r="I215" s="96"/>
      <c r="J215" s="96"/>
      <c r="K215" s="96"/>
      <c r="L215" s="96"/>
      <c r="M215" s="96"/>
      <c r="N215" s="128"/>
    </row>
    <row r="216" spans="1:14" ht="12.75" customHeight="1" x14ac:dyDescent="0.25">
      <c r="A216" s="120" t="s">
        <v>1047</v>
      </c>
      <c r="B216" s="93"/>
      <c r="C216" s="96"/>
      <c r="D216" s="96"/>
      <c r="E216" s="96"/>
      <c r="F216" s="96"/>
      <c r="G216" s="96"/>
      <c r="H216" s="96"/>
      <c r="I216" s="96"/>
      <c r="J216" s="96"/>
      <c r="K216" s="96"/>
      <c r="L216" s="96"/>
      <c r="M216" s="96"/>
    </row>
    <row r="217" spans="1:14" ht="12.75" customHeight="1" x14ac:dyDescent="0.25">
      <c r="A217" s="1408" t="s">
        <v>984</v>
      </c>
      <c r="B217" s="1408"/>
      <c r="C217" s="1408"/>
      <c r="D217" s="1408"/>
      <c r="E217" s="1408"/>
      <c r="F217" s="1408"/>
      <c r="G217" s="1408"/>
      <c r="H217" s="1408"/>
      <c r="I217" s="1408"/>
      <c r="J217" s="1408"/>
      <c r="K217" s="1408"/>
      <c r="L217" s="1408"/>
      <c r="M217" s="1408"/>
    </row>
    <row r="218" spans="1:14" ht="24.95" customHeight="1" x14ac:dyDescent="0.25">
      <c r="A218" s="1408" t="s">
        <v>1048</v>
      </c>
      <c r="B218" s="1408"/>
      <c r="C218" s="1408"/>
      <c r="D218" s="1408"/>
      <c r="E218" s="1408"/>
      <c r="F218" s="1408"/>
      <c r="G218" s="1408"/>
      <c r="H218" s="1408"/>
      <c r="I218" s="1408"/>
      <c r="J218" s="1408"/>
      <c r="K218" s="1408"/>
      <c r="L218" s="1408"/>
      <c r="M218" s="1408"/>
    </row>
    <row r="219" spans="1:14" ht="12.75" customHeight="1" x14ac:dyDescent="0.25">
      <c r="A219" s="1402" t="s">
        <v>1049</v>
      </c>
      <c r="B219" s="1402"/>
      <c r="C219" s="1402"/>
      <c r="D219" s="1402"/>
      <c r="E219" s="1402"/>
      <c r="F219" s="1402"/>
      <c r="G219" s="1402"/>
      <c r="H219" s="1402"/>
      <c r="I219" s="1402"/>
      <c r="J219" s="1402"/>
      <c r="K219" s="1402"/>
      <c r="L219" s="1402"/>
      <c r="M219" s="1402"/>
    </row>
    <row r="220" spans="1:14" ht="12.75" customHeight="1" x14ac:dyDescent="0.25">
      <c r="A220" s="1402" t="s">
        <v>1050</v>
      </c>
      <c r="B220" s="1402"/>
      <c r="C220" s="1402"/>
      <c r="D220" s="1402"/>
      <c r="E220" s="1402"/>
      <c r="F220" s="1402"/>
      <c r="G220" s="1402"/>
      <c r="H220" s="1402"/>
      <c r="I220" s="1402"/>
      <c r="J220" s="1402"/>
      <c r="K220" s="1402"/>
      <c r="L220" s="1402"/>
      <c r="M220" s="1402"/>
    </row>
    <row r="221" spans="1:14" ht="12.75" customHeight="1" x14ac:dyDescent="0.25">
      <c r="A221" s="99" t="s">
        <v>1051</v>
      </c>
      <c r="B221" s="93"/>
      <c r="C221" s="96"/>
      <c r="D221" s="96"/>
      <c r="E221" s="96"/>
      <c r="F221" s="96"/>
      <c r="G221" s="96"/>
      <c r="H221" s="96"/>
      <c r="I221" s="96"/>
      <c r="J221" s="96"/>
      <c r="K221" s="96"/>
      <c r="L221" s="96"/>
      <c r="M221" s="96"/>
    </row>
    <row r="222" spans="1:14" ht="27" customHeight="1" x14ac:dyDescent="0.25">
      <c r="A222" s="1402" t="s">
        <v>1052</v>
      </c>
      <c r="B222" s="1402"/>
      <c r="C222" s="1402"/>
      <c r="D222" s="1402"/>
      <c r="E222" s="1402"/>
      <c r="F222" s="1402"/>
      <c r="G222" s="1402"/>
      <c r="H222" s="1402"/>
      <c r="I222" s="1402"/>
      <c r="J222" s="1402"/>
      <c r="K222" s="1402"/>
      <c r="L222" s="1402"/>
      <c r="M222" s="1402"/>
    </row>
    <row r="223" spans="1:14" ht="12.75" customHeight="1" x14ac:dyDescent="0.25">
      <c r="A223" s="99" t="s">
        <v>1017</v>
      </c>
      <c r="B223" s="93"/>
      <c r="C223" s="96"/>
      <c r="D223" s="96"/>
      <c r="E223" s="96"/>
      <c r="F223" s="96"/>
      <c r="G223" s="96"/>
      <c r="H223" s="96"/>
      <c r="I223" s="96"/>
      <c r="J223" s="96"/>
      <c r="K223" s="96"/>
      <c r="L223" s="96"/>
      <c r="M223" s="96"/>
    </row>
    <row r="224" spans="1:14" ht="12.75" customHeight="1" x14ac:dyDescent="0.25">
      <c r="A224" s="1402" t="s">
        <v>1018</v>
      </c>
      <c r="B224" s="1402"/>
      <c r="C224" s="1402"/>
      <c r="D224" s="1402"/>
      <c r="E224" s="1402"/>
      <c r="F224" s="1402"/>
      <c r="G224" s="1402"/>
      <c r="H224" s="1402"/>
      <c r="I224" s="1402"/>
      <c r="J224" s="1402"/>
      <c r="K224" s="1402"/>
      <c r="L224" s="1402"/>
      <c r="M224" s="1402"/>
    </row>
    <row r="225" spans="1:15" ht="12.75" customHeight="1" x14ac:dyDescent="0.25"/>
    <row r="226" spans="1:15" ht="12.75" customHeight="1" x14ac:dyDescent="0.25">
      <c r="A226" s="128"/>
      <c r="B226" s="1037"/>
      <c r="C226" s="1038"/>
      <c r="D226" s="1038"/>
      <c r="E226" s="1038"/>
      <c r="F226" s="1038"/>
      <c r="G226" s="1038"/>
      <c r="H226" s="1038"/>
      <c r="I226" s="1038"/>
      <c r="J226" s="1038"/>
      <c r="K226" s="1038"/>
      <c r="L226" s="1038"/>
      <c r="M226" s="1038"/>
      <c r="N226" s="128"/>
      <c r="O226" s="128"/>
    </row>
    <row r="227" spans="1:15" ht="12.75" customHeight="1" x14ac:dyDescent="0.25">
      <c r="B227" s="251" t="s">
        <v>1019</v>
      </c>
      <c r="C227" s="252">
        <f>SUM('B6-FinPos'!C21:C24)-'B9-Asset'!C167</f>
        <v>0</v>
      </c>
      <c r="D227" s="252">
        <f>SUM('B6-FinPos'!D21:D24)-'B9-Asset'!D167</f>
        <v>0</v>
      </c>
      <c r="E227" s="252">
        <f>SUM('B6-FinPos'!E21:E24)-'B9-Asset'!E167</f>
        <v>0</v>
      </c>
      <c r="F227" s="252">
        <f>SUM('B6-FinPos'!F21:F24)-'B9-Asset'!F167</f>
        <v>0</v>
      </c>
      <c r="G227" s="252">
        <f>SUM('B6-FinPos'!G21:G24)-'B9-Asset'!G167</f>
        <v>0</v>
      </c>
      <c r="H227" s="252">
        <f>SUM('B6-FinPos'!H21:H24)-'B9-Asset'!H167</f>
        <v>0</v>
      </c>
      <c r="I227" s="252">
        <f>SUM('B6-FinPos'!I21:I24)-'B9-Asset'!I167</f>
        <v>1473510765</v>
      </c>
      <c r="J227" s="252">
        <f>SUM('B6-FinPos'!J21:J24)-'B9-Asset'!J167</f>
        <v>1473510765</v>
      </c>
      <c r="K227" s="252">
        <f>SUM('B6-FinPos'!K21:K24)-'B9-Asset'!K167</f>
        <v>1473510765</v>
      </c>
      <c r="L227" s="252">
        <f>SUM('B6-FinPos'!L21:L24)-'B9-Asset'!L167</f>
        <v>0</v>
      </c>
      <c r="M227" s="252">
        <f>SUM('B6-FinPos'!M21:M24)-'B9-Asset'!M167</f>
        <v>0</v>
      </c>
    </row>
    <row r="228" spans="1:15" ht="12.75" customHeight="1" x14ac:dyDescent="0.25"/>
    <row r="229" spans="1:15" ht="12.75" customHeight="1" x14ac:dyDescent="0.25"/>
    <row r="230" spans="1:15" ht="12.75" customHeight="1" x14ac:dyDescent="0.25"/>
    <row r="231" spans="1:15" ht="12.75" customHeight="1" x14ac:dyDescent="0.25"/>
    <row r="232" spans="1:15" ht="12.75" customHeight="1" x14ac:dyDescent="0.25"/>
    <row r="233" spans="1:15" ht="12.75" customHeight="1" x14ac:dyDescent="0.25"/>
    <row r="234" spans="1:15" ht="12.75" customHeight="1" x14ac:dyDescent="0.25"/>
    <row r="235" spans="1:15" ht="12.75" customHeight="1" x14ac:dyDescent="0.25"/>
    <row r="236" spans="1:15" ht="12.75" customHeight="1" x14ac:dyDescent="0.25"/>
    <row r="237" spans="1:15" ht="12.75" customHeight="1" x14ac:dyDescent="0.25"/>
    <row r="238" spans="1:15" ht="12.75" customHeight="1" x14ac:dyDescent="0.25"/>
    <row r="239" spans="1:15" ht="12.75" customHeight="1" x14ac:dyDescent="0.25"/>
    <row r="240" spans="1:15"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sheetData>
  <sheetProtection password="C646" sheet="1" objects="1" scenarios="1"/>
  <mergeCells count="9">
    <mergeCell ref="A224:M224"/>
    <mergeCell ref="A218:M218"/>
    <mergeCell ref="A222:M222"/>
    <mergeCell ref="C2:K2"/>
    <mergeCell ref="A2:A4"/>
    <mergeCell ref="B2:B4"/>
    <mergeCell ref="A217:M217"/>
    <mergeCell ref="A219:M219"/>
    <mergeCell ref="A220:M220"/>
  </mergeCells>
  <phoneticPr fontId="4" type="noConversion"/>
  <printOptions horizontalCentered="1"/>
  <pageMargins left="0.35433070866141736" right="0.15748031496062992" top="0.78740157480314965" bottom="0.59055118110236227" header="0.51181102362204722" footer="0.39370078740157483"/>
  <pageSetup paperSize="9" scale="76" fitToHeight="3" orientation="portrait" r:id="rId1"/>
  <headerFooter alignWithMargins="0"/>
  <ignoredErrors>
    <ignoredError sqref="J146:K146 K38" formula="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44"/>
    <pageSetUpPr fitToPage="1"/>
  </sheetPr>
  <dimension ref="A1:N135"/>
  <sheetViews>
    <sheetView showGridLines="0" zoomScaleNormal="100" workbookViewId="0">
      <pane xSplit="2" ySplit="5" topLeftCell="C37" activePane="bottomRight" state="frozen"/>
      <selection activeCell="C6" sqref="C6"/>
      <selection pane="topRight" activeCell="C6" sqref="C6"/>
      <selection pane="bottomLeft" activeCell="C6" sqref="C6"/>
      <selection pane="bottomRight" activeCell="C5" sqref="C5:M81"/>
    </sheetView>
  </sheetViews>
  <sheetFormatPr defaultColWidth="9.140625" defaultRowHeight="12.75" x14ac:dyDescent="0.25"/>
  <cols>
    <col min="1" max="1" width="34.85546875" style="184" customWidth="1"/>
    <col min="2" max="2" width="3" style="185" customWidth="1"/>
    <col min="3" max="13" width="9.140625" style="184"/>
    <col min="14" max="14" width="9.5703125" style="184" customWidth="1"/>
    <col min="15" max="15" width="9.85546875" style="184" customWidth="1"/>
    <col min="16" max="18" width="9.5703125" style="184" customWidth="1"/>
    <col min="19" max="20" width="9.85546875" style="184" customWidth="1"/>
    <col min="21" max="16384" width="9.140625" style="184"/>
  </cols>
  <sheetData>
    <row r="1" spans="1:14" s="254" customFormat="1" x14ac:dyDescent="0.2">
      <c r="A1" s="253" t="str">
        <f>muni&amp;" - "&amp;_ADJ10&amp;" - "&amp;Date</f>
        <v>LIM354 Polokwane - Table B10 Basic service delivery measurement - 2020</v>
      </c>
      <c r="B1" s="253"/>
      <c r="C1" s="253"/>
      <c r="D1" s="253"/>
      <c r="E1" s="253"/>
      <c r="F1" s="253"/>
      <c r="G1" s="253"/>
      <c r="H1" s="253"/>
    </row>
    <row r="2" spans="1:14" ht="28.5" customHeight="1" x14ac:dyDescent="0.25">
      <c r="A2" s="1431" t="str">
        <f>desc</f>
        <v>Description</v>
      </c>
      <c r="B2" s="1434" t="str">
        <f>head27</f>
        <v>Ref</v>
      </c>
      <c r="C2" s="1437" t="str">
        <f>Head2</f>
        <v>Budget Year 2020/21</v>
      </c>
      <c r="D2" s="1437"/>
      <c r="E2" s="1437"/>
      <c r="F2" s="1437"/>
      <c r="G2" s="1437"/>
      <c r="H2" s="1437"/>
      <c r="I2" s="1437"/>
      <c r="J2" s="1437"/>
      <c r="K2" s="1438"/>
      <c r="L2" s="103" t="str">
        <f>Head10</f>
        <v>Budget Year +1 2021/22</v>
      </c>
      <c r="M2" s="61" t="str">
        <f>Head11</f>
        <v>Budget Year +2 2022/23</v>
      </c>
    </row>
    <row r="3" spans="1:14" ht="28.5" customHeight="1" x14ac:dyDescent="0.25">
      <c r="A3" s="1432"/>
      <c r="B3" s="1435"/>
      <c r="C3" s="10"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x14ac:dyDescent="0.25">
      <c r="A4" s="1432"/>
      <c r="B4" s="1435"/>
      <c r="C4" s="15"/>
      <c r="D4" s="15">
        <v>7</v>
      </c>
      <c r="E4" s="15">
        <v>8</v>
      </c>
      <c r="F4" s="15">
        <v>9</v>
      </c>
      <c r="G4" s="15">
        <v>10</v>
      </c>
      <c r="H4" s="15">
        <v>11</v>
      </c>
      <c r="I4" s="15">
        <v>12</v>
      </c>
      <c r="J4" s="15">
        <v>13</v>
      </c>
      <c r="K4" s="15">
        <v>14</v>
      </c>
      <c r="L4" s="15"/>
      <c r="M4" s="17"/>
    </row>
    <row r="5" spans="1:14" x14ac:dyDescent="0.25">
      <c r="A5" s="1433"/>
      <c r="B5" s="1436"/>
      <c r="C5" s="69" t="s">
        <v>547</v>
      </c>
      <c r="D5" s="68" t="s">
        <v>548</v>
      </c>
      <c r="E5" s="68" t="s">
        <v>549</v>
      </c>
      <c r="F5" s="69" t="s">
        <v>550</v>
      </c>
      <c r="G5" s="69" t="s">
        <v>551</v>
      </c>
      <c r="H5" s="69" t="s">
        <v>552</v>
      </c>
      <c r="I5" s="70" t="s">
        <v>553</v>
      </c>
      <c r="J5" s="70" t="s">
        <v>554</v>
      </c>
      <c r="K5" s="70" t="s">
        <v>555</v>
      </c>
      <c r="L5" s="70"/>
      <c r="M5" s="71"/>
    </row>
    <row r="6" spans="1:14" ht="11.25" customHeight="1" x14ac:dyDescent="0.25">
      <c r="A6" s="255" t="s">
        <v>1423</v>
      </c>
      <c r="B6" s="256">
        <v>1</v>
      </c>
      <c r="C6" s="257"/>
      <c r="D6" s="257"/>
      <c r="E6" s="257"/>
      <c r="F6" s="257"/>
      <c r="G6" s="257"/>
      <c r="H6" s="257"/>
      <c r="I6" s="258"/>
      <c r="J6" s="258"/>
      <c r="K6" s="258"/>
      <c r="L6" s="258"/>
      <c r="M6" s="259"/>
    </row>
    <row r="7" spans="1:14" x14ac:dyDescent="0.25">
      <c r="A7" s="260" t="s">
        <v>598</v>
      </c>
      <c r="B7" s="256"/>
      <c r="C7" s="132"/>
      <c r="D7" s="132"/>
      <c r="E7" s="132"/>
      <c r="F7" s="132"/>
      <c r="G7" s="132"/>
      <c r="H7" s="132"/>
      <c r="I7" s="258"/>
      <c r="J7" s="258"/>
      <c r="K7" s="258"/>
      <c r="L7" s="258"/>
      <c r="M7" s="261"/>
      <c r="N7" s="836"/>
    </row>
    <row r="8" spans="1:14" ht="11.25" customHeight="1" x14ac:dyDescent="0.25">
      <c r="A8" s="262" t="s">
        <v>1053</v>
      </c>
      <c r="B8" s="256"/>
      <c r="C8" s="610">
        <v>67119</v>
      </c>
      <c r="D8" s="610">
        <v>67119</v>
      </c>
      <c r="E8" s="610"/>
      <c r="F8" s="610"/>
      <c r="G8" s="610"/>
      <c r="H8" s="610"/>
      <c r="I8" s="610"/>
      <c r="J8" s="132">
        <f t="shared" ref="J8:J15" si="0">SUM(E8:I8)</f>
        <v>0</v>
      </c>
      <c r="K8" s="132">
        <f t="shared" ref="K8:K15" si="1">IF(D8=0,C8+J8,D8+J8)</f>
        <v>67119</v>
      </c>
      <c r="L8" s="263">
        <v>69066</v>
      </c>
      <c r="M8" s="264">
        <v>71096</v>
      </c>
      <c r="N8" s="836"/>
    </row>
    <row r="9" spans="1:14" ht="11.25" customHeight="1" x14ac:dyDescent="0.25">
      <c r="A9" s="262" t="s">
        <v>1054</v>
      </c>
      <c r="B9" s="256"/>
      <c r="C9" s="610">
        <v>126846</v>
      </c>
      <c r="D9" s="610">
        <v>126846</v>
      </c>
      <c r="E9" s="610"/>
      <c r="F9" s="610"/>
      <c r="G9" s="610"/>
      <c r="H9" s="610"/>
      <c r="I9" s="610"/>
      <c r="J9" s="132">
        <f t="shared" si="0"/>
        <v>0</v>
      </c>
      <c r="K9" s="132">
        <f t="shared" si="1"/>
        <v>126846</v>
      </c>
      <c r="L9" s="263">
        <v>130526</v>
      </c>
      <c r="M9" s="264">
        <v>134362</v>
      </c>
      <c r="N9" s="836"/>
    </row>
    <row r="10" spans="1:14" ht="11.25" customHeight="1" x14ac:dyDescent="0.25">
      <c r="A10" s="262" t="s">
        <v>1055</v>
      </c>
      <c r="B10" s="256">
        <v>2</v>
      </c>
      <c r="C10" s="610">
        <v>11027</v>
      </c>
      <c r="D10" s="610">
        <v>11027</v>
      </c>
      <c r="E10" s="610"/>
      <c r="F10" s="610"/>
      <c r="G10" s="610"/>
      <c r="H10" s="610"/>
      <c r="I10" s="610"/>
      <c r="J10" s="132">
        <f t="shared" si="0"/>
        <v>0</v>
      </c>
      <c r="K10" s="132">
        <f t="shared" si="1"/>
        <v>11027</v>
      </c>
      <c r="L10" s="263">
        <v>11347</v>
      </c>
      <c r="M10" s="264">
        <v>11680</v>
      </c>
      <c r="N10" s="836"/>
    </row>
    <row r="11" spans="1:14" ht="11.25" customHeight="1" x14ac:dyDescent="0.25">
      <c r="A11" s="262" t="s">
        <v>1056</v>
      </c>
      <c r="B11" s="256"/>
      <c r="C11" s="610">
        <v>50361</v>
      </c>
      <c r="D11" s="610">
        <v>50361</v>
      </c>
      <c r="E11" s="610"/>
      <c r="F11" s="610"/>
      <c r="G11" s="610"/>
      <c r="H11" s="610"/>
      <c r="I11" s="610"/>
      <c r="J11" s="132">
        <f t="shared" si="0"/>
        <v>0</v>
      </c>
      <c r="K11" s="132">
        <f t="shared" si="1"/>
        <v>50361</v>
      </c>
      <c r="L11" s="109">
        <v>51822.51776543598</v>
      </c>
      <c r="M11" s="110">
        <v>53345.665346526534</v>
      </c>
      <c r="N11" s="836"/>
    </row>
    <row r="12" spans="1:14" ht="11.25" customHeight="1" x14ac:dyDescent="0.25">
      <c r="A12" s="827" t="s">
        <v>1117</v>
      </c>
      <c r="B12" s="256"/>
      <c r="C12" s="265">
        <f t="shared" ref="C12:M12" si="2">SUM(C8:C11)</f>
        <v>255353</v>
      </c>
      <c r="D12" s="265">
        <f t="shared" si="2"/>
        <v>255353</v>
      </c>
      <c r="E12" s="265">
        <f t="shared" si="2"/>
        <v>0</v>
      </c>
      <c r="F12" s="265">
        <f t="shared" si="2"/>
        <v>0</v>
      </c>
      <c r="G12" s="265">
        <f t="shared" si="2"/>
        <v>0</v>
      </c>
      <c r="H12" s="265">
        <f t="shared" si="2"/>
        <v>0</v>
      </c>
      <c r="I12" s="265">
        <f t="shared" si="2"/>
        <v>0</v>
      </c>
      <c r="J12" s="265">
        <f t="shared" si="0"/>
        <v>0</v>
      </c>
      <c r="K12" s="265">
        <f t="shared" si="1"/>
        <v>255353</v>
      </c>
      <c r="L12" s="265">
        <f t="shared" si="2"/>
        <v>262761.51776543597</v>
      </c>
      <c r="M12" s="266">
        <f t="shared" si="2"/>
        <v>270483.66534652654</v>
      </c>
      <c r="N12" s="836"/>
    </row>
    <row r="13" spans="1:14" ht="11.25" customHeight="1" x14ac:dyDescent="0.25">
      <c r="A13" s="262" t="s">
        <v>1057</v>
      </c>
      <c r="B13" s="256">
        <v>3</v>
      </c>
      <c r="C13" s="610"/>
      <c r="D13" s="610"/>
      <c r="E13" s="610"/>
      <c r="F13" s="610"/>
      <c r="G13" s="610"/>
      <c r="H13" s="610"/>
      <c r="I13" s="610"/>
      <c r="J13" s="132">
        <f t="shared" si="0"/>
        <v>0</v>
      </c>
      <c r="K13" s="132">
        <f t="shared" si="1"/>
        <v>0</v>
      </c>
      <c r="L13" s="263"/>
      <c r="M13" s="264"/>
      <c r="N13" s="836"/>
    </row>
    <row r="14" spans="1:14" ht="11.25" customHeight="1" x14ac:dyDescent="0.25">
      <c r="A14" s="262" t="s">
        <v>1058</v>
      </c>
      <c r="B14" s="256" t="s">
        <v>1059</v>
      </c>
      <c r="C14" s="610"/>
      <c r="D14" s="610"/>
      <c r="E14" s="610"/>
      <c r="F14" s="610"/>
      <c r="G14" s="610"/>
      <c r="H14" s="610"/>
      <c r="I14" s="610"/>
      <c r="J14" s="132">
        <f t="shared" si="0"/>
        <v>0</v>
      </c>
      <c r="K14" s="132">
        <f t="shared" si="1"/>
        <v>0</v>
      </c>
      <c r="L14" s="263"/>
      <c r="M14" s="264"/>
      <c r="N14" s="836"/>
    </row>
    <row r="15" spans="1:14" ht="11.25" customHeight="1" x14ac:dyDescent="0.25">
      <c r="A15" s="262" t="s">
        <v>1060</v>
      </c>
      <c r="B15" s="256"/>
      <c r="C15" s="610"/>
      <c r="D15" s="610"/>
      <c r="E15" s="610"/>
      <c r="F15" s="610"/>
      <c r="G15" s="610"/>
      <c r="H15" s="610"/>
      <c r="I15" s="610"/>
      <c r="J15" s="132">
        <f t="shared" si="0"/>
        <v>0</v>
      </c>
      <c r="K15" s="132">
        <f t="shared" si="1"/>
        <v>0</v>
      </c>
      <c r="L15" s="263"/>
      <c r="M15" s="264"/>
      <c r="N15" s="836"/>
    </row>
    <row r="16" spans="1:14" ht="11.25" customHeight="1" x14ac:dyDescent="0.25">
      <c r="A16" s="827" t="s">
        <v>1118</v>
      </c>
      <c r="B16" s="256"/>
      <c r="C16" s="267">
        <f t="shared" ref="C16:M16" si="3">SUM(C13:C15)</f>
        <v>0</v>
      </c>
      <c r="D16" s="267">
        <f t="shared" si="3"/>
        <v>0</v>
      </c>
      <c r="E16" s="267">
        <f t="shared" si="3"/>
        <v>0</v>
      </c>
      <c r="F16" s="267">
        <f t="shared" si="3"/>
        <v>0</v>
      </c>
      <c r="G16" s="267">
        <f t="shared" si="3"/>
        <v>0</v>
      </c>
      <c r="H16" s="267">
        <f t="shared" si="3"/>
        <v>0</v>
      </c>
      <c r="I16" s="267">
        <f t="shared" si="3"/>
        <v>0</v>
      </c>
      <c r="J16" s="267">
        <f t="shared" si="3"/>
        <v>0</v>
      </c>
      <c r="K16" s="267">
        <f t="shared" si="3"/>
        <v>0</v>
      </c>
      <c r="L16" s="267">
        <f t="shared" si="3"/>
        <v>0</v>
      </c>
      <c r="M16" s="268">
        <f t="shared" si="3"/>
        <v>0</v>
      </c>
      <c r="N16" s="836"/>
    </row>
    <row r="17" spans="1:14" ht="11.25" customHeight="1" x14ac:dyDescent="0.25">
      <c r="A17" s="269" t="s">
        <v>1061</v>
      </c>
      <c r="B17" s="256">
        <v>5</v>
      </c>
      <c r="C17" s="270">
        <f t="shared" ref="C17:M17" si="4">C12+C16</f>
        <v>255353</v>
      </c>
      <c r="D17" s="270">
        <f t="shared" si="4"/>
        <v>255353</v>
      </c>
      <c r="E17" s="270">
        <f t="shared" si="4"/>
        <v>0</v>
      </c>
      <c r="F17" s="270">
        <f t="shared" si="4"/>
        <v>0</v>
      </c>
      <c r="G17" s="270">
        <f t="shared" si="4"/>
        <v>0</v>
      </c>
      <c r="H17" s="270">
        <f t="shared" si="4"/>
        <v>0</v>
      </c>
      <c r="I17" s="270">
        <f t="shared" si="4"/>
        <v>0</v>
      </c>
      <c r="J17" s="270">
        <f t="shared" si="4"/>
        <v>0</v>
      </c>
      <c r="K17" s="270">
        <f t="shared" si="4"/>
        <v>255353</v>
      </c>
      <c r="L17" s="270">
        <f t="shared" si="4"/>
        <v>262761.51776543597</v>
      </c>
      <c r="M17" s="271">
        <f t="shared" si="4"/>
        <v>270483.66534652654</v>
      </c>
      <c r="N17" s="836"/>
    </row>
    <row r="18" spans="1:14" ht="15.75" customHeight="1" x14ac:dyDescent="0.25">
      <c r="A18" s="260" t="s">
        <v>599</v>
      </c>
      <c r="B18" s="256"/>
      <c r="C18" s="132"/>
      <c r="D18" s="132"/>
      <c r="E18" s="132"/>
      <c r="F18" s="132"/>
      <c r="G18" s="132"/>
      <c r="H18" s="132"/>
      <c r="I18" s="258"/>
      <c r="J18" s="258"/>
      <c r="K18" s="258"/>
      <c r="L18" s="258"/>
      <c r="M18" s="261"/>
      <c r="N18" s="836"/>
    </row>
    <row r="19" spans="1:14" ht="11.25" customHeight="1" x14ac:dyDescent="0.25">
      <c r="A19" s="262" t="s">
        <v>1062</v>
      </c>
      <c r="B19" s="256"/>
      <c r="C19" s="610">
        <v>103179</v>
      </c>
      <c r="D19" s="610">
        <v>103179</v>
      </c>
      <c r="E19" s="610"/>
      <c r="F19" s="610"/>
      <c r="G19" s="610"/>
      <c r="H19" s="610"/>
      <c r="I19" s="610"/>
      <c r="J19" s="891">
        <f t="shared" ref="J19:J27" si="5">SUM(E19:I19)</f>
        <v>0</v>
      </c>
      <c r="K19" s="891">
        <f t="shared" ref="K19:K27" si="6">IF(D19=0,C19+J19,D19+J19)</f>
        <v>103179</v>
      </c>
      <c r="L19" s="610">
        <v>106173</v>
      </c>
      <c r="M19" s="1052">
        <v>109294</v>
      </c>
      <c r="N19" s="836"/>
    </row>
    <row r="20" spans="1:14" ht="11.25" customHeight="1" x14ac:dyDescent="0.25">
      <c r="A20" s="262" t="s">
        <v>1063</v>
      </c>
      <c r="B20" s="256"/>
      <c r="C20" s="610">
        <v>6044</v>
      </c>
      <c r="D20" s="610">
        <v>6044</v>
      </c>
      <c r="E20" s="610"/>
      <c r="F20" s="610"/>
      <c r="G20" s="610"/>
      <c r="H20" s="610"/>
      <c r="I20" s="610"/>
      <c r="J20" s="891">
        <f t="shared" si="5"/>
        <v>0</v>
      </c>
      <c r="K20" s="891">
        <f t="shared" si="6"/>
        <v>6044</v>
      </c>
      <c r="L20" s="610">
        <v>6219</v>
      </c>
      <c r="M20" s="1052">
        <v>6402</v>
      </c>
      <c r="N20" s="836"/>
    </row>
    <row r="21" spans="1:14" ht="11.25" customHeight="1" x14ac:dyDescent="0.25">
      <c r="A21" s="262" t="s">
        <v>1064</v>
      </c>
      <c r="B21" s="256"/>
      <c r="C21" s="610">
        <v>1686</v>
      </c>
      <c r="D21" s="610">
        <v>1686</v>
      </c>
      <c r="E21" s="610"/>
      <c r="F21" s="610"/>
      <c r="G21" s="610"/>
      <c r="H21" s="610"/>
      <c r="I21" s="610"/>
      <c r="J21" s="891">
        <f t="shared" si="5"/>
        <v>0</v>
      </c>
      <c r="K21" s="891">
        <f t="shared" si="6"/>
        <v>1686</v>
      </c>
      <c r="L21" s="610">
        <v>1735</v>
      </c>
      <c r="M21" s="1052">
        <v>1786</v>
      </c>
      <c r="N21" s="836"/>
    </row>
    <row r="22" spans="1:14" ht="11.25" customHeight="1" x14ac:dyDescent="0.25">
      <c r="A22" s="262" t="s">
        <v>294</v>
      </c>
      <c r="B22" s="256"/>
      <c r="C22" s="610">
        <v>41477</v>
      </c>
      <c r="D22" s="610">
        <v>41477</v>
      </c>
      <c r="E22" s="610"/>
      <c r="F22" s="610"/>
      <c r="G22" s="610"/>
      <c r="H22" s="610"/>
      <c r="I22" s="610"/>
      <c r="J22" s="891">
        <f t="shared" si="5"/>
        <v>0</v>
      </c>
      <c r="K22" s="891">
        <f t="shared" si="6"/>
        <v>41477</v>
      </c>
      <c r="L22" s="610">
        <v>42680</v>
      </c>
      <c r="M22" s="1052">
        <v>43935</v>
      </c>
      <c r="N22" s="836"/>
    </row>
    <row r="23" spans="1:14" ht="11.25" customHeight="1" x14ac:dyDescent="0.25">
      <c r="A23" s="262" t="s">
        <v>296</v>
      </c>
      <c r="B23" s="256"/>
      <c r="C23" s="610">
        <v>0</v>
      </c>
      <c r="D23" s="610"/>
      <c r="E23" s="610"/>
      <c r="F23" s="610"/>
      <c r="G23" s="610"/>
      <c r="H23" s="610"/>
      <c r="I23" s="610"/>
      <c r="J23" s="892">
        <f t="shared" si="5"/>
        <v>0</v>
      </c>
      <c r="K23" s="892">
        <f t="shared" si="6"/>
        <v>0</v>
      </c>
      <c r="L23" s="610">
        <v>0</v>
      </c>
      <c r="M23" s="1052">
        <v>0</v>
      </c>
      <c r="N23" s="836"/>
    </row>
    <row r="24" spans="1:14" ht="11.25" customHeight="1" x14ac:dyDescent="0.25">
      <c r="A24" s="827" t="str">
        <f>$A$12</f>
        <v>Minimum Service Level and Above sub-total</v>
      </c>
      <c r="B24" s="256"/>
      <c r="C24" s="701">
        <f t="shared" ref="C24:M24" si="7">SUM(C19:C23)</f>
        <v>152386</v>
      </c>
      <c r="D24" s="701">
        <f t="shared" si="7"/>
        <v>152386</v>
      </c>
      <c r="E24" s="701">
        <f t="shared" si="7"/>
        <v>0</v>
      </c>
      <c r="F24" s="701">
        <f t="shared" si="7"/>
        <v>0</v>
      </c>
      <c r="G24" s="701">
        <f t="shared" si="7"/>
        <v>0</v>
      </c>
      <c r="H24" s="701">
        <f t="shared" si="7"/>
        <v>0</v>
      </c>
      <c r="I24" s="701">
        <f t="shared" si="7"/>
        <v>0</v>
      </c>
      <c r="J24" s="891">
        <f t="shared" si="5"/>
        <v>0</v>
      </c>
      <c r="K24" s="891">
        <f t="shared" si="6"/>
        <v>152386</v>
      </c>
      <c r="L24" s="701">
        <f t="shared" si="7"/>
        <v>156807</v>
      </c>
      <c r="M24" s="702">
        <f t="shared" si="7"/>
        <v>161417</v>
      </c>
      <c r="N24" s="836"/>
    </row>
    <row r="25" spans="1:14" ht="11.25" customHeight="1" x14ac:dyDescent="0.25">
      <c r="A25" s="262" t="s">
        <v>295</v>
      </c>
      <c r="B25" s="256"/>
      <c r="C25" s="610">
        <v>102965</v>
      </c>
      <c r="D25" s="610">
        <v>102965</v>
      </c>
      <c r="E25" s="610"/>
      <c r="F25" s="610"/>
      <c r="G25" s="610"/>
      <c r="H25" s="610"/>
      <c r="I25" s="610"/>
      <c r="J25" s="891">
        <f t="shared" si="5"/>
        <v>0</v>
      </c>
      <c r="K25" s="891">
        <f t="shared" si="6"/>
        <v>102965</v>
      </c>
      <c r="L25" s="610">
        <v>105952</v>
      </c>
      <c r="M25" s="1052">
        <v>109066</v>
      </c>
      <c r="N25" s="836"/>
    </row>
    <row r="26" spans="1:14" ht="11.25" customHeight="1" x14ac:dyDescent="0.25">
      <c r="A26" s="262" t="s">
        <v>297</v>
      </c>
      <c r="B26" s="256"/>
      <c r="C26" s="610"/>
      <c r="D26" s="610"/>
      <c r="E26" s="610"/>
      <c r="F26" s="610"/>
      <c r="G26" s="610"/>
      <c r="H26" s="610"/>
      <c r="I26" s="610"/>
      <c r="J26" s="891">
        <f t="shared" si="5"/>
        <v>0</v>
      </c>
      <c r="K26" s="891">
        <f t="shared" si="6"/>
        <v>0</v>
      </c>
      <c r="L26" s="610"/>
      <c r="M26" s="1052"/>
      <c r="N26" s="836"/>
    </row>
    <row r="27" spans="1:14" ht="11.25" customHeight="1" x14ac:dyDescent="0.25">
      <c r="A27" s="262" t="s">
        <v>1065</v>
      </c>
      <c r="B27" s="256"/>
      <c r="C27" s="610"/>
      <c r="D27" s="610"/>
      <c r="E27" s="610"/>
      <c r="F27" s="610"/>
      <c r="G27" s="610"/>
      <c r="H27" s="610"/>
      <c r="I27" s="610"/>
      <c r="J27" s="891">
        <f t="shared" si="5"/>
        <v>0</v>
      </c>
      <c r="K27" s="891">
        <f t="shared" si="6"/>
        <v>0</v>
      </c>
      <c r="L27" s="610"/>
      <c r="M27" s="1052"/>
      <c r="N27" s="836"/>
    </row>
    <row r="28" spans="1:14" ht="11.25" customHeight="1" x14ac:dyDescent="0.25">
      <c r="A28" s="827" t="str">
        <f>$A$16</f>
        <v>Below Minimum Servic Level sub-total</v>
      </c>
      <c r="B28" s="256"/>
      <c r="C28" s="893">
        <f t="shared" ref="C28:M28" si="8">SUM(C25:C27)</f>
        <v>102965</v>
      </c>
      <c r="D28" s="893">
        <f t="shared" si="8"/>
        <v>102965</v>
      </c>
      <c r="E28" s="893">
        <f t="shared" si="8"/>
        <v>0</v>
      </c>
      <c r="F28" s="893">
        <f t="shared" si="8"/>
        <v>0</v>
      </c>
      <c r="G28" s="893">
        <f t="shared" si="8"/>
        <v>0</v>
      </c>
      <c r="H28" s="893">
        <f t="shared" si="8"/>
        <v>0</v>
      </c>
      <c r="I28" s="893">
        <f t="shared" si="8"/>
        <v>0</v>
      </c>
      <c r="J28" s="893">
        <f t="shared" si="8"/>
        <v>0</v>
      </c>
      <c r="K28" s="893">
        <f t="shared" si="8"/>
        <v>102965</v>
      </c>
      <c r="L28" s="893">
        <f t="shared" si="8"/>
        <v>105952</v>
      </c>
      <c r="M28" s="894">
        <f t="shared" si="8"/>
        <v>109066</v>
      </c>
      <c r="N28" s="836"/>
    </row>
    <row r="29" spans="1:14" ht="11.25" customHeight="1" x14ac:dyDescent="0.25">
      <c r="A29" s="269" t="str">
        <f>$A$17</f>
        <v>Total number of households</v>
      </c>
      <c r="B29" s="256">
        <f>$B$17</f>
        <v>5</v>
      </c>
      <c r="C29" s="895">
        <f t="shared" ref="C29:M29" si="9">C24+C28</f>
        <v>255351</v>
      </c>
      <c r="D29" s="895">
        <f t="shared" si="9"/>
        <v>255351</v>
      </c>
      <c r="E29" s="895">
        <f t="shared" si="9"/>
        <v>0</v>
      </c>
      <c r="F29" s="895">
        <f t="shared" si="9"/>
        <v>0</v>
      </c>
      <c r="G29" s="895">
        <f t="shared" si="9"/>
        <v>0</v>
      </c>
      <c r="H29" s="895">
        <f t="shared" si="9"/>
        <v>0</v>
      </c>
      <c r="I29" s="895">
        <f t="shared" si="9"/>
        <v>0</v>
      </c>
      <c r="J29" s="895">
        <f t="shared" si="9"/>
        <v>0</v>
      </c>
      <c r="K29" s="895">
        <f t="shared" si="9"/>
        <v>255351</v>
      </c>
      <c r="L29" s="895">
        <f t="shared" si="9"/>
        <v>262759</v>
      </c>
      <c r="M29" s="896">
        <f t="shared" si="9"/>
        <v>270483</v>
      </c>
      <c r="N29" s="836"/>
    </row>
    <row r="30" spans="1:14" ht="15.75" customHeight="1" x14ac:dyDescent="0.25">
      <c r="A30" s="260" t="s">
        <v>600</v>
      </c>
      <c r="B30" s="256"/>
      <c r="C30" s="132"/>
      <c r="D30" s="132"/>
      <c r="E30" s="132"/>
      <c r="F30" s="132"/>
      <c r="G30" s="132"/>
      <c r="H30" s="132"/>
      <c r="I30" s="132"/>
      <c r="J30" s="132"/>
      <c r="K30" s="132"/>
      <c r="L30" s="132"/>
      <c r="M30" s="133"/>
      <c r="N30" s="836"/>
    </row>
    <row r="31" spans="1:14" ht="11.25" customHeight="1" x14ac:dyDescent="0.25">
      <c r="A31" s="262" t="s">
        <v>298</v>
      </c>
      <c r="B31" s="256"/>
      <c r="C31" s="610">
        <v>240949</v>
      </c>
      <c r="D31" s="610">
        <v>240949</v>
      </c>
      <c r="E31" s="610"/>
      <c r="F31" s="610"/>
      <c r="G31" s="610"/>
      <c r="H31" s="610"/>
      <c r="I31" s="610"/>
      <c r="J31" s="891">
        <f t="shared" ref="J31:J36" si="10">SUM(E31:I31)</f>
        <v>0</v>
      </c>
      <c r="K31" s="891">
        <f t="shared" ref="K31:K36" si="11">IF(D31=0,C31+J31,D31+J31)</f>
        <v>240949</v>
      </c>
      <c r="L31" s="610">
        <v>247940</v>
      </c>
      <c r="M31" s="1052">
        <v>255227</v>
      </c>
      <c r="N31" s="836"/>
    </row>
    <row r="32" spans="1:14" ht="11.25" customHeight="1" x14ac:dyDescent="0.25">
      <c r="A32" s="262" t="s">
        <v>299</v>
      </c>
      <c r="B32" s="256"/>
      <c r="C32" s="610">
        <v>8570</v>
      </c>
      <c r="D32" s="610">
        <v>8570</v>
      </c>
      <c r="E32" s="610"/>
      <c r="F32" s="610"/>
      <c r="G32" s="610"/>
      <c r="H32" s="610"/>
      <c r="I32" s="610"/>
      <c r="J32" s="891">
        <f t="shared" si="10"/>
        <v>0</v>
      </c>
      <c r="K32" s="891">
        <f t="shared" si="11"/>
        <v>8570</v>
      </c>
      <c r="L32" s="610">
        <v>8819</v>
      </c>
      <c r="M32" s="1052">
        <v>9078</v>
      </c>
      <c r="N32" s="836"/>
    </row>
    <row r="33" spans="1:14" ht="11.25" customHeight="1" x14ac:dyDescent="0.25">
      <c r="A33" s="827" t="str">
        <f>$A$12</f>
        <v>Minimum Service Level and Above sub-total</v>
      </c>
      <c r="B33" s="256"/>
      <c r="C33" s="701">
        <f t="shared" ref="C33:M33" si="12">SUM(C31:C32)</f>
        <v>249519</v>
      </c>
      <c r="D33" s="701">
        <f t="shared" si="12"/>
        <v>249519</v>
      </c>
      <c r="E33" s="701">
        <f t="shared" si="12"/>
        <v>0</v>
      </c>
      <c r="F33" s="701">
        <f t="shared" si="12"/>
        <v>0</v>
      </c>
      <c r="G33" s="701">
        <f t="shared" si="12"/>
        <v>0</v>
      </c>
      <c r="H33" s="701">
        <f t="shared" si="12"/>
        <v>0</v>
      </c>
      <c r="I33" s="701">
        <f t="shared" si="12"/>
        <v>0</v>
      </c>
      <c r="J33" s="701">
        <f t="shared" si="10"/>
        <v>0</v>
      </c>
      <c r="K33" s="701">
        <f t="shared" si="11"/>
        <v>249519</v>
      </c>
      <c r="L33" s="701">
        <f t="shared" si="12"/>
        <v>256759</v>
      </c>
      <c r="M33" s="702">
        <f t="shared" si="12"/>
        <v>264305</v>
      </c>
      <c r="N33" s="836"/>
    </row>
    <row r="34" spans="1:14" ht="11.25" customHeight="1" x14ac:dyDescent="0.25">
      <c r="A34" s="262" t="s">
        <v>1066</v>
      </c>
      <c r="B34" s="256"/>
      <c r="C34" s="610"/>
      <c r="D34" s="610">
        <v>0</v>
      </c>
      <c r="E34" s="610"/>
      <c r="F34" s="610"/>
      <c r="G34" s="610"/>
      <c r="H34" s="610"/>
      <c r="I34" s="610"/>
      <c r="J34" s="891">
        <f t="shared" si="10"/>
        <v>0</v>
      </c>
      <c r="K34" s="891">
        <f t="shared" si="11"/>
        <v>0</v>
      </c>
      <c r="L34" s="610"/>
      <c r="M34" s="1052"/>
      <c r="N34" s="836"/>
    </row>
    <row r="35" spans="1:14" ht="11.25" customHeight="1" x14ac:dyDescent="0.25">
      <c r="A35" s="262" t="s">
        <v>1067</v>
      </c>
      <c r="B35" s="256"/>
      <c r="C35" s="610"/>
      <c r="D35" s="610">
        <v>0</v>
      </c>
      <c r="E35" s="610"/>
      <c r="F35" s="610"/>
      <c r="G35" s="610"/>
      <c r="H35" s="610"/>
      <c r="I35" s="610"/>
      <c r="J35" s="891">
        <f t="shared" si="10"/>
        <v>0</v>
      </c>
      <c r="K35" s="891">
        <f t="shared" si="11"/>
        <v>0</v>
      </c>
      <c r="L35" s="610"/>
      <c r="M35" s="1052"/>
      <c r="N35" s="836"/>
    </row>
    <row r="36" spans="1:14" ht="11.25" customHeight="1" x14ac:dyDescent="0.25">
      <c r="A36" s="262" t="s">
        <v>1068</v>
      </c>
      <c r="B36" s="256"/>
      <c r="C36" s="610">
        <v>5832</v>
      </c>
      <c r="D36" s="610">
        <v>5832</v>
      </c>
      <c r="E36" s="610"/>
      <c r="F36" s="610"/>
      <c r="G36" s="610"/>
      <c r="H36" s="610"/>
      <c r="I36" s="610"/>
      <c r="J36" s="891">
        <f t="shared" si="10"/>
        <v>0</v>
      </c>
      <c r="K36" s="891">
        <f t="shared" si="11"/>
        <v>5832</v>
      </c>
      <c r="L36" s="610">
        <v>6002</v>
      </c>
      <c r="M36" s="1052">
        <v>6178</v>
      </c>
      <c r="N36" s="836"/>
    </row>
    <row r="37" spans="1:14" ht="11.25" customHeight="1" x14ac:dyDescent="0.25">
      <c r="A37" s="827" t="str">
        <f>$A$16</f>
        <v>Below Minimum Servic Level sub-total</v>
      </c>
      <c r="B37" s="256"/>
      <c r="C37" s="893">
        <f t="shared" ref="C37:M37" si="13">SUM(C34:C36)</f>
        <v>5832</v>
      </c>
      <c r="D37" s="893">
        <f t="shared" si="13"/>
        <v>5832</v>
      </c>
      <c r="E37" s="893">
        <f t="shared" si="13"/>
        <v>0</v>
      </c>
      <c r="F37" s="893">
        <f t="shared" si="13"/>
        <v>0</v>
      </c>
      <c r="G37" s="893">
        <f t="shared" si="13"/>
        <v>0</v>
      </c>
      <c r="H37" s="893">
        <f t="shared" si="13"/>
        <v>0</v>
      </c>
      <c r="I37" s="893">
        <f t="shared" si="13"/>
        <v>0</v>
      </c>
      <c r="J37" s="893">
        <f t="shared" si="13"/>
        <v>0</v>
      </c>
      <c r="K37" s="893">
        <f t="shared" si="13"/>
        <v>5832</v>
      </c>
      <c r="L37" s="893">
        <f t="shared" si="13"/>
        <v>6002</v>
      </c>
      <c r="M37" s="894">
        <f t="shared" si="13"/>
        <v>6178</v>
      </c>
      <c r="N37" s="836"/>
    </row>
    <row r="38" spans="1:14" ht="11.25" customHeight="1" x14ac:dyDescent="0.25">
      <c r="A38" s="269" t="str">
        <f>$A$17</f>
        <v>Total number of households</v>
      </c>
      <c r="B38" s="256">
        <f>$B$17</f>
        <v>5</v>
      </c>
      <c r="C38" s="701">
        <f t="shared" ref="C38:M38" si="14">C33+C37</f>
        <v>255351</v>
      </c>
      <c r="D38" s="701">
        <f t="shared" si="14"/>
        <v>255351</v>
      </c>
      <c r="E38" s="701">
        <f t="shared" si="14"/>
        <v>0</v>
      </c>
      <c r="F38" s="701">
        <f t="shared" si="14"/>
        <v>0</v>
      </c>
      <c r="G38" s="701">
        <f t="shared" si="14"/>
        <v>0</v>
      </c>
      <c r="H38" s="701">
        <f t="shared" si="14"/>
        <v>0</v>
      </c>
      <c r="I38" s="701">
        <f t="shared" si="14"/>
        <v>0</v>
      </c>
      <c r="J38" s="701">
        <f t="shared" si="14"/>
        <v>0</v>
      </c>
      <c r="K38" s="701">
        <f t="shared" si="14"/>
        <v>255351</v>
      </c>
      <c r="L38" s="701">
        <f t="shared" si="14"/>
        <v>262761</v>
      </c>
      <c r="M38" s="702">
        <f t="shared" si="14"/>
        <v>270483</v>
      </c>
      <c r="N38" s="836"/>
    </row>
    <row r="39" spans="1:14" ht="15.75" customHeight="1" x14ac:dyDescent="0.25">
      <c r="A39" s="260" t="s">
        <v>601</v>
      </c>
      <c r="B39" s="256"/>
      <c r="C39" s="132"/>
      <c r="D39" s="132"/>
      <c r="E39" s="132"/>
      <c r="F39" s="132"/>
      <c r="G39" s="132"/>
      <c r="H39" s="132"/>
      <c r="I39" s="132"/>
      <c r="J39" s="132"/>
      <c r="K39" s="132"/>
      <c r="L39" s="132"/>
      <c r="M39" s="133"/>
      <c r="N39" s="836"/>
    </row>
    <row r="40" spans="1:14" ht="11.25" customHeight="1" x14ac:dyDescent="0.25">
      <c r="A40" s="262" t="s">
        <v>1069</v>
      </c>
      <c r="B40" s="256"/>
      <c r="C40" s="613">
        <v>144708</v>
      </c>
      <c r="D40" s="613">
        <v>144708</v>
      </c>
      <c r="E40" s="613"/>
      <c r="F40" s="613"/>
      <c r="G40" s="613"/>
      <c r="H40" s="613"/>
      <c r="I40" s="613"/>
      <c r="J40" s="892">
        <f t="shared" ref="J40:J46" si="15">SUM(E40:I40)</f>
        <v>0</v>
      </c>
      <c r="K40" s="892">
        <f t="shared" ref="K40:K46" si="16">IF(D40=0,C40+J40,D40+J40)</f>
        <v>144708</v>
      </c>
      <c r="L40" s="613">
        <v>148907</v>
      </c>
      <c r="M40" s="1053">
        <v>153283</v>
      </c>
      <c r="N40" s="836"/>
    </row>
    <row r="41" spans="1:14" ht="11.25" customHeight="1" x14ac:dyDescent="0.25">
      <c r="A41" s="262" t="str">
        <f>$A$12</f>
        <v>Minimum Service Level and Above sub-total</v>
      </c>
      <c r="B41" s="256"/>
      <c r="C41" s="891">
        <f t="shared" ref="C41:I41" si="17">SUM(C40)</f>
        <v>144708</v>
      </c>
      <c r="D41" s="891">
        <f t="shared" si="17"/>
        <v>144708</v>
      </c>
      <c r="E41" s="891">
        <f t="shared" si="17"/>
        <v>0</v>
      </c>
      <c r="F41" s="891">
        <f t="shared" si="17"/>
        <v>0</v>
      </c>
      <c r="G41" s="891">
        <f t="shared" si="17"/>
        <v>0</v>
      </c>
      <c r="H41" s="891">
        <f t="shared" si="17"/>
        <v>0</v>
      </c>
      <c r="I41" s="891">
        <f t="shared" si="17"/>
        <v>0</v>
      </c>
      <c r="J41" s="891">
        <f>SUM(E41:I41)</f>
        <v>0</v>
      </c>
      <c r="K41" s="891">
        <f t="shared" si="16"/>
        <v>144708</v>
      </c>
      <c r="L41" s="891">
        <f>SUM(L40)</f>
        <v>148907</v>
      </c>
      <c r="M41" s="897">
        <f>SUM(M40)</f>
        <v>153283</v>
      </c>
      <c r="N41" s="836"/>
    </row>
    <row r="42" spans="1:14" ht="11.25" customHeight="1" x14ac:dyDescent="0.25">
      <c r="A42" s="262" t="s">
        <v>1070</v>
      </c>
      <c r="B42" s="256"/>
      <c r="C42" s="610"/>
      <c r="D42" s="610"/>
      <c r="E42" s="610"/>
      <c r="F42" s="610"/>
      <c r="G42" s="610"/>
      <c r="H42" s="610"/>
      <c r="I42" s="610"/>
      <c r="J42" s="891">
        <f t="shared" si="15"/>
        <v>0</v>
      </c>
      <c r="K42" s="891">
        <f t="shared" si="16"/>
        <v>0</v>
      </c>
      <c r="L42" s="610"/>
      <c r="M42" s="1052"/>
      <c r="N42" s="836"/>
    </row>
    <row r="43" spans="1:14" ht="11.25" customHeight="1" x14ac:dyDescent="0.25">
      <c r="A43" s="262" t="s">
        <v>1071</v>
      </c>
      <c r="B43" s="256"/>
      <c r="C43" s="610"/>
      <c r="D43" s="610"/>
      <c r="E43" s="610"/>
      <c r="F43" s="610"/>
      <c r="G43" s="610"/>
      <c r="H43" s="610"/>
      <c r="I43" s="610"/>
      <c r="J43" s="891">
        <f t="shared" si="15"/>
        <v>0</v>
      </c>
      <c r="K43" s="891">
        <f t="shared" si="16"/>
        <v>0</v>
      </c>
      <c r="L43" s="610"/>
      <c r="M43" s="1052"/>
      <c r="N43" s="836"/>
    </row>
    <row r="44" spans="1:14" ht="11.25" customHeight="1" x14ac:dyDescent="0.25">
      <c r="A44" s="262" t="s">
        <v>1072</v>
      </c>
      <c r="B44" s="256"/>
      <c r="C44" s="610"/>
      <c r="D44" s="610"/>
      <c r="E44" s="610"/>
      <c r="F44" s="610"/>
      <c r="G44" s="610"/>
      <c r="H44" s="610"/>
      <c r="I44" s="610"/>
      <c r="J44" s="891">
        <f t="shared" si="15"/>
        <v>0</v>
      </c>
      <c r="K44" s="891">
        <f t="shared" si="16"/>
        <v>0</v>
      </c>
      <c r="L44" s="610"/>
      <c r="M44" s="1052"/>
      <c r="N44" s="836"/>
    </row>
    <row r="45" spans="1:14" ht="11.25" customHeight="1" x14ac:dyDescent="0.25">
      <c r="A45" s="262" t="s">
        <v>1073</v>
      </c>
      <c r="B45" s="256"/>
      <c r="C45" s="610"/>
      <c r="D45" s="610"/>
      <c r="E45" s="610"/>
      <c r="F45" s="610"/>
      <c r="G45" s="610"/>
      <c r="H45" s="610"/>
      <c r="I45" s="610"/>
      <c r="J45" s="891">
        <f t="shared" si="15"/>
        <v>0</v>
      </c>
      <c r="K45" s="891">
        <f t="shared" si="16"/>
        <v>0</v>
      </c>
      <c r="L45" s="610"/>
      <c r="M45" s="1052"/>
      <c r="N45" s="836"/>
    </row>
    <row r="46" spans="1:14" ht="11.25" customHeight="1" x14ac:dyDescent="0.25">
      <c r="A46" s="262" t="s">
        <v>1074</v>
      </c>
      <c r="B46" s="256"/>
      <c r="C46" s="610"/>
      <c r="D46" s="610"/>
      <c r="E46" s="610"/>
      <c r="F46" s="610"/>
      <c r="G46" s="610"/>
      <c r="H46" s="610"/>
      <c r="I46" s="610"/>
      <c r="J46" s="891">
        <f t="shared" si="15"/>
        <v>0</v>
      </c>
      <c r="K46" s="891">
        <f t="shared" si="16"/>
        <v>0</v>
      </c>
      <c r="L46" s="610"/>
      <c r="M46" s="1052"/>
      <c r="N46" s="836"/>
    </row>
    <row r="47" spans="1:14" ht="11.25" customHeight="1" x14ac:dyDescent="0.25">
      <c r="A47" s="827" t="str">
        <f>$A$16</f>
        <v>Below Minimum Servic Level sub-total</v>
      </c>
      <c r="B47" s="256"/>
      <c r="C47" s="893">
        <f t="shared" ref="C47:M47" si="18">SUM(C42:C46)</f>
        <v>0</v>
      </c>
      <c r="D47" s="893">
        <f t="shared" si="18"/>
        <v>0</v>
      </c>
      <c r="E47" s="893">
        <f t="shared" si="18"/>
        <v>0</v>
      </c>
      <c r="F47" s="893">
        <f t="shared" si="18"/>
        <v>0</v>
      </c>
      <c r="G47" s="893">
        <f t="shared" si="18"/>
        <v>0</v>
      </c>
      <c r="H47" s="893">
        <f t="shared" si="18"/>
        <v>0</v>
      </c>
      <c r="I47" s="893">
        <f t="shared" si="18"/>
        <v>0</v>
      </c>
      <c r="J47" s="893">
        <f t="shared" si="18"/>
        <v>0</v>
      </c>
      <c r="K47" s="893">
        <f t="shared" si="18"/>
        <v>0</v>
      </c>
      <c r="L47" s="893">
        <f t="shared" si="18"/>
        <v>0</v>
      </c>
      <c r="M47" s="894">
        <f t="shared" si="18"/>
        <v>0</v>
      </c>
      <c r="N47" s="836"/>
    </row>
    <row r="48" spans="1:14" ht="11.25" customHeight="1" x14ac:dyDescent="0.25">
      <c r="A48" s="269" t="str">
        <f>$A$17</f>
        <v>Total number of households</v>
      </c>
      <c r="B48" s="256">
        <f>$B$17</f>
        <v>5</v>
      </c>
      <c r="C48" s="895">
        <f t="shared" ref="C48:I48" si="19">C41+C47</f>
        <v>144708</v>
      </c>
      <c r="D48" s="895">
        <f t="shared" si="19"/>
        <v>144708</v>
      </c>
      <c r="E48" s="895">
        <f t="shared" si="19"/>
        <v>0</v>
      </c>
      <c r="F48" s="895">
        <f t="shared" si="19"/>
        <v>0</v>
      </c>
      <c r="G48" s="895">
        <f t="shared" si="19"/>
        <v>0</v>
      </c>
      <c r="H48" s="895">
        <f t="shared" si="19"/>
        <v>0</v>
      </c>
      <c r="I48" s="895">
        <f t="shared" si="19"/>
        <v>0</v>
      </c>
      <c r="J48" s="895">
        <f>J40+J47</f>
        <v>0</v>
      </c>
      <c r="K48" s="895">
        <f>K40+K47</f>
        <v>144708</v>
      </c>
      <c r="L48" s="895">
        <f>L41+L47</f>
        <v>148907</v>
      </c>
      <c r="M48" s="896">
        <f>M41+M47</f>
        <v>153283</v>
      </c>
      <c r="N48" s="836"/>
    </row>
    <row r="49" spans="1:14" ht="5.0999999999999996" customHeight="1" x14ac:dyDescent="0.25">
      <c r="A49" s="273"/>
      <c r="B49" s="274"/>
      <c r="C49" s="272"/>
      <c r="D49" s="272"/>
      <c r="E49" s="272"/>
      <c r="F49" s="272"/>
      <c r="G49" s="272"/>
      <c r="H49" s="272"/>
      <c r="I49" s="272"/>
      <c r="J49" s="272"/>
      <c r="K49" s="272"/>
      <c r="L49" s="272"/>
      <c r="M49" s="275"/>
      <c r="N49" s="836"/>
    </row>
    <row r="50" spans="1:14" ht="15.75" customHeight="1" x14ac:dyDescent="0.25">
      <c r="A50" s="255" t="s">
        <v>1075</v>
      </c>
      <c r="B50" s="256">
        <v>15</v>
      </c>
      <c r="C50" s="265"/>
      <c r="D50" s="132"/>
      <c r="E50" s="132"/>
      <c r="F50" s="132"/>
      <c r="G50" s="132"/>
      <c r="H50" s="132"/>
      <c r="I50" s="132"/>
      <c r="J50" s="132"/>
      <c r="K50" s="132"/>
      <c r="L50" s="132"/>
      <c r="M50" s="133"/>
      <c r="N50" s="836"/>
    </row>
    <row r="51" spans="1:14" ht="11.25" customHeight="1" x14ac:dyDescent="0.25">
      <c r="A51" s="262" t="s">
        <v>1077</v>
      </c>
      <c r="B51" s="256"/>
      <c r="C51" s="132">
        <f>'SB5'!E263</f>
        <v>13897</v>
      </c>
      <c r="D51" s="132">
        <f>'SB5'!F263</f>
        <v>13897</v>
      </c>
      <c r="E51" s="132">
        <f>'SB5'!G263</f>
        <v>0</v>
      </c>
      <c r="F51" s="132">
        <f>'SB5'!H263</f>
        <v>0</v>
      </c>
      <c r="G51" s="132">
        <f>'SB5'!I263</f>
        <v>0</v>
      </c>
      <c r="H51" s="132">
        <f>'SB5'!J263</f>
        <v>0</v>
      </c>
      <c r="I51" s="132">
        <f>'SB5'!K263</f>
        <v>0</v>
      </c>
      <c r="J51" s="132">
        <f>SUM(E51:I51)</f>
        <v>0</v>
      </c>
      <c r="K51" s="132">
        <f>IF(D51=0,C51+J51,D51+J51)</f>
        <v>13897</v>
      </c>
      <c r="L51" s="132">
        <f>'SB5'!N263</f>
        <v>14564.348759541981</v>
      </c>
      <c r="M51" s="133">
        <f>'SB5'!O263</f>
        <v>15263.437499999996</v>
      </c>
      <c r="N51" s="836"/>
    </row>
    <row r="52" spans="1:14" ht="11.25" customHeight="1" x14ac:dyDescent="0.25">
      <c r="A52" s="262" t="s">
        <v>1119</v>
      </c>
      <c r="B52" s="256"/>
      <c r="C52" s="132">
        <f>'SB5'!E275</f>
        <v>16548</v>
      </c>
      <c r="D52" s="132">
        <f>'SB5'!F275</f>
        <v>16548</v>
      </c>
      <c r="E52" s="132">
        <f>'SB5'!G275</f>
        <v>0</v>
      </c>
      <c r="F52" s="132">
        <f>'SB5'!H275</f>
        <v>0</v>
      </c>
      <c r="G52" s="132">
        <f>'SB5'!I275</f>
        <v>0</v>
      </c>
      <c r="H52" s="132">
        <f>'SB5'!J275</f>
        <v>0</v>
      </c>
      <c r="I52" s="132">
        <f>'SB5'!K275</f>
        <v>0</v>
      </c>
      <c r="J52" s="132">
        <f>SUM(E52:I52)</f>
        <v>0</v>
      </c>
      <c r="K52" s="132">
        <f>IF(D52=0,C52+J52,D52+J52)</f>
        <v>16548</v>
      </c>
      <c r="L52" s="132">
        <f>'SB5'!N275</f>
        <v>17342.074419879998</v>
      </c>
      <c r="M52" s="133">
        <f>'SB5'!O275</f>
        <v>18174.49399203424</v>
      </c>
      <c r="N52" s="836"/>
    </row>
    <row r="53" spans="1:14" ht="11.25" customHeight="1" x14ac:dyDescent="0.25">
      <c r="A53" s="262" t="s">
        <v>1078</v>
      </c>
      <c r="B53" s="256"/>
      <c r="C53" s="132">
        <f>'SB5'!E251</f>
        <v>0</v>
      </c>
      <c r="D53" s="132">
        <f>'SB5'!F251</f>
        <v>0</v>
      </c>
      <c r="E53" s="132">
        <f>'SB5'!G251</f>
        <v>0</v>
      </c>
      <c r="F53" s="132">
        <f>'SB5'!H251</f>
        <v>0</v>
      </c>
      <c r="G53" s="132">
        <f>'SB5'!I251</f>
        <v>0</v>
      </c>
      <c r="H53" s="132">
        <f>'SB5'!J251</f>
        <v>0</v>
      </c>
      <c r="I53" s="132">
        <f>'SB5'!K251</f>
        <v>0</v>
      </c>
      <c r="J53" s="132">
        <f>SUM(E53:I53)</f>
        <v>0</v>
      </c>
      <c r="K53" s="132">
        <f>IF(D53=0,C53+J53,D53+J53)</f>
        <v>0</v>
      </c>
      <c r="L53" s="132">
        <f>'SB5'!N251</f>
        <v>0</v>
      </c>
      <c r="M53" s="133">
        <f>'SB5'!O251</f>
        <v>0</v>
      </c>
      <c r="N53" s="836"/>
    </row>
    <row r="54" spans="1:14" ht="11.25" customHeight="1" x14ac:dyDescent="0.25">
      <c r="A54" s="276" t="s">
        <v>1120</v>
      </c>
      <c r="B54" s="274"/>
      <c r="C54" s="272">
        <f>'SB5'!E287</f>
        <v>16548</v>
      </c>
      <c r="D54" s="272">
        <f>'SB5'!F287</f>
        <v>16548</v>
      </c>
      <c r="E54" s="272">
        <f>'SB5'!G287</f>
        <v>0</v>
      </c>
      <c r="F54" s="272">
        <f>'SB5'!H287</f>
        <v>0</v>
      </c>
      <c r="G54" s="272">
        <f>'SB5'!I287</f>
        <v>0</v>
      </c>
      <c r="H54" s="272">
        <f>'SB5'!J287</f>
        <v>0</v>
      </c>
      <c r="I54" s="272">
        <f>'SB5'!K287</f>
        <v>0</v>
      </c>
      <c r="J54" s="272">
        <f>SUM(E54:I54)</f>
        <v>0</v>
      </c>
      <c r="K54" s="272">
        <f>IF(D54=0,C54+J54,D54+J54)</f>
        <v>16548</v>
      </c>
      <c r="L54" s="272">
        <f>'SB5'!N287</f>
        <v>17342.074419879998</v>
      </c>
      <c r="M54" s="275">
        <f>'SB5'!O287</f>
        <v>18174.49399203424</v>
      </c>
      <c r="N54" s="836"/>
    </row>
    <row r="55" spans="1:14" ht="5.0999999999999996" customHeight="1" x14ac:dyDescent="0.25">
      <c r="A55" s="277"/>
      <c r="B55" s="256"/>
      <c r="C55" s="132"/>
      <c r="D55" s="132"/>
      <c r="E55" s="132"/>
      <c r="F55" s="132"/>
      <c r="G55" s="132"/>
      <c r="H55" s="132"/>
      <c r="I55" s="132"/>
      <c r="J55" s="132"/>
      <c r="K55" s="132"/>
      <c r="L55" s="132"/>
      <c r="M55" s="133"/>
      <c r="N55" s="836"/>
    </row>
    <row r="56" spans="1:14" ht="11.25" customHeight="1" x14ac:dyDescent="0.25">
      <c r="A56" s="255" t="s">
        <v>1076</v>
      </c>
      <c r="B56" s="256">
        <v>16</v>
      </c>
      <c r="C56" s="673" t="s">
        <v>1734</v>
      </c>
      <c r="D56" s="674"/>
      <c r="E56" s="674"/>
      <c r="F56" s="674"/>
      <c r="G56" s="674"/>
      <c r="H56" s="674"/>
      <c r="I56" s="674"/>
      <c r="J56" s="132"/>
      <c r="K56" s="132"/>
      <c r="L56" s="674"/>
      <c r="M56" s="675"/>
      <c r="N56" s="836"/>
    </row>
    <row r="57" spans="1:14" x14ac:dyDescent="0.25">
      <c r="A57" s="1278" t="s">
        <v>1713</v>
      </c>
      <c r="B57" s="256"/>
      <c r="C57" s="780">
        <f>'SB1'!C21</f>
        <v>18586657</v>
      </c>
      <c r="D57" s="780">
        <f>'SB1'!D21</f>
        <v>18586657</v>
      </c>
      <c r="E57" s="780">
        <f>'SB1'!E21</f>
        <v>0</v>
      </c>
      <c r="F57" s="780">
        <f>'SB1'!F21</f>
        <v>0</v>
      </c>
      <c r="G57" s="780">
        <f>'SB1'!G21</f>
        <v>0</v>
      </c>
      <c r="H57" s="780">
        <f>'SB1'!H21</f>
        <v>0</v>
      </c>
      <c r="I57" s="780">
        <f>'SB1'!I21</f>
        <v>0</v>
      </c>
      <c r="J57" s="132">
        <f>SUM(E57:I57)</f>
        <v>0</v>
      </c>
      <c r="K57" s="132">
        <f>IF(D57=0,C57+J57,D57+J57)</f>
        <v>18586657</v>
      </c>
      <c r="L57" s="132">
        <f>'SB1'!L21</f>
        <v>19478816.793893125</v>
      </c>
      <c r="M57" s="133">
        <f>'SB1'!M21</f>
        <v>20413799.999999996</v>
      </c>
      <c r="N57" s="836"/>
    </row>
    <row r="58" spans="1:14" ht="13.9" customHeight="1" x14ac:dyDescent="0.25">
      <c r="A58" s="1278" t="s">
        <v>1714</v>
      </c>
      <c r="B58" s="256"/>
      <c r="C58" s="780">
        <f>'SB1'!C27</f>
        <v>17543476</v>
      </c>
      <c r="D58" s="132">
        <f>'SB1'!D27</f>
        <v>17543476</v>
      </c>
      <c r="E58" s="132">
        <f>'SB1'!E27</f>
        <v>0</v>
      </c>
      <c r="F58" s="132">
        <f>'SB1'!F27</f>
        <v>0</v>
      </c>
      <c r="G58" s="132">
        <f>'SB1'!G27</f>
        <v>0</v>
      </c>
      <c r="H58" s="132">
        <f>'SB1'!H27</f>
        <v>0</v>
      </c>
      <c r="I58" s="132">
        <f>'SB1'!I27</f>
        <v>0</v>
      </c>
      <c r="J58" s="132">
        <f>SUM(E58:I58)</f>
        <v>0</v>
      </c>
      <c r="K58" s="132">
        <f>IF(D58=0,C58+J58,D58+J58)</f>
        <v>17543476</v>
      </c>
      <c r="L58" s="132">
        <f>'SB1'!L27</f>
        <v>18385562.848000001</v>
      </c>
      <c r="M58" s="133">
        <f>'SB1'!M27</f>
        <v>19268069.864704002</v>
      </c>
      <c r="N58" s="836"/>
    </row>
    <row r="59" spans="1:14" ht="12.6" customHeight="1" x14ac:dyDescent="0.25">
      <c r="A59" s="1278" t="s">
        <v>1715</v>
      </c>
      <c r="B59" s="256"/>
      <c r="C59" s="780">
        <f>'SB1'!C15</f>
        <v>33637440</v>
      </c>
      <c r="D59" s="132">
        <f>'SB1'!D15</f>
        <v>33637440</v>
      </c>
      <c r="E59" s="132">
        <f>'SB1'!E15</f>
        <v>0</v>
      </c>
      <c r="F59" s="132">
        <f>'SB1'!F15</f>
        <v>0</v>
      </c>
      <c r="G59" s="132">
        <f>'SB1'!G15</f>
        <v>0</v>
      </c>
      <c r="H59" s="132">
        <f>'SB1'!H15</f>
        <v>0</v>
      </c>
      <c r="I59" s="132">
        <f>'SB1'!I15</f>
        <v>0</v>
      </c>
      <c r="J59" s="132">
        <f>SUM(E59:I59)</f>
        <v>0</v>
      </c>
      <c r="K59" s="132">
        <f>IF(D59=0,C59+J59,D59+J59)</f>
        <v>33637440</v>
      </c>
      <c r="L59" s="132">
        <f>'SB1'!L15</f>
        <v>37337558.400000006</v>
      </c>
      <c r="M59" s="133">
        <f>'SB1'!M15</f>
        <v>41444689.824000008</v>
      </c>
      <c r="N59" s="836"/>
    </row>
    <row r="60" spans="1:14" ht="12" customHeight="1" x14ac:dyDescent="0.25">
      <c r="A60" s="1278" t="s">
        <v>1716</v>
      </c>
      <c r="B60" s="256"/>
      <c r="C60" s="780">
        <f>'SB1'!C34</f>
        <v>14706979.999999998</v>
      </c>
      <c r="D60" s="132">
        <f>'SB1'!D34</f>
        <v>14706979.999999998</v>
      </c>
      <c r="E60" s="132">
        <f>'SB1'!E34</f>
        <v>0</v>
      </c>
      <c r="F60" s="132">
        <f>'SB1'!F34</f>
        <v>0</v>
      </c>
      <c r="G60" s="132">
        <f>'SB1'!G34</f>
        <v>0</v>
      </c>
      <c r="H60" s="132">
        <f>'SB1'!H34</f>
        <v>0</v>
      </c>
      <c r="I60" s="132">
        <f>'SB1'!I34</f>
        <v>0</v>
      </c>
      <c r="J60" s="132">
        <f>SUM(E60:I60)</f>
        <v>0</v>
      </c>
      <c r="K60" s="132">
        <f>IF(D60=0,C60+J60,D60+J60)</f>
        <v>14706979.999999998</v>
      </c>
      <c r="L60" s="132">
        <f>'SB1'!L34</f>
        <v>15412915.039999999</v>
      </c>
      <c r="M60" s="133">
        <f>'SB1'!M34</f>
        <v>16152734.961920001</v>
      </c>
      <c r="N60" s="836"/>
    </row>
    <row r="61" spans="1:14" ht="25.5" x14ac:dyDescent="0.25">
      <c r="A61" s="1280" t="s">
        <v>1717</v>
      </c>
      <c r="B61" s="256"/>
      <c r="C61" s="780">
        <f>'SB5'!E260+'SB5'!E272+'SB5'!E284+'SB5'!E296</f>
        <v>428899267</v>
      </c>
      <c r="D61" s="132">
        <f>'SB5'!F260+'SB5'!F272+'SB5'!F284+'SB5'!F296</f>
        <v>428899267</v>
      </c>
      <c r="E61" s="132">
        <f>'SB5'!G260+'SB5'!G272+'SB5'!G284+'SB5'!G296</f>
        <v>0</v>
      </c>
      <c r="F61" s="132">
        <f>'SB5'!H260+'SB5'!H272+'SB5'!H284+'SB5'!H296</f>
        <v>0</v>
      </c>
      <c r="G61" s="132">
        <f>'SB5'!I260+'SB5'!I272+'SB5'!I284+'SB5'!I296</f>
        <v>0</v>
      </c>
      <c r="H61" s="132">
        <f>'SB5'!J260+'SB5'!J272+'SB5'!J284+'SB5'!J296</f>
        <v>0</v>
      </c>
      <c r="I61" s="132">
        <f>'SB5'!K260+'SB5'!K272+'SB5'!K284+'SB5'!K296</f>
        <v>0</v>
      </c>
      <c r="J61" s="132">
        <f>SUM(E61:I61)</f>
        <v>0</v>
      </c>
      <c r="K61" s="132">
        <f>IF(D61=0,C61+J61,D61+J61)</f>
        <v>428899267</v>
      </c>
      <c r="L61" s="132">
        <f>'SB5'!N260+'SB5'!N272+'SB5'!N284+'SB5'!N296</f>
        <v>449486431.96409112</v>
      </c>
      <c r="M61" s="133">
        <f>'SB5'!O260+'SB5'!O272+'SB5'!O284+'SB5'!O296</f>
        <v>471061780.69836754</v>
      </c>
      <c r="N61" s="836"/>
    </row>
    <row r="62" spans="1:14" ht="12" customHeight="1" x14ac:dyDescent="0.25">
      <c r="A62" s="1279" t="s">
        <v>1718</v>
      </c>
      <c r="B62" s="256"/>
      <c r="C62" s="890">
        <f>SUM(C57:C61)</f>
        <v>513373820</v>
      </c>
      <c r="D62" s="265">
        <f t="shared" ref="D62:M62" si="20">SUM(D57:D61)</f>
        <v>513373820</v>
      </c>
      <c r="E62" s="265">
        <f t="shared" si="20"/>
        <v>0</v>
      </c>
      <c r="F62" s="265">
        <f t="shared" si="20"/>
        <v>0</v>
      </c>
      <c r="G62" s="265">
        <f t="shared" si="20"/>
        <v>0</v>
      </c>
      <c r="H62" s="265">
        <f t="shared" si="20"/>
        <v>0</v>
      </c>
      <c r="I62" s="265">
        <f t="shared" si="20"/>
        <v>0</v>
      </c>
      <c r="J62" s="265">
        <f t="shared" si="20"/>
        <v>0</v>
      </c>
      <c r="K62" s="265">
        <f t="shared" si="20"/>
        <v>513373820</v>
      </c>
      <c r="L62" s="265">
        <f t="shared" si="20"/>
        <v>540101285.04598427</v>
      </c>
      <c r="M62" s="266">
        <f t="shared" si="20"/>
        <v>568341075.34899151</v>
      </c>
      <c r="N62" s="836"/>
    </row>
    <row r="63" spans="1:14" ht="15.6" customHeight="1" x14ac:dyDescent="0.25">
      <c r="A63" s="279"/>
      <c r="B63" s="256"/>
      <c r="C63" s="132"/>
      <c r="D63" s="132"/>
      <c r="E63" s="132"/>
      <c r="F63" s="132"/>
      <c r="G63" s="132"/>
      <c r="H63" s="132"/>
      <c r="I63" s="132"/>
      <c r="J63" s="132"/>
      <c r="K63" s="132"/>
      <c r="L63" s="132"/>
      <c r="M63" s="133"/>
      <c r="N63" s="836"/>
    </row>
    <row r="64" spans="1:14" ht="11.25" customHeight="1" x14ac:dyDescent="0.25">
      <c r="A64" s="255" t="s">
        <v>1079</v>
      </c>
      <c r="B64" s="280"/>
      <c r="C64" s="265"/>
      <c r="D64" s="265"/>
      <c r="E64" s="265"/>
      <c r="F64" s="265"/>
      <c r="G64" s="265"/>
      <c r="H64" s="265"/>
      <c r="I64" s="265"/>
      <c r="J64" s="265"/>
      <c r="K64" s="265"/>
      <c r="L64" s="265"/>
      <c r="M64" s="266"/>
      <c r="N64" s="836"/>
    </row>
    <row r="65" spans="1:14" ht="11.25" customHeight="1" x14ac:dyDescent="0.25">
      <c r="A65" s="262" t="s">
        <v>1080</v>
      </c>
      <c r="B65" s="256"/>
      <c r="C65" s="1054">
        <v>61</v>
      </c>
      <c r="D65" s="610">
        <v>61</v>
      </c>
      <c r="E65" s="610">
        <v>0</v>
      </c>
      <c r="F65" s="610">
        <v>0</v>
      </c>
      <c r="G65" s="610">
        <v>0</v>
      </c>
      <c r="H65" s="610">
        <v>0</v>
      </c>
      <c r="I65" s="610">
        <v>0</v>
      </c>
      <c r="J65" s="891">
        <f t="shared" ref="J65:J70" si="21">SUM(E65:I65)</f>
        <v>0</v>
      </c>
      <c r="K65" s="891">
        <f t="shared" ref="K65:K70" si="22">IF(D65=0,C65+J65,D65+J65)</f>
        <v>61</v>
      </c>
      <c r="L65" s="610">
        <v>63</v>
      </c>
      <c r="M65" s="1052">
        <v>67</v>
      </c>
      <c r="N65" s="836"/>
    </row>
    <row r="66" spans="1:14" ht="11.25" customHeight="1" x14ac:dyDescent="0.25">
      <c r="A66" s="262" t="s">
        <v>1081</v>
      </c>
      <c r="B66" s="256"/>
      <c r="C66" s="1054">
        <v>6</v>
      </c>
      <c r="D66" s="1054">
        <v>6</v>
      </c>
      <c r="E66" s="1054">
        <v>0</v>
      </c>
      <c r="F66" s="1054">
        <v>0</v>
      </c>
      <c r="G66" s="610">
        <v>0</v>
      </c>
      <c r="H66" s="610">
        <v>0</v>
      </c>
      <c r="I66" s="610">
        <v>0</v>
      </c>
      <c r="J66" s="891">
        <f t="shared" si="21"/>
        <v>0</v>
      </c>
      <c r="K66" s="891">
        <f t="shared" si="22"/>
        <v>6</v>
      </c>
      <c r="L66" s="610">
        <v>6</v>
      </c>
      <c r="M66" s="1052">
        <v>6</v>
      </c>
      <c r="N66" s="836"/>
    </row>
    <row r="67" spans="1:14" ht="11.25" customHeight="1" x14ac:dyDescent="0.25">
      <c r="A67" s="262" t="s">
        <v>1082</v>
      </c>
      <c r="B67" s="256"/>
      <c r="C67" s="1054">
        <v>6</v>
      </c>
      <c r="D67" s="1054">
        <v>6</v>
      </c>
      <c r="E67" s="1054">
        <v>0</v>
      </c>
      <c r="F67" s="610">
        <v>0</v>
      </c>
      <c r="G67" s="610">
        <v>0</v>
      </c>
      <c r="H67" s="610">
        <v>0</v>
      </c>
      <c r="I67" s="610">
        <v>0</v>
      </c>
      <c r="J67" s="891">
        <f t="shared" si="21"/>
        <v>0</v>
      </c>
      <c r="K67" s="891">
        <f t="shared" si="22"/>
        <v>6</v>
      </c>
      <c r="L67" s="610">
        <v>6</v>
      </c>
      <c r="M67" s="1052">
        <v>6</v>
      </c>
      <c r="N67" s="836"/>
    </row>
    <row r="68" spans="1:14" ht="11.25" customHeight="1" x14ac:dyDescent="0.25">
      <c r="A68" s="262" t="s">
        <v>1083</v>
      </c>
      <c r="B68" s="256"/>
      <c r="C68" s="1054">
        <v>95</v>
      </c>
      <c r="D68" s="1054">
        <v>95</v>
      </c>
      <c r="E68" s="1054">
        <v>0</v>
      </c>
      <c r="F68" s="610">
        <v>0</v>
      </c>
      <c r="G68" s="610">
        <v>0</v>
      </c>
      <c r="H68" s="610">
        <v>0</v>
      </c>
      <c r="I68" s="610">
        <v>0</v>
      </c>
      <c r="J68" s="891">
        <f t="shared" si="21"/>
        <v>0</v>
      </c>
      <c r="K68" s="891">
        <f t="shared" si="22"/>
        <v>95</v>
      </c>
      <c r="L68" s="610">
        <v>95</v>
      </c>
      <c r="M68" s="1052">
        <v>95</v>
      </c>
      <c r="N68" s="836"/>
    </row>
    <row r="69" spans="1:14" ht="11.25" customHeight="1" x14ac:dyDescent="0.25">
      <c r="A69" s="262" t="s">
        <v>1084</v>
      </c>
      <c r="B69" s="256"/>
      <c r="C69" s="1054">
        <v>100</v>
      </c>
      <c r="D69" s="1054">
        <v>100</v>
      </c>
      <c r="E69" s="1054">
        <v>0</v>
      </c>
      <c r="F69" s="1054">
        <v>0</v>
      </c>
      <c r="G69" s="610">
        <v>0</v>
      </c>
      <c r="H69" s="610">
        <v>0</v>
      </c>
      <c r="I69" s="610">
        <v>0</v>
      </c>
      <c r="J69" s="891">
        <f t="shared" si="21"/>
        <v>0</v>
      </c>
      <c r="K69" s="891">
        <f t="shared" si="22"/>
        <v>100</v>
      </c>
      <c r="L69" s="610">
        <v>100</v>
      </c>
      <c r="M69" s="1052">
        <v>100</v>
      </c>
      <c r="N69" s="836"/>
    </row>
    <row r="70" spans="1:14" ht="11.25" customHeight="1" x14ac:dyDescent="0.25">
      <c r="A70" s="281" t="s">
        <v>1085</v>
      </c>
      <c r="B70" s="274"/>
      <c r="C70" s="1055">
        <v>240</v>
      </c>
      <c r="D70" s="1055">
        <v>240</v>
      </c>
      <c r="E70" s="1055">
        <v>0</v>
      </c>
      <c r="F70" s="613">
        <v>0</v>
      </c>
      <c r="G70" s="613">
        <v>0</v>
      </c>
      <c r="H70" s="613">
        <v>0</v>
      </c>
      <c r="I70" s="613">
        <v>0</v>
      </c>
      <c r="J70" s="892">
        <f t="shared" si="21"/>
        <v>0</v>
      </c>
      <c r="K70" s="892">
        <f t="shared" si="22"/>
        <v>240</v>
      </c>
      <c r="L70" s="613">
        <v>240</v>
      </c>
      <c r="M70" s="1053">
        <v>240</v>
      </c>
      <c r="N70" s="836"/>
    </row>
    <row r="71" spans="1:14" ht="15.75" customHeight="1" x14ac:dyDescent="0.25">
      <c r="A71" s="255" t="s">
        <v>1121</v>
      </c>
      <c r="B71" s="280">
        <v>17</v>
      </c>
      <c r="C71" s="132"/>
      <c r="D71" s="132"/>
      <c r="E71" s="132"/>
      <c r="F71" s="132"/>
      <c r="G71" s="132"/>
      <c r="H71" s="132"/>
      <c r="I71" s="132"/>
      <c r="J71" s="132"/>
      <c r="K71" s="132"/>
      <c r="L71" s="132"/>
      <c r="M71" s="133"/>
      <c r="N71" s="836"/>
    </row>
    <row r="72" spans="1:14" ht="25.5" x14ac:dyDescent="0.25">
      <c r="A72" s="1278" t="s">
        <v>1719</v>
      </c>
      <c r="B72" s="258"/>
      <c r="C72" s="109"/>
      <c r="D72" s="109"/>
      <c r="E72" s="109"/>
      <c r="F72" s="109"/>
      <c r="G72" s="109"/>
      <c r="H72" s="109"/>
      <c r="I72" s="109"/>
      <c r="J72" s="132">
        <f t="shared" ref="J72:J80" si="23">SUM(E72:I72)</f>
        <v>0</v>
      </c>
      <c r="K72" s="132">
        <f t="shared" ref="K72:K80" si="24">IF(D72=0,C72+J72,D72+J72)</f>
        <v>0</v>
      </c>
      <c r="L72" s="109"/>
      <c r="M72" s="110"/>
      <c r="N72" s="836"/>
    </row>
    <row r="73" spans="1:14" ht="38.25" x14ac:dyDescent="0.25">
      <c r="A73" s="1278" t="s">
        <v>1720</v>
      </c>
      <c r="B73" s="256"/>
      <c r="C73" s="132">
        <f>'SB1'!C9</f>
        <v>62666372</v>
      </c>
      <c r="D73" s="132">
        <f>'SB1'!D9</f>
        <v>62666372</v>
      </c>
      <c r="E73" s="132">
        <f>'SB1'!E9</f>
        <v>0</v>
      </c>
      <c r="F73" s="132">
        <f>'SB1'!F9</f>
        <v>0</v>
      </c>
      <c r="G73" s="132">
        <f>'SB1'!G9</f>
        <v>0</v>
      </c>
      <c r="H73" s="132">
        <f>'SB1'!H9</f>
        <v>0</v>
      </c>
      <c r="I73" s="132">
        <f>'SB1'!I9</f>
        <v>0</v>
      </c>
      <c r="J73" s="132">
        <f t="shared" si="23"/>
        <v>0</v>
      </c>
      <c r="K73" s="132">
        <f t="shared" si="24"/>
        <v>62666372</v>
      </c>
      <c r="L73" s="132">
        <f>'SB1'!L9</f>
        <v>65674356.849920012</v>
      </c>
      <c r="M73" s="133">
        <f>'SB1'!M9</f>
        <v>68826725.97871618</v>
      </c>
      <c r="N73" s="836"/>
    </row>
    <row r="74" spans="1:14" ht="25.5" x14ac:dyDescent="0.25">
      <c r="A74" s="1278" t="s">
        <v>1721</v>
      </c>
      <c r="B74" s="256"/>
      <c r="C74" s="132">
        <f>'SB1'!C20</f>
        <v>18586657</v>
      </c>
      <c r="D74" s="132">
        <f>'SB1'!D20</f>
        <v>18586657</v>
      </c>
      <c r="E74" s="132">
        <f>'SB1'!E20</f>
        <v>0</v>
      </c>
      <c r="F74" s="132">
        <f>'SB1'!F20</f>
        <v>0</v>
      </c>
      <c r="G74" s="132">
        <f>'SB1'!G20</f>
        <v>0</v>
      </c>
      <c r="H74" s="132">
        <f>'SB1'!H20</f>
        <v>0</v>
      </c>
      <c r="I74" s="132">
        <f>'SB1'!I20</f>
        <v>0</v>
      </c>
      <c r="J74" s="132">
        <f t="shared" si="23"/>
        <v>0</v>
      </c>
      <c r="K74" s="132">
        <f t="shared" si="24"/>
        <v>18586657</v>
      </c>
      <c r="L74" s="132">
        <f>'SB1'!L20</f>
        <v>19478816.793893125</v>
      </c>
      <c r="M74" s="133">
        <f>'SB1'!M20</f>
        <v>20413799.999999996</v>
      </c>
      <c r="N74" s="836"/>
    </row>
    <row r="75" spans="1:14" ht="25.5" x14ac:dyDescent="0.25">
      <c r="A75" s="1278" t="s">
        <v>1722</v>
      </c>
      <c r="B75" s="256"/>
      <c r="C75" s="132">
        <f>'SB1'!C26</f>
        <v>17543476</v>
      </c>
      <c r="D75" s="132">
        <f>'SB1'!D26</f>
        <v>17543476</v>
      </c>
      <c r="E75" s="132">
        <f>'SB1'!E26</f>
        <v>0</v>
      </c>
      <c r="F75" s="132">
        <f>'SB1'!F26</f>
        <v>0</v>
      </c>
      <c r="G75" s="132">
        <f>'SB1'!G26</f>
        <v>0</v>
      </c>
      <c r="H75" s="132">
        <f>'SB1'!H26</f>
        <v>0</v>
      </c>
      <c r="I75" s="132">
        <f>'SB1'!I26</f>
        <v>0</v>
      </c>
      <c r="J75" s="132">
        <f t="shared" si="23"/>
        <v>0</v>
      </c>
      <c r="K75" s="132">
        <f t="shared" si="24"/>
        <v>17543476</v>
      </c>
      <c r="L75" s="132">
        <f>'SB1'!L26</f>
        <v>18385562.848000001</v>
      </c>
      <c r="M75" s="133">
        <f>'SB1'!M26</f>
        <v>19268069.864704002</v>
      </c>
      <c r="N75" s="836"/>
    </row>
    <row r="76" spans="1:14" ht="25.5" x14ac:dyDescent="0.25">
      <c r="A76" s="1278" t="s">
        <v>1723</v>
      </c>
      <c r="B76" s="256"/>
      <c r="C76" s="132">
        <f>'SB1'!C14</f>
        <v>10949040.000000002</v>
      </c>
      <c r="D76" s="132">
        <f>'SB1'!D14</f>
        <v>10949040.000000002</v>
      </c>
      <c r="E76" s="132">
        <f>'SB1'!E14</f>
        <v>0</v>
      </c>
      <c r="F76" s="132">
        <f>'SB1'!F14</f>
        <v>0</v>
      </c>
      <c r="G76" s="132">
        <f>'SB1'!G14</f>
        <v>0</v>
      </c>
      <c r="H76" s="132">
        <f>'SB1'!H14</f>
        <v>0</v>
      </c>
      <c r="I76" s="132">
        <f>'SB1'!I14</f>
        <v>0</v>
      </c>
      <c r="J76" s="132">
        <f t="shared" si="23"/>
        <v>0</v>
      </c>
      <c r="K76" s="132">
        <f t="shared" si="24"/>
        <v>10949040.000000002</v>
      </c>
      <c r="L76" s="132">
        <f>'SB1'!L14</f>
        <v>12153434.400000002</v>
      </c>
      <c r="M76" s="133">
        <f>'SB1'!M14</f>
        <v>13490312.184000004</v>
      </c>
      <c r="N76" s="836"/>
    </row>
    <row r="77" spans="1:14" ht="14.45" customHeight="1" x14ac:dyDescent="0.25">
      <c r="A77" s="1278" t="s">
        <v>1724</v>
      </c>
      <c r="B77" s="256"/>
      <c r="C77" s="132">
        <f>'SB1'!C33</f>
        <v>14706979.999999998</v>
      </c>
      <c r="D77" s="132">
        <f>'SB1'!D33</f>
        <v>14706979.999999998</v>
      </c>
      <c r="E77" s="132">
        <f>'SB1'!E33</f>
        <v>0</v>
      </c>
      <c r="F77" s="132">
        <f>'SB1'!F33</f>
        <v>0</v>
      </c>
      <c r="G77" s="132">
        <f>'SB1'!G33</f>
        <v>0</v>
      </c>
      <c r="H77" s="132">
        <f>'SB1'!H33</f>
        <v>0</v>
      </c>
      <c r="I77" s="132">
        <f>'SB1'!I33</f>
        <v>0</v>
      </c>
      <c r="J77" s="132">
        <f t="shared" si="23"/>
        <v>0</v>
      </c>
      <c r="K77" s="132">
        <f t="shared" si="24"/>
        <v>14706979.999999998</v>
      </c>
      <c r="L77" s="132">
        <f>'SB1'!L33</f>
        <v>15412915.039999999</v>
      </c>
      <c r="M77" s="133">
        <f>'SB1'!M33</f>
        <v>16152734.961920001</v>
      </c>
      <c r="N77" s="836"/>
    </row>
    <row r="78" spans="1:14" ht="11.45" customHeight="1" x14ac:dyDescent="0.25">
      <c r="A78" s="1278" t="s">
        <v>1122</v>
      </c>
      <c r="B78" s="256"/>
      <c r="C78" s="109"/>
      <c r="D78" s="109"/>
      <c r="E78" s="109"/>
      <c r="F78" s="109"/>
      <c r="G78" s="109"/>
      <c r="H78" s="109"/>
      <c r="I78" s="109"/>
      <c r="J78" s="132">
        <f t="shared" si="23"/>
        <v>0</v>
      </c>
      <c r="K78" s="132">
        <f t="shared" si="24"/>
        <v>0</v>
      </c>
      <c r="L78" s="109"/>
      <c r="M78" s="110"/>
      <c r="N78" s="836"/>
    </row>
    <row r="79" spans="1:14" ht="11.25" customHeight="1" x14ac:dyDescent="0.25">
      <c r="A79" s="1278" t="s">
        <v>1123</v>
      </c>
      <c r="B79" s="256">
        <v>6</v>
      </c>
      <c r="C79" s="109"/>
      <c r="D79" s="109"/>
      <c r="E79" s="109"/>
      <c r="F79" s="109"/>
      <c r="G79" s="109"/>
      <c r="H79" s="109"/>
      <c r="I79" s="109"/>
      <c r="J79" s="132">
        <f t="shared" si="23"/>
        <v>0</v>
      </c>
      <c r="K79" s="132">
        <f t="shared" si="24"/>
        <v>0</v>
      </c>
      <c r="L79" s="109"/>
      <c r="M79" s="110"/>
      <c r="N79" s="836"/>
    </row>
    <row r="80" spans="1:14" ht="11.25" customHeight="1" x14ac:dyDescent="0.25">
      <c r="A80" s="1278" t="s">
        <v>630</v>
      </c>
      <c r="B80" s="256"/>
      <c r="C80" s="109"/>
      <c r="D80" s="109"/>
      <c r="E80" s="109"/>
      <c r="F80" s="109"/>
      <c r="G80" s="109"/>
      <c r="H80" s="109"/>
      <c r="I80" s="109"/>
      <c r="J80" s="132">
        <f t="shared" si="23"/>
        <v>0</v>
      </c>
      <c r="K80" s="132">
        <f t="shared" si="24"/>
        <v>0</v>
      </c>
      <c r="L80" s="109"/>
      <c r="M80" s="110"/>
      <c r="N80" s="836"/>
    </row>
    <row r="81" spans="1:14" ht="25.5" x14ac:dyDescent="0.25">
      <c r="A81" s="1281" t="s">
        <v>1725</v>
      </c>
      <c r="B81" s="282"/>
      <c r="C81" s="283">
        <f t="shared" ref="C81:M81" si="25">SUM(C72:C80)</f>
        <v>124452525</v>
      </c>
      <c r="D81" s="283">
        <f t="shared" si="25"/>
        <v>124452525</v>
      </c>
      <c r="E81" s="283">
        <f t="shared" si="25"/>
        <v>0</v>
      </c>
      <c r="F81" s="283">
        <f t="shared" si="25"/>
        <v>0</v>
      </c>
      <c r="G81" s="283">
        <f t="shared" si="25"/>
        <v>0</v>
      </c>
      <c r="H81" s="283">
        <f t="shared" si="25"/>
        <v>0</v>
      </c>
      <c r="I81" s="283">
        <f t="shared" si="25"/>
        <v>0</v>
      </c>
      <c r="J81" s="283">
        <f t="shared" si="25"/>
        <v>0</v>
      </c>
      <c r="K81" s="283">
        <f t="shared" si="25"/>
        <v>124452525</v>
      </c>
      <c r="L81" s="283">
        <f t="shared" si="25"/>
        <v>131105085.93181315</v>
      </c>
      <c r="M81" s="682">
        <f t="shared" si="25"/>
        <v>138151642.98934019</v>
      </c>
      <c r="N81" s="836"/>
    </row>
    <row r="82" spans="1:14" ht="11.25" customHeight="1" x14ac:dyDescent="0.25">
      <c r="A82" s="284" t="str">
        <f>head27a</f>
        <v>References</v>
      </c>
      <c r="B82" s="184"/>
      <c r="N82" s="836"/>
    </row>
    <row r="83" spans="1:14" ht="11.25" customHeight="1" x14ac:dyDescent="0.25">
      <c r="A83" s="285" t="s">
        <v>1087</v>
      </c>
      <c r="B83" s="184"/>
      <c r="N83" s="836"/>
    </row>
    <row r="84" spans="1:14" ht="11.25" customHeight="1" x14ac:dyDescent="0.25">
      <c r="A84" s="286" t="s">
        <v>1088</v>
      </c>
      <c r="B84" s="287"/>
      <c r="C84" s="287"/>
      <c r="D84" s="287"/>
      <c r="E84" s="287"/>
      <c r="F84" s="287"/>
      <c r="G84" s="287"/>
      <c r="H84" s="287"/>
      <c r="I84" s="287"/>
      <c r="J84" s="287"/>
      <c r="K84" s="287"/>
      <c r="L84" s="287"/>
      <c r="M84" s="287"/>
    </row>
    <row r="85" spans="1:14" ht="11.25" customHeight="1" x14ac:dyDescent="0.25">
      <c r="A85" s="159" t="s">
        <v>1089</v>
      </c>
      <c r="B85" s="287"/>
      <c r="C85" s="287"/>
      <c r="D85" s="287"/>
      <c r="E85" s="287"/>
      <c r="F85" s="287"/>
      <c r="G85" s="287"/>
      <c r="H85" s="287"/>
      <c r="I85" s="287"/>
      <c r="J85" s="287"/>
      <c r="K85" s="287"/>
      <c r="L85" s="287"/>
      <c r="M85" s="287"/>
    </row>
    <row r="86" spans="1:14" ht="11.25" customHeight="1" x14ac:dyDescent="0.25">
      <c r="A86" s="159" t="s">
        <v>1090</v>
      </c>
      <c r="B86" s="159"/>
      <c r="C86" s="159"/>
      <c r="D86" s="159"/>
      <c r="E86" s="159"/>
      <c r="F86" s="159"/>
      <c r="G86" s="159"/>
      <c r="H86" s="159"/>
      <c r="I86" s="159"/>
      <c r="J86" s="159"/>
      <c r="K86" s="159"/>
      <c r="L86" s="159"/>
      <c r="M86" s="159"/>
    </row>
    <row r="87" spans="1:14" ht="11.25" customHeight="1" x14ac:dyDescent="0.25">
      <c r="A87" s="159" t="s">
        <v>1091</v>
      </c>
      <c r="B87" s="159"/>
      <c r="C87" s="159"/>
      <c r="D87" s="159"/>
      <c r="E87" s="159"/>
      <c r="F87" s="159"/>
      <c r="G87" s="159"/>
      <c r="H87" s="159"/>
      <c r="I87" s="159"/>
      <c r="J87" s="159"/>
      <c r="K87" s="159"/>
      <c r="L87" s="159"/>
      <c r="M87" s="159"/>
    </row>
    <row r="88" spans="1:14" ht="11.25" customHeight="1" x14ac:dyDescent="0.25">
      <c r="A88" s="159" t="s">
        <v>1092</v>
      </c>
      <c r="B88" s="159"/>
      <c r="C88" s="159"/>
      <c r="D88" s="159"/>
      <c r="E88" s="159"/>
      <c r="F88" s="159"/>
      <c r="G88" s="159"/>
      <c r="H88" s="159"/>
      <c r="I88" s="159"/>
      <c r="J88" s="159"/>
      <c r="K88" s="159"/>
      <c r="L88" s="159"/>
      <c r="M88" s="159"/>
    </row>
    <row r="89" spans="1:14" s="5" customFormat="1" ht="12.75" customHeight="1" x14ac:dyDescent="0.25">
      <c r="A89" s="1408" t="s">
        <v>984</v>
      </c>
      <c r="B89" s="1408"/>
      <c r="C89" s="1408"/>
      <c r="D89" s="1408"/>
      <c r="E89" s="1408"/>
      <c r="F89" s="1408"/>
      <c r="G89" s="1408"/>
      <c r="H89" s="1408"/>
      <c r="I89" s="1408"/>
      <c r="J89" s="1408"/>
      <c r="K89" s="1408"/>
      <c r="L89" s="1408"/>
      <c r="M89" s="1408"/>
    </row>
    <row r="90" spans="1:14" s="5" customFormat="1" ht="24.95" customHeight="1" x14ac:dyDescent="0.25">
      <c r="A90" s="1408" t="s">
        <v>1048</v>
      </c>
      <c r="B90" s="1408"/>
      <c r="C90" s="1408"/>
      <c r="D90" s="1408"/>
      <c r="E90" s="1408"/>
      <c r="F90" s="1408"/>
      <c r="G90" s="1408"/>
      <c r="H90" s="1408"/>
      <c r="I90" s="1408"/>
      <c r="J90" s="1408"/>
      <c r="K90" s="1408"/>
      <c r="L90" s="1408"/>
      <c r="M90" s="1408"/>
    </row>
    <row r="91" spans="1:14" s="5" customFormat="1" ht="12.75" customHeight="1" x14ac:dyDescent="0.25">
      <c r="A91" s="1402" t="s">
        <v>1049</v>
      </c>
      <c r="B91" s="1402"/>
      <c r="C91" s="1402"/>
      <c r="D91" s="1402"/>
      <c r="E91" s="1402"/>
      <c r="F91" s="1402"/>
      <c r="G91" s="1402"/>
      <c r="H91" s="1402"/>
      <c r="I91" s="1402"/>
      <c r="J91" s="1402"/>
      <c r="K91" s="1402"/>
      <c r="L91" s="1402"/>
      <c r="M91" s="1402"/>
    </row>
    <row r="92" spans="1:14" s="5" customFormat="1" ht="12.75" customHeight="1" x14ac:dyDescent="0.25">
      <c r="A92" s="1402" t="s">
        <v>1050</v>
      </c>
      <c r="B92" s="1402"/>
      <c r="C92" s="1402"/>
      <c r="D92" s="1402"/>
      <c r="E92" s="1402"/>
      <c r="F92" s="1402"/>
      <c r="G92" s="1402"/>
      <c r="H92" s="1402"/>
      <c r="I92" s="1402"/>
      <c r="J92" s="1402"/>
      <c r="K92" s="1402"/>
      <c r="L92" s="1402"/>
      <c r="M92" s="1402"/>
    </row>
    <row r="93" spans="1:14" s="5" customFormat="1" ht="12.75" customHeight="1" x14ac:dyDescent="0.25">
      <c r="A93" s="99" t="s">
        <v>1051</v>
      </c>
      <c r="B93" s="93"/>
      <c r="C93" s="96"/>
      <c r="D93" s="96"/>
      <c r="E93" s="96"/>
      <c r="F93" s="96"/>
      <c r="G93" s="96"/>
      <c r="H93" s="96"/>
      <c r="I93" s="96"/>
      <c r="J93" s="96"/>
      <c r="K93" s="96"/>
      <c r="L93" s="96"/>
      <c r="M93" s="96"/>
    </row>
    <row r="94" spans="1:14" s="5" customFormat="1" ht="27" customHeight="1" x14ac:dyDescent="0.25">
      <c r="A94" s="1402" t="s">
        <v>1052</v>
      </c>
      <c r="B94" s="1402"/>
      <c r="C94" s="1402"/>
      <c r="D94" s="1402"/>
      <c r="E94" s="1402"/>
      <c r="F94" s="1402"/>
      <c r="G94" s="1402"/>
      <c r="H94" s="1402"/>
      <c r="I94" s="1402"/>
      <c r="J94" s="1402"/>
      <c r="K94" s="1402"/>
      <c r="L94" s="1402"/>
      <c r="M94" s="1402"/>
    </row>
    <row r="95" spans="1:14" s="5" customFormat="1" ht="12.75" customHeight="1" x14ac:dyDescent="0.25">
      <c r="A95" s="99" t="s">
        <v>1017</v>
      </c>
      <c r="B95" s="93"/>
      <c r="C95" s="96"/>
      <c r="D95" s="96"/>
      <c r="E95" s="96"/>
      <c r="F95" s="96"/>
      <c r="G95" s="96"/>
      <c r="H95" s="96"/>
      <c r="I95" s="96"/>
      <c r="J95" s="96"/>
      <c r="K95" s="96"/>
      <c r="L95" s="96"/>
      <c r="M95" s="96"/>
    </row>
    <row r="96" spans="1:14" s="5" customFormat="1" ht="12.75" customHeight="1" x14ac:dyDescent="0.25">
      <c r="A96" s="1402" t="s">
        <v>1018</v>
      </c>
      <c r="B96" s="1402"/>
      <c r="C96" s="1402"/>
      <c r="D96" s="1402"/>
      <c r="E96" s="1402"/>
      <c r="F96" s="1402"/>
      <c r="G96" s="1402"/>
      <c r="H96" s="1402"/>
      <c r="I96" s="1402"/>
      <c r="J96" s="1402"/>
      <c r="K96" s="1402"/>
      <c r="L96" s="1402"/>
      <c r="M96" s="1402"/>
    </row>
    <row r="97" spans="1:8" ht="11.25" customHeight="1" x14ac:dyDescent="0.25">
      <c r="A97" s="828" t="s">
        <v>1093</v>
      </c>
      <c r="B97" s="225"/>
      <c r="C97" s="225"/>
      <c r="D97" s="225"/>
      <c r="E97" s="225"/>
      <c r="F97" s="225"/>
      <c r="G97" s="225"/>
      <c r="H97" s="225"/>
    </row>
    <row r="98" spans="1:8" ht="11.25" customHeight="1" x14ac:dyDescent="0.25">
      <c r="A98" s="828" t="s">
        <v>1139</v>
      </c>
      <c r="B98" s="225"/>
      <c r="C98" s="225"/>
      <c r="D98" s="225"/>
      <c r="E98" s="225"/>
      <c r="F98" s="225"/>
      <c r="G98" s="225"/>
      <c r="H98" s="225"/>
    </row>
    <row r="99" spans="1:8" ht="11.25" customHeight="1" x14ac:dyDescent="0.25">
      <c r="A99" s="828" t="s">
        <v>1140</v>
      </c>
      <c r="B99" s="225"/>
      <c r="C99" s="225"/>
      <c r="D99" s="225"/>
      <c r="E99" s="225"/>
      <c r="F99" s="225"/>
      <c r="G99" s="225"/>
      <c r="H99" s="225"/>
    </row>
    <row r="100" spans="1:8" ht="11.25" customHeight="1" x14ac:dyDescent="0.25">
      <c r="A100" s="225"/>
      <c r="B100" s="225"/>
      <c r="C100" s="225"/>
      <c r="D100" s="225"/>
      <c r="E100" s="225"/>
      <c r="F100" s="225"/>
      <c r="G100" s="225"/>
      <c r="H100" s="225"/>
    </row>
    <row r="101" spans="1:8" ht="11.25" customHeight="1" x14ac:dyDescent="0.25">
      <c r="B101" s="184"/>
    </row>
    <row r="102" spans="1:8" ht="11.25" customHeight="1" x14ac:dyDescent="0.25">
      <c r="B102" s="184"/>
    </row>
    <row r="103" spans="1:8" ht="11.25" customHeight="1" x14ac:dyDescent="0.25">
      <c r="B103" s="184"/>
    </row>
    <row r="104" spans="1:8" ht="11.25" customHeight="1" x14ac:dyDescent="0.25">
      <c r="B104" s="184"/>
    </row>
    <row r="105" spans="1:8" ht="11.25" customHeight="1" x14ac:dyDescent="0.25">
      <c r="B105" s="184"/>
    </row>
    <row r="106" spans="1:8" ht="11.25" customHeight="1" x14ac:dyDescent="0.25">
      <c r="B106" s="184"/>
    </row>
    <row r="107" spans="1:8" ht="11.25" customHeight="1" x14ac:dyDescent="0.25">
      <c r="B107" s="184"/>
    </row>
    <row r="108" spans="1:8" ht="11.25" customHeight="1" x14ac:dyDescent="0.25">
      <c r="B108" s="184"/>
    </row>
    <row r="109" spans="1:8" ht="11.25" customHeight="1" x14ac:dyDescent="0.25">
      <c r="B109" s="184"/>
    </row>
    <row r="110" spans="1:8" ht="11.25" customHeight="1" x14ac:dyDescent="0.25">
      <c r="B110" s="184"/>
    </row>
    <row r="111" spans="1:8" ht="11.25" customHeight="1" x14ac:dyDescent="0.25">
      <c r="B111" s="184"/>
    </row>
    <row r="112" spans="1:8" ht="11.25" customHeight="1" x14ac:dyDescent="0.25">
      <c r="B112" s="184"/>
    </row>
    <row r="113" spans="2:2" ht="11.25" customHeight="1" x14ac:dyDescent="0.25">
      <c r="B113" s="184"/>
    </row>
    <row r="114" spans="2:2" ht="11.25" customHeight="1" x14ac:dyDescent="0.25"/>
    <row r="115" spans="2:2" ht="11.25" customHeight="1" x14ac:dyDescent="0.25"/>
    <row r="116" spans="2:2" ht="11.25" customHeight="1" x14ac:dyDescent="0.25"/>
    <row r="117" spans="2:2" ht="11.25" customHeight="1" x14ac:dyDescent="0.25"/>
    <row r="118" spans="2:2" ht="11.25" customHeight="1" x14ac:dyDescent="0.25"/>
    <row r="119" spans="2:2" ht="11.25" customHeight="1" x14ac:dyDescent="0.25"/>
    <row r="120" spans="2:2" ht="11.25" customHeight="1" x14ac:dyDescent="0.25"/>
    <row r="121" spans="2:2" ht="11.25" customHeight="1" x14ac:dyDescent="0.25"/>
    <row r="122" spans="2:2" ht="11.25" customHeight="1" x14ac:dyDescent="0.25"/>
    <row r="123" spans="2:2" ht="11.25" customHeight="1" x14ac:dyDescent="0.25"/>
    <row r="124" spans="2:2" ht="11.25" customHeight="1" x14ac:dyDescent="0.25"/>
    <row r="125" spans="2:2" ht="11.25" customHeight="1" x14ac:dyDescent="0.25"/>
    <row r="126" spans="2:2" ht="11.25" customHeight="1" x14ac:dyDescent="0.25"/>
    <row r="127" spans="2:2" ht="11.25" customHeight="1" x14ac:dyDescent="0.25"/>
    <row r="128" spans="2:2" ht="11.25" customHeight="1" x14ac:dyDescent="0.25"/>
    <row r="129" ht="11.25" customHeight="1" x14ac:dyDescent="0.25"/>
    <row r="130" ht="11.25" customHeight="1" x14ac:dyDescent="0.25"/>
    <row r="131" ht="11.25" customHeight="1" x14ac:dyDescent="0.25"/>
    <row r="132" ht="11.25" customHeight="1" x14ac:dyDescent="0.25"/>
    <row r="133" ht="11.25" customHeight="1" x14ac:dyDescent="0.25"/>
    <row r="134" ht="11.25" customHeight="1" x14ac:dyDescent="0.25"/>
    <row r="135" ht="11.25" customHeight="1" x14ac:dyDescent="0.25"/>
  </sheetData>
  <sheetProtection password="C646" sheet="1" objects="1" scenarios="1"/>
  <mergeCells count="9">
    <mergeCell ref="A96:M96"/>
    <mergeCell ref="A94:M94"/>
    <mergeCell ref="A2:A5"/>
    <mergeCell ref="B2:B5"/>
    <mergeCell ref="C2:K2"/>
    <mergeCell ref="A90:M90"/>
    <mergeCell ref="A89:M89"/>
    <mergeCell ref="A91:M91"/>
    <mergeCell ref="A92:M92"/>
  </mergeCells>
  <phoneticPr fontId="4" type="noConversion"/>
  <printOptions horizontalCentered="1"/>
  <pageMargins left="0.35" right="0.16" top="0.79" bottom="0.59" header="0.51181102362204722" footer="0.51181102362204722"/>
  <pageSetup paperSize="9" scale="65"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1">
    <tabColor indexed="46"/>
  </sheetPr>
  <dimension ref="D2:Y38"/>
  <sheetViews>
    <sheetView showGridLines="0" topLeftCell="A16" zoomScaleNormal="100" workbookViewId="0">
      <selection activeCell="T23" sqref="T23"/>
    </sheetView>
  </sheetViews>
  <sheetFormatPr defaultRowHeight="12.75" x14ac:dyDescent="0.2"/>
  <cols>
    <col min="23" max="23" width="19.7109375" style="669" customWidth="1"/>
    <col min="24" max="25" width="9.140625" style="669" customWidth="1"/>
  </cols>
  <sheetData>
    <row r="2" spans="4:24" x14ac:dyDescent="0.2">
      <c r="D2">
        <v>2020</v>
      </c>
    </row>
    <row r="4" spans="4:24" x14ac:dyDescent="0.2">
      <c r="X4" s="696" t="s">
        <v>255</v>
      </c>
    </row>
    <row r="5" spans="4:24" x14ac:dyDescent="0.2">
      <c r="X5" s="696" t="s">
        <v>546</v>
      </c>
    </row>
    <row r="7" spans="4:24" x14ac:dyDescent="0.2">
      <c r="W7" s="696" t="s">
        <v>75</v>
      </c>
      <c r="X7" s="696" t="s">
        <v>74</v>
      </c>
    </row>
    <row r="8" spans="4:24" x14ac:dyDescent="0.2">
      <c r="X8" s="696" t="s">
        <v>76</v>
      </c>
    </row>
    <row r="10" spans="4:24" x14ac:dyDescent="0.2">
      <c r="W10" s="696" t="s">
        <v>24</v>
      </c>
      <c r="X10" s="672" t="s">
        <v>1813</v>
      </c>
    </row>
    <row r="19" spans="14:24" ht="15.75" x14ac:dyDescent="0.25">
      <c r="W19" s="696" t="s">
        <v>77</v>
      </c>
      <c r="X19" s="814">
        <v>2008</v>
      </c>
    </row>
    <row r="20" spans="14:24" ht="15.75" x14ac:dyDescent="0.25">
      <c r="X20" s="814">
        <v>2009</v>
      </c>
    </row>
    <row r="21" spans="14:24" ht="15.75" x14ac:dyDescent="0.25">
      <c r="N21" s="669"/>
      <c r="X21" s="814">
        <v>2010</v>
      </c>
    </row>
    <row r="22" spans="14:24" ht="15.75" x14ac:dyDescent="0.25">
      <c r="X22" s="814">
        <v>2011</v>
      </c>
    </row>
    <row r="23" spans="14:24" ht="15.75" x14ac:dyDescent="0.25">
      <c r="X23" s="814">
        <v>2012</v>
      </c>
    </row>
    <row r="24" spans="14:24" ht="15.75" x14ac:dyDescent="0.25">
      <c r="X24" s="814">
        <v>2013</v>
      </c>
    </row>
    <row r="25" spans="14:24" ht="15.75" x14ac:dyDescent="0.25">
      <c r="X25" s="814">
        <v>2014</v>
      </c>
    </row>
    <row r="26" spans="14:24" ht="15.75" x14ac:dyDescent="0.25">
      <c r="X26" s="814">
        <v>2015</v>
      </c>
    </row>
    <row r="27" spans="14:24" ht="15.75" x14ac:dyDescent="0.25">
      <c r="X27" s="814">
        <v>2016</v>
      </c>
    </row>
    <row r="28" spans="14:24" ht="15.75" x14ac:dyDescent="0.25">
      <c r="X28" s="814">
        <v>2017</v>
      </c>
    </row>
    <row r="29" spans="14:24" ht="15.75" x14ac:dyDescent="0.25">
      <c r="X29" s="814">
        <v>2018</v>
      </c>
    </row>
    <row r="30" spans="14:24" ht="15.75" x14ac:dyDescent="0.25">
      <c r="X30" s="814">
        <v>2019</v>
      </c>
    </row>
    <row r="31" spans="14:24" ht="15.75" x14ac:dyDescent="0.25">
      <c r="X31" s="814">
        <v>2020</v>
      </c>
    </row>
    <row r="32" spans="14:24" ht="15.75" x14ac:dyDescent="0.25">
      <c r="X32" s="814">
        <v>2021</v>
      </c>
    </row>
    <row r="33" spans="23:24" ht="15.75" x14ac:dyDescent="0.25">
      <c r="W33" s="696" t="s">
        <v>78</v>
      </c>
      <c r="X33" s="814">
        <v>2022</v>
      </c>
    </row>
    <row r="34" spans="23:24" x14ac:dyDescent="0.2">
      <c r="W34" s="696" t="s">
        <v>79</v>
      </c>
      <c r="X34" s="812"/>
    </row>
    <row r="35" spans="23:24" x14ac:dyDescent="0.2">
      <c r="X35" s="812">
        <v>13</v>
      </c>
    </row>
    <row r="36" spans="23:24" x14ac:dyDescent="0.2">
      <c r="W36" s="696" t="s">
        <v>80</v>
      </c>
      <c r="X36" s="813">
        <f>INDEX(X19:X33,X35,1)</f>
        <v>2020</v>
      </c>
    </row>
    <row r="38" spans="23:24" x14ac:dyDescent="0.2">
      <c r="X38" s="697" t="str">
        <f>MTREF&amp;"/"&amp;RIGHT(MTREF,2)+1</f>
        <v>2020/21</v>
      </c>
    </row>
  </sheetData>
  <sheetProtection sheet="1" objects="1" scenarios="1"/>
  <phoneticPr fontId="4" type="noConversion"/>
  <pageMargins left="0.75" right="0.75" top="1" bottom="1" header="0.5" footer="0.5"/>
  <pageSetup orientation="portrait" horizontalDpi="200" verticalDpi="200" r:id="rId1"/>
  <headerFooter alignWithMargins="0"/>
  <drawing r:id="rId2"/>
  <legacyDrawing r:id="rId3"/>
  <controls>
    <mc:AlternateContent xmlns:mc="http://schemas.openxmlformats.org/markup-compatibility/2006">
      <mc:Choice Requires="x14">
        <control shapeId="13342" r:id="rId4" name="DateOfAdjustment">
          <controlPr defaultSize="0" autoLine="0" linkedCell="Date" r:id="rId5">
            <anchor moveWithCells="1">
              <from>
                <xdr:col>5</xdr:col>
                <xdr:colOff>190500</xdr:colOff>
                <xdr:row>14</xdr:row>
                <xdr:rowOff>133350</xdr:rowOff>
              </from>
              <to>
                <xdr:col>7</xdr:col>
                <xdr:colOff>381000</xdr:colOff>
                <xdr:row>16</xdr:row>
                <xdr:rowOff>66675</xdr:rowOff>
              </to>
            </anchor>
          </controlPr>
        </control>
      </mc:Choice>
      <mc:Fallback>
        <control shapeId="13342" r:id="rId4" name="DateOfAdjustment"/>
      </mc:Fallback>
    </mc:AlternateContent>
    <mc:AlternateContent xmlns:mc="http://schemas.openxmlformats.org/markup-compatibility/2006">
      <mc:Choice Requires="x14">
        <control shapeId="13340" r:id="rId6" name="ToggleHiddenColumns">
          <controlPr defaultSize="0" autoLine="0" r:id="rId7">
            <anchor moveWithCells="1">
              <from>
                <xdr:col>1</xdr:col>
                <xdr:colOff>76200</xdr:colOff>
                <xdr:row>42</xdr:row>
                <xdr:rowOff>95250</xdr:rowOff>
              </from>
              <to>
                <xdr:col>5</xdr:col>
                <xdr:colOff>57150</xdr:colOff>
                <xdr:row>44</xdr:row>
                <xdr:rowOff>85725</xdr:rowOff>
              </to>
            </anchor>
          </controlPr>
        </control>
      </mc:Choice>
      <mc:Fallback>
        <control shapeId="13340" r:id="rId6" name="ToggleHiddenColumns"/>
      </mc:Fallback>
    </mc:AlternateContent>
    <mc:AlternateContent xmlns:mc="http://schemas.openxmlformats.org/markup-compatibility/2006">
      <mc:Choice Requires="x14">
        <control shapeId="13339" r:id="rId8" name="TogglePreAuditColums">
          <controlPr defaultSize="0" autoLine="0" r:id="rId9">
            <anchor moveWithCells="1">
              <from>
                <xdr:col>1</xdr:col>
                <xdr:colOff>76200</xdr:colOff>
                <xdr:row>37</xdr:row>
                <xdr:rowOff>28575</xdr:rowOff>
              </from>
              <to>
                <xdr:col>5</xdr:col>
                <xdr:colOff>57150</xdr:colOff>
                <xdr:row>39</xdr:row>
                <xdr:rowOff>28575</xdr:rowOff>
              </to>
            </anchor>
          </controlPr>
        </control>
      </mc:Choice>
      <mc:Fallback>
        <control shapeId="13339" r:id="rId8" name="TogglePreAuditColums"/>
      </mc:Fallback>
    </mc:AlternateContent>
    <mc:AlternateContent xmlns:mc="http://schemas.openxmlformats.org/markup-compatibility/2006">
      <mc:Choice Requires="x14">
        <control shapeId="13338" r:id="rId10" name="ToggleReferenceColumns">
          <controlPr defaultSize="0" autoLine="0" r:id="rId11">
            <anchor moveWithCells="1">
              <from>
                <xdr:col>1</xdr:col>
                <xdr:colOff>76200</xdr:colOff>
                <xdr:row>34</xdr:row>
                <xdr:rowOff>95250</xdr:rowOff>
              </from>
              <to>
                <xdr:col>5</xdr:col>
                <xdr:colOff>57150</xdr:colOff>
                <xdr:row>36</xdr:row>
                <xdr:rowOff>85725</xdr:rowOff>
              </to>
            </anchor>
          </controlPr>
        </control>
      </mc:Choice>
      <mc:Fallback>
        <control shapeId="13338" r:id="rId10" name="ToggleReferenceColumns"/>
      </mc:Fallback>
    </mc:AlternateContent>
    <mc:AlternateContent xmlns:mc="http://schemas.openxmlformats.org/markup-compatibility/2006">
      <mc:Choice Requires="x14">
        <control shapeId="13337" r:id="rId12" name="TextBox6">
          <controlPr defaultSize="0" autoLine="0" linkedCell="Contacts!#REF!" r:id="rId13">
            <anchor moveWithCells="1">
              <from>
                <xdr:col>9</xdr:col>
                <xdr:colOff>57150</xdr:colOff>
                <xdr:row>9</xdr:row>
                <xdr:rowOff>142875</xdr:rowOff>
              </from>
              <to>
                <xdr:col>11</xdr:col>
                <xdr:colOff>276225</xdr:colOff>
                <xdr:row>11</xdr:row>
                <xdr:rowOff>76200</xdr:rowOff>
              </to>
            </anchor>
          </controlPr>
        </control>
      </mc:Choice>
      <mc:Fallback>
        <control shapeId="13337" r:id="rId12" name="TextBox6"/>
      </mc:Fallback>
    </mc:AlternateContent>
    <mc:AlternateContent xmlns:mc="http://schemas.openxmlformats.org/markup-compatibility/2006">
      <mc:Choice Requires="x14">
        <control shapeId="13336" r:id="rId14" name="TextBox5">
          <controlPr defaultSize="0" autoLine="0" linkedCell="Contacts!#REF!" r:id="rId15">
            <anchor moveWithCells="1">
              <from>
                <xdr:col>5</xdr:col>
                <xdr:colOff>190500</xdr:colOff>
                <xdr:row>12</xdr:row>
                <xdr:rowOff>28575</xdr:rowOff>
              </from>
              <to>
                <xdr:col>11</xdr:col>
                <xdr:colOff>276225</xdr:colOff>
                <xdr:row>13</xdr:row>
                <xdr:rowOff>123825</xdr:rowOff>
              </to>
            </anchor>
          </controlPr>
        </control>
      </mc:Choice>
      <mc:Fallback>
        <control shapeId="13336" r:id="rId14" name="TextBox5"/>
      </mc:Fallback>
    </mc:AlternateContent>
    <mc:AlternateContent xmlns:mc="http://schemas.openxmlformats.org/markup-compatibility/2006">
      <mc:Choice Requires="x14">
        <control shapeId="13335" r:id="rId16" name="TextBox4">
          <controlPr defaultSize="0" autoLine="0" linkedCell="Contacts!#REF!" r:id="rId17">
            <anchor moveWithCells="1">
              <from>
                <xdr:col>5</xdr:col>
                <xdr:colOff>190500</xdr:colOff>
                <xdr:row>9</xdr:row>
                <xdr:rowOff>123825</xdr:rowOff>
              </from>
              <to>
                <xdr:col>7</xdr:col>
                <xdr:colOff>533400</xdr:colOff>
                <xdr:row>11</xdr:row>
                <xdr:rowOff>57150</xdr:rowOff>
              </to>
            </anchor>
          </controlPr>
        </control>
      </mc:Choice>
      <mc:Fallback>
        <control shapeId="13335" r:id="rId16" name="TextBox4"/>
      </mc:Fallback>
    </mc:AlternateContent>
    <mc:AlternateContent xmlns:mc="http://schemas.openxmlformats.org/markup-compatibility/2006">
      <mc:Choice Requires="x14">
        <control shapeId="13334" r:id="rId18" name="TextBox3">
          <controlPr defaultSize="0" autoLine="0" linkedCell="Contacts!#REF!" r:id="rId19">
            <anchor moveWithCells="1">
              <from>
                <xdr:col>5</xdr:col>
                <xdr:colOff>190500</xdr:colOff>
                <xdr:row>7</xdr:row>
                <xdr:rowOff>47625</xdr:rowOff>
              </from>
              <to>
                <xdr:col>11</xdr:col>
                <xdr:colOff>276225</xdr:colOff>
                <xdr:row>8</xdr:row>
                <xdr:rowOff>142875</xdr:rowOff>
              </to>
            </anchor>
          </controlPr>
        </control>
      </mc:Choice>
      <mc:Fallback>
        <control shapeId="13334" r:id="rId18" name="TextBox3"/>
      </mc:Fallback>
    </mc:AlternateContent>
    <mc:AlternateContent xmlns:mc="http://schemas.openxmlformats.org/markup-compatibility/2006">
      <mc:Choice Requires="x14">
        <control shapeId="13330" r:id="rId20" name="Drop Down 18">
          <controlPr defaultSize="0" autoLine="0" autoPict="0">
            <anchor moveWithCells="1">
              <from>
                <xdr:col>5</xdr:col>
                <xdr:colOff>190500</xdr:colOff>
                <xdr:row>20</xdr:row>
                <xdr:rowOff>28575</xdr:rowOff>
              </from>
              <to>
                <xdr:col>6</xdr:col>
                <xdr:colOff>466725</xdr:colOff>
                <xdr:row>21</xdr:row>
                <xdr:rowOff>85725</xdr:rowOff>
              </to>
            </anchor>
          </controlPr>
        </control>
      </mc:Choice>
    </mc:AlternateContent>
    <mc:AlternateContent xmlns:mc="http://schemas.openxmlformats.org/markup-compatibility/2006">
      <mc:Choice Requires="x14">
        <control shapeId="13331" r:id="rId21" name="Drop Down 19">
          <controlPr defaultSize="0" autoLine="0" autoPict="0">
            <anchor moveWithCells="1">
              <from>
                <xdr:col>5</xdr:col>
                <xdr:colOff>190500</xdr:colOff>
                <xdr:row>22</xdr:row>
                <xdr:rowOff>114300</xdr:rowOff>
              </from>
              <to>
                <xdr:col>7</xdr:col>
                <xdr:colOff>571500</xdr:colOff>
                <xdr:row>23</xdr:row>
                <xdr:rowOff>171450</xdr:rowOff>
              </to>
            </anchor>
          </controlPr>
        </control>
      </mc:Choice>
    </mc:AlternateContent>
    <mc:AlternateContent xmlns:mc="http://schemas.openxmlformats.org/markup-compatibility/2006">
      <mc:Choice Requires="x14">
        <control shapeId="13332" r:id="rId22" name="Drop Down 20">
          <controlPr defaultSize="0" autoLine="0" autoPict="0">
            <anchor moveWithCells="1">
              <from>
                <xdr:col>5</xdr:col>
                <xdr:colOff>190500</xdr:colOff>
                <xdr:row>17</xdr:row>
                <xdr:rowOff>57150</xdr:rowOff>
              </from>
              <to>
                <xdr:col>7</xdr:col>
                <xdr:colOff>209550</xdr:colOff>
                <xdr:row>18</xdr:row>
                <xdr:rowOff>152400</xdr:rowOff>
              </to>
            </anchor>
          </controlPr>
        </control>
      </mc:Choice>
    </mc:AlternateContent>
    <mc:AlternateContent xmlns:mc="http://schemas.openxmlformats.org/markup-compatibility/2006">
      <mc:Choice Requires="x14">
        <control shapeId="13349" r:id="rId23" name="Drop Down 37">
          <controlPr defaultSize="0" autoLine="0" autoPict="0">
            <anchor moveWithCells="1">
              <from>
                <xdr:col>5</xdr:col>
                <xdr:colOff>190500</xdr:colOff>
                <xdr:row>4</xdr:row>
                <xdr:rowOff>104775</xdr:rowOff>
              </from>
              <to>
                <xdr:col>11</xdr:col>
                <xdr:colOff>266700</xdr:colOff>
                <xdr:row>6</xdr:row>
                <xdr:rowOff>28575</xdr:rowOff>
              </to>
            </anchor>
          </controlPr>
        </control>
      </mc:Choice>
    </mc:AlternateContent>
  </control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1">
    <tabColor indexed="42"/>
    <pageSetUpPr fitToPage="1"/>
  </sheetPr>
  <dimension ref="A1:N281"/>
  <sheetViews>
    <sheetView showGridLines="0" zoomScaleNormal="100" workbookViewId="0">
      <pane xSplit="2" ySplit="5" topLeftCell="C6" activePane="bottomRight" state="frozen"/>
      <selection activeCell="C6" sqref="C6"/>
      <selection pane="topRight" activeCell="C6" sqref="C6"/>
      <selection pane="bottomLeft" activeCell="C6" sqref="C6"/>
      <selection pane="bottomRight" activeCell="M165" sqref="C8:M165"/>
    </sheetView>
  </sheetViews>
  <sheetFormatPr defaultColWidth="9.140625" defaultRowHeight="12.75" x14ac:dyDescent="0.25"/>
  <cols>
    <col min="1" max="1" width="34.140625" style="5" bestFit="1" customWidth="1"/>
    <col min="2" max="2" width="3.140625" style="58" customWidth="1"/>
    <col min="3" max="13" width="8.7109375" style="5" customWidth="1"/>
    <col min="14" max="14" width="9.85546875" style="5" customWidth="1"/>
    <col min="15" max="15" width="9.5703125" style="5" customWidth="1"/>
    <col min="16" max="16" width="9.85546875" style="5" customWidth="1"/>
    <col min="17" max="19" width="9.5703125" style="5" customWidth="1"/>
    <col min="20" max="20" width="9.85546875" style="5" customWidth="1"/>
    <col min="21" max="23" width="9.5703125" style="5" customWidth="1"/>
    <col min="24" max="25" width="9.85546875" style="5" customWidth="1"/>
    <col min="26" max="16384" width="9.140625" style="5"/>
  </cols>
  <sheetData>
    <row r="1" spans="1:14" ht="13.5" x14ac:dyDescent="0.25">
      <c r="A1" s="57" t="str">
        <f>muni&amp;" - "&amp;ADJB1&amp;" - "&amp;Date</f>
        <v>LIM354 Polokwane - Supporting Table SB1 Supporting detail to 'Budgeted Financial Performance' - 2020</v>
      </c>
      <c r="B1" s="5"/>
      <c r="C1" s="58"/>
    </row>
    <row r="2" spans="1:14" ht="31.5" customHeight="1" x14ac:dyDescent="0.25">
      <c r="A2" s="1409" t="str">
        <f>desc</f>
        <v>Description</v>
      </c>
      <c r="B2" s="1439" t="str">
        <f>head27</f>
        <v>Ref</v>
      </c>
      <c r="C2" s="1404" t="str">
        <f>Head2</f>
        <v>Budget Year 2020/21</v>
      </c>
      <c r="D2" s="1404"/>
      <c r="E2" s="1404"/>
      <c r="F2" s="1404"/>
      <c r="G2" s="1404"/>
      <c r="H2" s="1404"/>
      <c r="I2" s="1404"/>
      <c r="J2" s="1404"/>
      <c r="K2" s="1404"/>
      <c r="L2" s="103" t="str">
        <f>Head10</f>
        <v>Budget Year +1 2021/22</v>
      </c>
      <c r="M2" s="61" t="str">
        <f>Head11</f>
        <v>Budget Year +2 2022/23</v>
      </c>
    </row>
    <row r="3" spans="1:14" ht="25.5" x14ac:dyDescent="0.25">
      <c r="A3" s="1410"/>
      <c r="B3" s="1440"/>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x14ac:dyDescent="0.25">
      <c r="A4" s="1410"/>
      <c r="B4" s="1440"/>
      <c r="C4" s="65"/>
      <c r="D4" s="15">
        <v>6</v>
      </c>
      <c r="E4" s="15">
        <v>7</v>
      </c>
      <c r="F4" s="15">
        <v>8</v>
      </c>
      <c r="G4" s="15">
        <v>9</v>
      </c>
      <c r="H4" s="15">
        <v>10</v>
      </c>
      <c r="I4" s="15">
        <v>11</v>
      </c>
      <c r="J4" s="15">
        <v>12</v>
      </c>
      <c r="K4" s="15">
        <v>13</v>
      </c>
      <c r="L4" s="15"/>
      <c r="M4" s="17"/>
    </row>
    <row r="5" spans="1:14" x14ac:dyDescent="0.25">
      <c r="A5" s="66" t="s">
        <v>603</v>
      </c>
      <c r="B5" s="69"/>
      <c r="C5" s="67" t="s">
        <v>547</v>
      </c>
      <c r="D5" s="68" t="s">
        <v>548</v>
      </c>
      <c r="E5" s="68" t="s">
        <v>549</v>
      </c>
      <c r="F5" s="69" t="s">
        <v>550</v>
      </c>
      <c r="G5" s="69" t="s">
        <v>551</v>
      </c>
      <c r="H5" s="69" t="s">
        <v>552</v>
      </c>
      <c r="I5" s="70" t="s">
        <v>553</v>
      </c>
      <c r="J5" s="70" t="s">
        <v>554</v>
      </c>
      <c r="K5" s="70" t="s">
        <v>555</v>
      </c>
      <c r="L5" s="70"/>
      <c r="M5" s="71"/>
    </row>
    <row r="6" spans="1:14" ht="12.75" customHeight="1" x14ac:dyDescent="0.25">
      <c r="A6" s="126" t="s">
        <v>1141</v>
      </c>
      <c r="B6" s="288"/>
      <c r="C6" s="74"/>
      <c r="D6" s="75"/>
      <c r="E6" s="75"/>
      <c r="F6" s="75"/>
      <c r="G6" s="75"/>
      <c r="H6" s="75"/>
      <c r="I6" s="75"/>
      <c r="J6" s="75"/>
      <c r="K6" s="75"/>
      <c r="L6" s="75"/>
      <c r="M6" s="76"/>
    </row>
    <row r="7" spans="1:14" ht="12.75" customHeight="1" x14ac:dyDescent="0.25">
      <c r="A7" s="52" t="s">
        <v>557</v>
      </c>
      <c r="B7" s="288"/>
      <c r="C7" s="74"/>
      <c r="D7" s="75"/>
      <c r="E7" s="75"/>
      <c r="F7" s="75"/>
      <c r="G7" s="75"/>
      <c r="H7" s="75"/>
      <c r="I7" s="75"/>
      <c r="J7" s="75"/>
      <c r="K7" s="75"/>
      <c r="L7" s="75"/>
      <c r="M7" s="76"/>
      <c r="N7" s="128"/>
    </row>
    <row r="8" spans="1:14" ht="12.75" customHeight="1" x14ac:dyDescent="0.25">
      <c r="A8" s="55" t="s">
        <v>1142</v>
      </c>
      <c r="B8" s="288"/>
      <c r="C8" s="130">
        <v>588823171</v>
      </c>
      <c r="D8" s="109">
        <v>588823171</v>
      </c>
      <c r="E8" s="109">
        <v>0</v>
      </c>
      <c r="F8" s="109">
        <v>0</v>
      </c>
      <c r="G8" s="109">
        <v>0</v>
      </c>
      <c r="H8" s="109">
        <v>0</v>
      </c>
      <c r="I8" s="109">
        <v>0</v>
      </c>
      <c r="J8" s="132">
        <f>SUM(E8:I8)</f>
        <v>0</v>
      </c>
      <c r="K8" s="132">
        <f>IF(D8=0,C8+J8,D8+J8)</f>
        <v>588823171</v>
      </c>
      <c r="L8" s="109">
        <v>617086683.24992013</v>
      </c>
      <c r="M8" s="110">
        <v>646706844.04591632</v>
      </c>
      <c r="N8" s="128"/>
    </row>
    <row r="9" spans="1:14" ht="31.9" customHeight="1" x14ac:dyDescent="0.25">
      <c r="A9" s="1266" t="s">
        <v>1704</v>
      </c>
      <c r="B9" s="288"/>
      <c r="C9" s="130">
        <v>62666372</v>
      </c>
      <c r="D9" s="109">
        <v>62666372</v>
      </c>
      <c r="E9" s="109">
        <v>0</v>
      </c>
      <c r="F9" s="109">
        <v>0</v>
      </c>
      <c r="G9" s="109">
        <v>0</v>
      </c>
      <c r="H9" s="109">
        <v>0</v>
      </c>
      <c r="I9" s="109">
        <v>0</v>
      </c>
      <c r="J9" s="132">
        <f>SUM(E9:I9)</f>
        <v>0</v>
      </c>
      <c r="K9" s="132">
        <f>IF(D9=0,C9+J9,D9+J9)</f>
        <v>62666372</v>
      </c>
      <c r="L9" s="109">
        <v>65674356.849920012</v>
      </c>
      <c r="M9" s="110">
        <v>68826725.97871618</v>
      </c>
      <c r="N9" s="128"/>
    </row>
    <row r="10" spans="1:14" ht="12.75" customHeight="1" x14ac:dyDescent="0.25">
      <c r="A10" s="165" t="s">
        <v>1143</v>
      </c>
      <c r="B10" s="288"/>
      <c r="C10" s="1286">
        <f>C8-C9</f>
        <v>526156799</v>
      </c>
      <c r="D10" s="707">
        <f t="shared" ref="D10:M10" si="0">D8-D9</f>
        <v>526156799</v>
      </c>
      <c r="E10" s="707">
        <f t="shared" si="0"/>
        <v>0</v>
      </c>
      <c r="F10" s="707">
        <f t="shared" si="0"/>
        <v>0</v>
      </c>
      <c r="G10" s="707">
        <f t="shared" si="0"/>
        <v>0</v>
      </c>
      <c r="H10" s="707">
        <f t="shared" si="0"/>
        <v>0</v>
      </c>
      <c r="I10" s="707">
        <f t="shared" si="0"/>
        <v>0</v>
      </c>
      <c r="J10" s="707">
        <f t="shared" si="0"/>
        <v>0</v>
      </c>
      <c r="K10" s="707">
        <f t="shared" si="0"/>
        <v>526156799</v>
      </c>
      <c r="L10" s="707">
        <f t="shared" si="0"/>
        <v>551412326.4000001</v>
      </c>
      <c r="M10" s="709">
        <f t="shared" si="0"/>
        <v>577880118.06720018</v>
      </c>
      <c r="N10" s="128"/>
    </row>
    <row r="11" spans="1:14" ht="4.5" customHeight="1" x14ac:dyDescent="0.25">
      <c r="A11" s="30"/>
      <c r="B11" s="288"/>
      <c r="C11" s="74"/>
      <c r="D11" s="75"/>
      <c r="E11" s="75"/>
      <c r="F11" s="75"/>
      <c r="G11" s="75"/>
      <c r="H11" s="75"/>
      <c r="I11" s="75"/>
      <c r="J11" s="171"/>
      <c r="K11" s="171"/>
      <c r="L11" s="75"/>
      <c r="M11" s="76"/>
      <c r="N11" s="128"/>
    </row>
    <row r="12" spans="1:14" ht="12.75" customHeight="1" x14ac:dyDescent="0.25">
      <c r="A12" s="52" t="s">
        <v>639</v>
      </c>
      <c r="B12" s="288"/>
      <c r="C12" s="74"/>
      <c r="D12" s="75"/>
      <c r="E12" s="75"/>
      <c r="F12" s="75"/>
      <c r="G12" s="75"/>
      <c r="H12" s="75"/>
      <c r="I12" s="75"/>
      <c r="J12" s="171"/>
      <c r="K12" s="171"/>
      <c r="L12" s="75"/>
      <c r="M12" s="76"/>
      <c r="N12" s="128"/>
    </row>
    <row r="13" spans="1:14" ht="12.75" customHeight="1" x14ac:dyDescent="0.25">
      <c r="A13" s="55" t="s">
        <v>1144</v>
      </c>
      <c r="B13" s="288"/>
      <c r="C13" s="130">
        <v>1279165542</v>
      </c>
      <c r="D13" s="109">
        <v>1279165542</v>
      </c>
      <c r="E13" s="109">
        <v>0</v>
      </c>
      <c r="F13" s="109">
        <v>0</v>
      </c>
      <c r="G13" s="109">
        <v>0</v>
      </c>
      <c r="H13" s="109">
        <v>0</v>
      </c>
      <c r="I13" s="109">
        <v>0</v>
      </c>
      <c r="J13" s="132">
        <f>SUM(E13:I13)</f>
        <v>0</v>
      </c>
      <c r="K13" s="132">
        <f>IF(D13=0,C13+J13,D13+J13)</f>
        <v>1279165542</v>
      </c>
      <c r="L13" s="109">
        <v>1419873752.0862002</v>
      </c>
      <c r="M13" s="110">
        <v>1576059864.8156824</v>
      </c>
      <c r="N13" s="128"/>
    </row>
    <row r="14" spans="1:14" ht="21" customHeight="1" x14ac:dyDescent="0.25">
      <c r="A14" s="1266" t="s">
        <v>1705</v>
      </c>
      <c r="B14" s="288"/>
      <c r="C14" s="130">
        <v>10949040.000000002</v>
      </c>
      <c r="D14" s="109">
        <v>10949040.000000002</v>
      </c>
      <c r="E14" s="109">
        <v>0</v>
      </c>
      <c r="F14" s="109">
        <v>0</v>
      </c>
      <c r="G14" s="109">
        <v>0</v>
      </c>
      <c r="H14" s="109">
        <v>0</v>
      </c>
      <c r="I14" s="109">
        <v>0</v>
      </c>
      <c r="J14" s="132">
        <f>SUM(E14:I14)</f>
        <v>0</v>
      </c>
      <c r="K14" s="132">
        <f>IF(D14=0,C14+J14,D14+J14)</f>
        <v>10949040.000000002</v>
      </c>
      <c r="L14" s="109">
        <v>12153434.400000002</v>
      </c>
      <c r="M14" s="110">
        <v>13490312.184000004</v>
      </c>
      <c r="N14" s="128"/>
    </row>
    <row r="15" spans="1:14" s="128" customFormat="1" ht="22.9" customHeight="1" x14ac:dyDescent="0.25">
      <c r="A15" s="1271" t="s">
        <v>1706</v>
      </c>
      <c r="B15" s="837"/>
      <c r="C15" s="131">
        <f>'SB5'!E250</f>
        <v>33637440</v>
      </c>
      <c r="D15" s="131">
        <f>'SB5'!F250</f>
        <v>33637440</v>
      </c>
      <c r="E15" s="131">
        <f>'SB5'!G250</f>
        <v>0</v>
      </c>
      <c r="F15" s="131">
        <f>'SB5'!H250</f>
        <v>0</v>
      </c>
      <c r="G15" s="131">
        <f>'SB5'!I250</f>
        <v>0</v>
      </c>
      <c r="H15" s="131">
        <f>'SB5'!J250</f>
        <v>0</v>
      </c>
      <c r="I15" s="131">
        <f>'SB5'!K250</f>
        <v>0</v>
      </c>
      <c r="J15" s="132">
        <f>SUM(E15:I15)</f>
        <v>0</v>
      </c>
      <c r="K15" s="132">
        <f>IF(D15=0,C15+J15,D15+J15)</f>
        <v>33637440</v>
      </c>
      <c r="L15" s="131">
        <f>'SB5'!N250</f>
        <v>37337558.400000006</v>
      </c>
      <c r="M15" s="133">
        <f>'SB5'!O250</f>
        <v>41444689.824000008</v>
      </c>
    </row>
    <row r="16" spans="1:14" ht="12.75" customHeight="1" x14ac:dyDescent="0.25">
      <c r="A16" s="165" t="s">
        <v>1145</v>
      </c>
      <c r="B16" s="288"/>
      <c r="C16" s="1286">
        <f>C13-C14-C15</f>
        <v>1234579062</v>
      </c>
      <c r="D16" s="707">
        <f t="shared" ref="D16:M16" si="1">D13-D14-D15</f>
        <v>1234579062</v>
      </c>
      <c r="E16" s="707">
        <f t="shared" si="1"/>
        <v>0</v>
      </c>
      <c r="F16" s="707">
        <f t="shared" si="1"/>
        <v>0</v>
      </c>
      <c r="G16" s="707">
        <f t="shared" si="1"/>
        <v>0</v>
      </c>
      <c r="H16" s="707">
        <f t="shared" si="1"/>
        <v>0</v>
      </c>
      <c r="I16" s="707">
        <f t="shared" si="1"/>
        <v>0</v>
      </c>
      <c r="J16" s="707">
        <f t="shared" si="1"/>
        <v>0</v>
      </c>
      <c r="K16" s="707">
        <f t="shared" si="1"/>
        <v>1234579062</v>
      </c>
      <c r="L16" s="707">
        <f t="shared" si="1"/>
        <v>1370382759.2862</v>
      </c>
      <c r="M16" s="709">
        <f t="shared" si="1"/>
        <v>1521124862.8076823</v>
      </c>
      <c r="N16" s="128"/>
    </row>
    <row r="17" spans="1:14" ht="5.25" customHeight="1" x14ac:dyDescent="0.25">
      <c r="B17" s="288"/>
      <c r="C17" s="74"/>
      <c r="D17" s="75"/>
      <c r="E17" s="75"/>
      <c r="F17" s="75"/>
      <c r="G17" s="75"/>
      <c r="H17" s="75"/>
      <c r="I17" s="75"/>
      <c r="J17" s="171"/>
      <c r="K17" s="171"/>
      <c r="L17" s="75"/>
      <c r="M17" s="76"/>
      <c r="N17" s="128"/>
    </row>
    <row r="18" spans="1:14" ht="12.75" customHeight="1" x14ac:dyDescent="0.25">
      <c r="A18" s="289" t="s">
        <v>640</v>
      </c>
      <c r="B18" s="288"/>
      <c r="C18" s="74"/>
      <c r="D18" s="75"/>
      <c r="E18" s="75"/>
      <c r="F18" s="75"/>
      <c r="G18" s="75"/>
      <c r="H18" s="75"/>
      <c r="I18" s="75"/>
      <c r="J18" s="171"/>
      <c r="K18" s="171"/>
      <c r="L18" s="75"/>
      <c r="M18" s="76"/>
      <c r="N18" s="128"/>
    </row>
    <row r="19" spans="1:14" ht="12.75" customHeight="1" x14ac:dyDescent="0.25">
      <c r="A19" s="1274" t="s">
        <v>1146</v>
      </c>
      <c r="B19" s="288"/>
      <c r="C19" s="130">
        <v>333716108</v>
      </c>
      <c r="D19" s="109">
        <v>333716108</v>
      </c>
      <c r="E19" s="109">
        <v>0</v>
      </c>
      <c r="F19" s="109">
        <v>0</v>
      </c>
      <c r="G19" s="109">
        <v>0</v>
      </c>
      <c r="H19" s="109">
        <v>0</v>
      </c>
      <c r="I19" s="109">
        <v>-43000000</v>
      </c>
      <c r="J19" s="132">
        <f>SUM(E19:I19)</f>
        <v>-43000000</v>
      </c>
      <c r="K19" s="132">
        <f>IF(D19=0,C19+J19,D19+J19)</f>
        <v>290716108</v>
      </c>
      <c r="L19" s="109">
        <v>349734480.4421863</v>
      </c>
      <c r="M19" s="110">
        <v>366521735.50341123</v>
      </c>
      <c r="N19" s="128"/>
    </row>
    <row r="20" spans="1:14" ht="38.25" x14ac:dyDescent="0.25">
      <c r="A20" s="1274" t="s">
        <v>1707</v>
      </c>
      <c r="B20" s="288"/>
      <c r="C20" s="130">
        <v>18586657</v>
      </c>
      <c r="D20" s="109">
        <v>18586657</v>
      </c>
      <c r="E20" s="109">
        <v>0</v>
      </c>
      <c r="F20" s="109">
        <v>0</v>
      </c>
      <c r="G20" s="109">
        <v>0</v>
      </c>
      <c r="H20" s="109">
        <v>0</v>
      </c>
      <c r="I20" s="109">
        <v>0</v>
      </c>
      <c r="J20" s="132">
        <f>SUM(E20:I20)</f>
        <v>0</v>
      </c>
      <c r="K20" s="132">
        <f>IF(D20=0,C20+J20,D20+J20)</f>
        <v>18586657</v>
      </c>
      <c r="L20" s="109">
        <v>19478816.793893125</v>
      </c>
      <c r="M20" s="110">
        <v>20413799.999999996</v>
      </c>
      <c r="N20" s="128"/>
    </row>
    <row r="21" spans="1:14" s="128" customFormat="1" ht="25.5" x14ac:dyDescent="0.25">
      <c r="A21" s="1275" t="s">
        <v>1708</v>
      </c>
      <c r="B21" s="837"/>
      <c r="C21" s="131">
        <f>'SB5'!E262</f>
        <v>18586657</v>
      </c>
      <c r="D21" s="131">
        <f>'SB5'!F262</f>
        <v>18586657</v>
      </c>
      <c r="E21" s="131">
        <f>'SB5'!G262</f>
        <v>0</v>
      </c>
      <c r="F21" s="131">
        <f>'SB5'!H262</f>
        <v>0</v>
      </c>
      <c r="G21" s="131">
        <f>'SB5'!I262</f>
        <v>0</v>
      </c>
      <c r="H21" s="131">
        <f>'SB5'!J262</f>
        <v>0</v>
      </c>
      <c r="I21" s="131">
        <f>'SB5'!K262</f>
        <v>0</v>
      </c>
      <c r="J21" s="132">
        <f>SUM(E21:I21)</f>
        <v>0</v>
      </c>
      <c r="K21" s="132">
        <f>IF(D21=0,C21+J21,D21+J21)</f>
        <v>18586657</v>
      </c>
      <c r="L21" s="132">
        <f>'SB5'!N262</f>
        <v>19478816.793893125</v>
      </c>
      <c r="M21" s="133">
        <f>'SB5'!O262</f>
        <v>20413799.999999996</v>
      </c>
    </row>
    <row r="22" spans="1:14" ht="12.75" customHeight="1" x14ac:dyDescent="0.25">
      <c r="A22" s="1276" t="s">
        <v>1147</v>
      </c>
      <c r="B22" s="288"/>
      <c r="C22" s="1286">
        <f>C19-C20-C21</f>
        <v>296542794</v>
      </c>
      <c r="D22" s="1286">
        <f t="shared" ref="D22:M22" si="2">D19-D20-D21</f>
        <v>296542794</v>
      </c>
      <c r="E22" s="1286">
        <f t="shared" si="2"/>
        <v>0</v>
      </c>
      <c r="F22" s="1286">
        <f t="shared" si="2"/>
        <v>0</v>
      </c>
      <c r="G22" s="1286">
        <f t="shared" si="2"/>
        <v>0</v>
      </c>
      <c r="H22" s="1286">
        <f t="shared" si="2"/>
        <v>0</v>
      </c>
      <c r="I22" s="1286">
        <f t="shared" si="2"/>
        <v>-43000000</v>
      </c>
      <c r="J22" s="1286">
        <f>J19-J20-J21</f>
        <v>-43000000</v>
      </c>
      <c r="K22" s="1286">
        <f t="shared" si="2"/>
        <v>253542794</v>
      </c>
      <c r="L22" s="1286">
        <f t="shared" si="2"/>
        <v>310776846.8544001</v>
      </c>
      <c r="M22" s="709">
        <f t="shared" si="2"/>
        <v>325694135.50341123</v>
      </c>
      <c r="N22" s="128"/>
    </row>
    <row r="23" spans="1:14" ht="3.75" customHeight="1" x14ac:dyDescent="0.25">
      <c r="A23" s="165"/>
      <c r="B23" s="288"/>
      <c r="C23" s="74"/>
      <c r="D23" s="75"/>
      <c r="E23" s="75"/>
      <c r="F23" s="75"/>
      <c r="G23" s="75"/>
      <c r="H23" s="75"/>
      <c r="I23" s="75"/>
      <c r="J23" s="171"/>
      <c r="K23" s="171"/>
      <c r="L23" s="75"/>
      <c r="M23" s="76"/>
      <c r="N23" s="128"/>
    </row>
    <row r="24" spans="1:14" ht="12.75" customHeight="1" x14ac:dyDescent="0.25">
      <c r="A24" s="289" t="s">
        <v>641</v>
      </c>
      <c r="B24" s="288"/>
      <c r="C24" s="74"/>
      <c r="D24" s="75"/>
      <c r="E24" s="75"/>
      <c r="F24" s="75"/>
      <c r="G24" s="75"/>
      <c r="H24" s="75"/>
      <c r="I24" s="75"/>
      <c r="J24" s="171"/>
      <c r="K24" s="171"/>
      <c r="L24" s="75"/>
      <c r="M24" s="76"/>
      <c r="N24" s="128"/>
    </row>
    <row r="25" spans="1:14" x14ac:dyDescent="0.25">
      <c r="A25" s="55" t="s">
        <v>1148</v>
      </c>
      <c r="B25" s="288"/>
      <c r="C25" s="130">
        <v>161984031</v>
      </c>
      <c r="D25" s="109">
        <v>161984031</v>
      </c>
      <c r="E25" s="109">
        <v>0</v>
      </c>
      <c r="F25" s="109">
        <v>0</v>
      </c>
      <c r="G25" s="109">
        <v>0</v>
      </c>
      <c r="H25" s="109">
        <v>0</v>
      </c>
      <c r="I25" s="109">
        <v>0</v>
      </c>
      <c r="J25" s="132">
        <f>SUM(E25:I25)</f>
        <v>0</v>
      </c>
      <c r="K25" s="132">
        <f>IF(D25=0,C25+J25,D25+J25)</f>
        <v>161984031</v>
      </c>
      <c r="L25" s="109">
        <v>169759264.6799936</v>
      </c>
      <c r="M25" s="110">
        <v>177907709.3846333</v>
      </c>
      <c r="N25" s="128"/>
    </row>
    <row r="26" spans="1:14" ht="25.5" x14ac:dyDescent="0.25">
      <c r="A26" s="1275" t="s">
        <v>1709</v>
      </c>
      <c r="B26" s="288"/>
      <c r="C26" s="130">
        <v>17543476</v>
      </c>
      <c r="D26" s="109">
        <v>17543476</v>
      </c>
      <c r="E26" s="109">
        <v>0</v>
      </c>
      <c r="F26" s="109">
        <v>0</v>
      </c>
      <c r="G26" s="109">
        <v>0</v>
      </c>
      <c r="H26" s="109">
        <v>0</v>
      </c>
      <c r="I26" s="109">
        <v>0</v>
      </c>
      <c r="J26" s="132">
        <f>SUM(E26:I26)</f>
        <v>0</v>
      </c>
      <c r="K26" s="132">
        <f>IF(D26=0,C26+J26,D26+J26)</f>
        <v>17543476</v>
      </c>
      <c r="L26" s="109">
        <v>18385562.848000001</v>
      </c>
      <c r="M26" s="110">
        <v>19268069.864704002</v>
      </c>
      <c r="N26" s="128"/>
    </row>
    <row r="27" spans="1:14" s="128" customFormat="1" ht="25.5" x14ac:dyDescent="0.25">
      <c r="A27" s="1277" t="s">
        <v>1710</v>
      </c>
      <c r="B27" s="837"/>
      <c r="C27" s="131">
        <f>'SB5'!E274</f>
        <v>17543476</v>
      </c>
      <c r="D27" s="131">
        <f>'SB5'!F274</f>
        <v>17543476</v>
      </c>
      <c r="E27" s="131">
        <f>'SB5'!G274</f>
        <v>0</v>
      </c>
      <c r="F27" s="131">
        <f>'SB5'!H274</f>
        <v>0</v>
      </c>
      <c r="G27" s="131">
        <f>'SB5'!I274</f>
        <v>0</v>
      </c>
      <c r="H27" s="131">
        <f>'SB5'!J274</f>
        <v>0</v>
      </c>
      <c r="I27" s="131">
        <f>'SB5'!K274</f>
        <v>0</v>
      </c>
      <c r="J27" s="132">
        <f>SUM(E27:I27)</f>
        <v>0</v>
      </c>
      <c r="K27" s="132">
        <f>IF(D27=0,C27+J27,D27+J27)</f>
        <v>17543476</v>
      </c>
      <c r="L27" s="132">
        <f>'SB5'!N274</f>
        <v>18385562.848000001</v>
      </c>
      <c r="M27" s="133">
        <f>'SB5'!O274</f>
        <v>19268069.864704002</v>
      </c>
    </row>
    <row r="28" spans="1:14" ht="12.75" customHeight="1" x14ac:dyDescent="0.25">
      <c r="A28" s="165" t="s">
        <v>1149</v>
      </c>
      <c r="B28" s="288"/>
      <c r="C28" s="1286">
        <f>C25-C26-C27</f>
        <v>126897079</v>
      </c>
      <c r="D28" s="707">
        <f t="shared" ref="D28:M28" si="3">D25-D26-D27</f>
        <v>126897079</v>
      </c>
      <c r="E28" s="707">
        <f t="shared" si="3"/>
        <v>0</v>
      </c>
      <c r="F28" s="707">
        <f t="shared" si="3"/>
        <v>0</v>
      </c>
      <c r="G28" s="707">
        <f t="shared" si="3"/>
        <v>0</v>
      </c>
      <c r="H28" s="707">
        <f t="shared" si="3"/>
        <v>0</v>
      </c>
      <c r="I28" s="707">
        <f t="shared" si="3"/>
        <v>0</v>
      </c>
      <c r="J28" s="707">
        <f t="shared" si="3"/>
        <v>0</v>
      </c>
      <c r="K28" s="707">
        <f t="shared" si="3"/>
        <v>126897079</v>
      </c>
      <c r="L28" s="707">
        <f t="shared" si="3"/>
        <v>132988138.9839936</v>
      </c>
      <c r="M28" s="709">
        <f t="shared" si="3"/>
        <v>139371569.65522528</v>
      </c>
      <c r="N28" s="128"/>
    </row>
    <row r="29" spans="1:14" ht="4.5" customHeight="1" x14ac:dyDescent="0.25">
      <c r="A29" s="165"/>
      <c r="B29" s="288"/>
      <c r="C29" s="74" t="s">
        <v>1268</v>
      </c>
      <c r="D29" s="75"/>
      <c r="E29" s="75"/>
      <c r="F29" s="75"/>
      <c r="G29" s="75"/>
      <c r="H29" s="75"/>
      <c r="I29" s="75"/>
      <c r="J29" s="171"/>
      <c r="K29" s="171"/>
      <c r="L29" s="75"/>
      <c r="M29" s="76"/>
      <c r="N29" s="128"/>
    </row>
    <row r="30" spans="1:14" ht="12.75" customHeight="1" x14ac:dyDescent="0.25">
      <c r="A30" s="52" t="s">
        <v>1150</v>
      </c>
      <c r="B30" s="288"/>
      <c r="C30" s="74"/>
      <c r="D30" s="75"/>
      <c r="E30" s="75"/>
      <c r="F30" s="75"/>
      <c r="G30" s="75"/>
      <c r="H30" s="75"/>
      <c r="I30" s="75"/>
      <c r="J30" s="171"/>
      <c r="K30" s="171"/>
      <c r="L30" s="75"/>
      <c r="M30" s="76"/>
      <c r="N30" s="128"/>
    </row>
    <row r="31" spans="1:14" ht="12.75" customHeight="1" x14ac:dyDescent="0.25">
      <c r="A31" s="1274" t="s">
        <v>729</v>
      </c>
      <c r="B31" s="288"/>
      <c r="C31" s="130">
        <v>151429525</v>
      </c>
      <c r="D31" s="109">
        <v>151429525</v>
      </c>
      <c r="E31" s="109">
        <v>0</v>
      </c>
      <c r="F31" s="109">
        <v>0</v>
      </c>
      <c r="G31" s="109">
        <v>0</v>
      </c>
      <c r="H31" s="109">
        <v>0</v>
      </c>
      <c r="I31" s="109">
        <v>0</v>
      </c>
      <c r="J31" s="132">
        <f>SUM(E31:I31)</f>
        <v>0</v>
      </c>
      <c r="K31" s="132">
        <f>IF(D31=0,C31+J31,D31+J31)</f>
        <v>151429525</v>
      </c>
      <c r="L31" s="109">
        <v>158698141.79253763</v>
      </c>
      <c r="M31" s="110">
        <v>166315652.59857947</v>
      </c>
      <c r="N31" s="128"/>
    </row>
    <row r="32" spans="1:14" ht="12" customHeight="1" x14ac:dyDescent="0.25">
      <c r="A32" s="1274" t="s">
        <v>730</v>
      </c>
      <c r="B32" s="288"/>
      <c r="C32" s="130">
        <v>0</v>
      </c>
      <c r="D32" s="109">
        <v>0</v>
      </c>
      <c r="E32" s="109">
        <v>0</v>
      </c>
      <c r="F32" s="109">
        <v>0</v>
      </c>
      <c r="G32" s="109">
        <v>0</v>
      </c>
      <c r="H32" s="109">
        <v>0</v>
      </c>
      <c r="I32" s="109">
        <v>0</v>
      </c>
      <c r="J32" s="132">
        <f>SUM(E32:I32)</f>
        <v>0</v>
      </c>
      <c r="K32" s="132">
        <f>IF(D32=0,C32+J32,D32+J32)</f>
        <v>0</v>
      </c>
      <c r="L32" s="109">
        <v>0</v>
      </c>
      <c r="M32" s="110">
        <v>0</v>
      </c>
      <c r="N32" s="128"/>
    </row>
    <row r="33" spans="1:14" ht="25.5" x14ac:dyDescent="0.25">
      <c r="A33" s="1275" t="s">
        <v>1711</v>
      </c>
      <c r="B33" s="288"/>
      <c r="C33" s="130">
        <v>14706979.999999998</v>
      </c>
      <c r="D33" s="109">
        <v>14706979.999999998</v>
      </c>
      <c r="E33" s="109">
        <v>0</v>
      </c>
      <c r="F33" s="109">
        <v>0</v>
      </c>
      <c r="G33" s="109">
        <v>0</v>
      </c>
      <c r="H33" s="109">
        <v>0</v>
      </c>
      <c r="I33" s="109">
        <v>0</v>
      </c>
      <c r="J33" s="132">
        <f>SUM(E33:I33)</f>
        <v>0</v>
      </c>
      <c r="K33" s="132">
        <f>IF(D33=0,C33+J33,D33+J33)</f>
        <v>14706979.999999998</v>
      </c>
      <c r="L33" s="109">
        <v>15412915.039999999</v>
      </c>
      <c r="M33" s="110">
        <v>16152734.961920001</v>
      </c>
      <c r="N33" s="128"/>
    </row>
    <row r="34" spans="1:14" ht="25.5" x14ac:dyDescent="0.25">
      <c r="A34" s="1277" t="s">
        <v>1712</v>
      </c>
      <c r="B34" s="288"/>
      <c r="C34" s="131">
        <f>'SB5'!E286</f>
        <v>14706979.999999998</v>
      </c>
      <c r="D34" s="131">
        <f>'SB5'!F286</f>
        <v>14706979.999999998</v>
      </c>
      <c r="E34" s="131">
        <f>'SB5'!G286</f>
        <v>0</v>
      </c>
      <c r="F34" s="131">
        <f>'SB5'!H286</f>
        <v>0</v>
      </c>
      <c r="G34" s="131">
        <f>'SB5'!I286</f>
        <v>0</v>
      </c>
      <c r="H34" s="131">
        <f>'SB5'!J286</f>
        <v>0</v>
      </c>
      <c r="I34" s="131">
        <f>'SB5'!K286</f>
        <v>0</v>
      </c>
      <c r="J34" s="132">
        <f>SUM(E34:I34)</f>
        <v>0</v>
      </c>
      <c r="K34" s="132">
        <f>IF(D34=0,C34+J34,D34+J34)</f>
        <v>14706979.999999998</v>
      </c>
      <c r="L34" s="132">
        <f>'SB5'!N286</f>
        <v>15412915.039999999</v>
      </c>
      <c r="M34" s="133">
        <f>'SB5'!O286</f>
        <v>16152734.961920001</v>
      </c>
      <c r="N34" s="128"/>
    </row>
    <row r="35" spans="1:14" ht="12.75" customHeight="1" x14ac:dyDescent="0.25">
      <c r="A35" s="1276" t="s">
        <v>1151</v>
      </c>
      <c r="B35" s="288"/>
      <c r="C35" s="1286">
        <f>SUM(C31:C32)-SUM(C33:C34)</f>
        <v>122015565</v>
      </c>
      <c r="D35" s="707">
        <f t="shared" ref="D35:M35" si="4">SUM(D31:D32)-SUM(D33:D34)</f>
        <v>122015565</v>
      </c>
      <c r="E35" s="707">
        <f t="shared" si="4"/>
        <v>0</v>
      </c>
      <c r="F35" s="707">
        <f t="shared" si="4"/>
        <v>0</v>
      </c>
      <c r="G35" s="707">
        <f t="shared" si="4"/>
        <v>0</v>
      </c>
      <c r="H35" s="707">
        <f t="shared" si="4"/>
        <v>0</v>
      </c>
      <c r="I35" s="707">
        <f t="shared" si="4"/>
        <v>0</v>
      </c>
      <c r="J35" s="707">
        <f t="shared" si="4"/>
        <v>0</v>
      </c>
      <c r="K35" s="707">
        <f t="shared" si="4"/>
        <v>122015565</v>
      </c>
      <c r="L35" s="707">
        <f t="shared" si="4"/>
        <v>127872311.71253763</v>
      </c>
      <c r="M35" s="709">
        <f t="shared" si="4"/>
        <v>134010182.67473947</v>
      </c>
      <c r="N35" s="128"/>
    </row>
    <row r="36" spans="1:14" ht="5.25" customHeight="1" x14ac:dyDescent="0.25">
      <c r="A36" s="126"/>
      <c r="B36" s="288"/>
      <c r="C36" s="74"/>
      <c r="D36" s="75"/>
      <c r="E36" s="75"/>
      <c r="F36" s="75"/>
      <c r="G36" s="75"/>
      <c r="H36" s="75"/>
      <c r="I36" s="75"/>
      <c r="J36" s="75"/>
      <c r="K36" s="75"/>
      <c r="L36" s="75"/>
      <c r="M36" s="76"/>
      <c r="N36" s="128"/>
    </row>
    <row r="37" spans="1:14" ht="12.75" customHeight="1" x14ac:dyDescent="0.25">
      <c r="A37" s="52" t="s">
        <v>1152</v>
      </c>
      <c r="B37" s="288"/>
      <c r="C37" s="74"/>
      <c r="D37" s="75"/>
      <c r="E37" s="75"/>
      <c r="F37" s="75"/>
      <c r="G37" s="75"/>
      <c r="H37" s="75"/>
      <c r="I37" s="75"/>
      <c r="J37" s="75"/>
      <c r="K37" s="75"/>
      <c r="L37" s="75"/>
      <c r="M37" s="76"/>
      <c r="N37" s="128"/>
    </row>
    <row r="38" spans="1:14" ht="12.75" customHeight="1" x14ac:dyDescent="0.25">
      <c r="A38" s="1334" t="s">
        <v>1800</v>
      </c>
      <c r="B38" s="288"/>
      <c r="C38" s="1071">
        <v>0</v>
      </c>
      <c r="D38" s="1072">
        <v>0</v>
      </c>
      <c r="E38" s="1072">
        <v>0</v>
      </c>
      <c r="F38" s="1072">
        <v>0</v>
      </c>
      <c r="G38" s="1072">
        <v>0</v>
      </c>
      <c r="H38" s="1072">
        <v>0</v>
      </c>
      <c r="I38" s="1072">
        <v>0</v>
      </c>
      <c r="J38" s="75">
        <f>SUM(E38:I38)</f>
        <v>0</v>
      </c>
      <c r="K38" s="508">
        <f>IF(D38=0,C38+J38,D38+J38)</f>
        <v>0</v>
      </c>
      <c r="L38" s="1072">
        <v>0</v>
      </c>
      <c r="M38" s="1073">
        <v>0</v>
      </c>
      <c r="N38" s="128"/>
    </row>
    <row r="39" spans="1:14" ht="12.75" customHeight="1" x14ac:dyDescent="0.25">
      <c r="A39" s="1334" t="s">
        <v>1801</v>
      </c>
      <c r="B39" s="288"/>
      <c r="C39" s="1071">
        <v>100596017</v>
      </c>
      <c r="D39" s="1072">
        <v>100596017</v>
      </c>
      <c r="E39" s="1072">
        <v>0</v>
      </c>
      <c r="F39" s="1072">
        <v>0</v>
      </c>
      <c r="G39" s="1072">
        <v>0</v>
      </c>
      <c r="H39" s="1072">
        <v>0</v>
      </c>
      <c r="I39" s="1072">
        <v>0</v>
      </c>
      <c r="J39" s="75">
        <f>SUM(E39:I39)</f>
        <v>0</v>
      </c>
      <c r="K39" s="508">
        <f>IF(D39=0,C39+J39,D39+J39)</f>
        <v>100596017</v>
      </c>
      <c r="L39" s="1072">
        <v>104800000</v>
      </c>
      <c r="M39" s="1073">
        <v>109830400</v>
      </c>
      <c r="N39" s="128"/>
    </row>
    <row r="40" spans="1:14" ht="1.9" customHeight="1" x14ac:dyDescent="0.25">
      <c r="A40" s="1335"/>
      <c r="B40" s="288"/>
      <c r="C40" s="1336"/>
      <c r="D40" s="1337"/>
      <c r="E40" s="1337"/>
      <c r="F40" s="1337"/>
      <c r="G40" s="1337"/>
      <c r="H40" s="1337"/>
      <c r="I40" s="1337"/>
      <c r="J40" s="132"/>
      <c r="K40" s="1326"/>
      <c r="L40" s="1337"/>
      <c r="M40" s="1338"/>
      <c r="N40" s="128"/>
    </row>
    <row r="41" spans="1:14" ht="1.9" customHeight="1" x14ac:dyDescent="0.25">
      <c r="A41" s="749"/>
      <c r="B41" s="288"/>
      <c r="C41" s="1336"/>
      <c r="D41" s="1337"/>
      <c r="E41" s="1337"/>
      <c r="F41" s="1337"/>
      <c r="G41" s="1337"/>
      <c r="H41" s="1337"/>
      <c r="I41" s="1337"/>
      <c r="J41" s="132"/>
      <c r="K41" s="1326"/>
      <c r="L41" s="1337"/>
      <c r="M41" s="1338"/>
      <c r="N41" s="128"/>
    </row>
    <row r="42" spans="1:14" ht="1.9" customHeight="1" x14ac:dyDescent="0.25">
      <c r="A42" s="749"/>
      <c r="B42" s="288"/>
      <c r="C42" s="1336"/>
      <c r="D42" s="1337"/>
      <c r="E42" s="1337"/>
      <c r="F42" s="1337"/>
      <c r="G42" s="1337"/>
      <c r="H42" s="1337"/>
      <c r="I42" s="1337"/>
      <c r="J42" s="132"/>
      <c r="K42" s="1326"/>
      <c r="L42" s="1337"/>
      <c r="M42" s="1338"/>
      <c r="N42" s="128"/>
    </row>
    <row r="43" spans="1:14" ht="1.9" customHeight="1" x14ac:dyDescent="0.25">
      <c r="A43" s="749"/>
      <c r="B43" s="288"/>
      <c r="C43" s="1336"/>
      <c r="D43" s="1337"/>
      <c r="E43" s="1337"/>
      <c r="F43" s="1337"/>
      <c r="G43" s="1337"/>
      <c r="H43" s="1337"/>
      <c r="I43" s="1337"/>
      <c r="J43" s="132"/>
      <c r="K43" s="1326"/>
      <c r="L43" s="1337"/>
      <c r="M43" s="1338"/>
      <c r="N43" s="128"/>
    </row>
    <row r="44" spans="1:14" ht="1.9" customHeight="1" x14ac:dyDescent="0.25">
      <c r="A44" s="749"/>
      <c r="B44" s="288"/>
      <c r="C44" s="1336"/>
      <c r="D44" s="1337"/>
      <c r="E44" s="1337"/>
      <c r="F44" s="1337"/>
      <c r="G44" s="1337"/>
      <c r="H44" s="1337"/>
      <c r="I44" s="1337"/>
      <c r="J44" s="132"/>
      <c r="K44" s="1326"/>
      <c r="L44" s="1337"/>
      <c r="M44" s="1338"/>
      <c r="N44" s="128"/>
    </row>
    <row r="45" spans="1:14" ht="1.9" customHeight="1" x14ac:dyDescent="0.25">
      <c r="A45" s="749"/>
      <c r="B45" s="288"/>
      <c r="C45" s="1336"/>
      <c r="D45" s="1337"/>
      <c r="E45" s="1337"/>
      <c r="F45" s="1337"/>
      <c r="G45" s="1337"/>
      <c r="H45" s="1337"/>
      <c r="I45" s="1337"/>
      <c r="J45" s="132"/>
      <c r="K45" s="1326"/>
      <c r="L45" s="1337"/>
      <c r="M45" s="1338"/>
      <c r="N45" s="128"/>
    </row>
    <row r="46" spans="1:14" ht="1.9" customHeight="1" x14ac:dyDescent="0.25">
      <c r="A46" s="749"/>
      <c r="B46" s="288"/>
      <c r="C46" s="1336"/>
      <c r="D46" s="1337"/>
      <c r="E46" s="1337"/>
      <c r="F46" s="1337"/>
      <c r="G46" s="1337"/>
      <c r="H46" s="1337"/>
      <c r="I46" s="1337"/>
      <c r="J46" s="132"/>
      <c r="K46" s="1326"/>
      <c r="L46" s="1337"/>
      <c r="M46" s="1338"/>
      <c r="N46" s="128"/>
    </row>
    <row r="47" spans="1:14" ht="1.9" customHeight="1" x14ac:dyDescent="0.25">
      <c r="A47" s="749"/>
      <c r="B47" s="288"/>
      <c r="C47" s="1336"/>
      <c r="D47" s="1337"/>
      <c r="E47" s="1337"/>
      <c r="F47" s="1337"/>
      <c r="G47" s="1337"/>
      <c r="H47" s="1337"/>
      <c r="I47" s="1337"/>
      <c r="J47" s="132"/>
      <c r="K47" s="1326"/>
      <c r="L47" s="1337"/>
      <c r="M47" s="1338"/>
      <c r="N47" s="128"/>
    </row>
    <row r="48" spans="1:14" ht="1.9" customHeight="1" x14ac:dyDescent="0.25">
      <c r="A48" s="749"/>
      <c r="B48" s="288"/>
      <c r="C48" s="1336"/>
      <c r="D48" s="1337"/>
      <c r="E48" s="1337"/>
      <c r="F48" s="1337"/>
      <c r="G48" s="1337"/>
      <c r="H48" s="1337"/>
      <c r="I48" s="1337"/>
      <c r="J48" s="132"/>
      <c r="K48" s="1326"/>
      <c r="L48" s="1337"/>
      <c r="M48" s="1338"/>
      <c r="N48" s="128"/>
    </row>
    <row r="49" spans="1:14" ht="1.9" customHeight="1" x14ac:dyDescent="0.25">
      <c r="A49" s="749"/>
      <c r="B49" s="288"/>
      <c r="C49" s="1336"/>
      <c r="D49" s="1337"/>
      <c r="E49" s="1337"/>
      <c r="F49" s="1337"/>
      <c r="G49" s="1337"/>
      <c r="H49" s="1337"/>
      <c r="I49" s="1337"/>
      <c r="J49" s="132"/>
      <c r="K49" s="1326"/>
      <c r="L49" s="1337"/>
      <c r="M49" s="1338"/>
      <c r="N49" s="128"/>
    </row>
    <row r="50" spans="1:14" ht="12.75" customHeight="1" x14ac:dyDescent="0.25">
      <c r="A50" s="290" t="s">
        <v>1153</v>
      </c>
      <c r="B50" s="68">
        <v>1</v>
      </c>
      <c r="C50" s="237">
        <f>SUM(C38:C39)</f>
        <v>100596017</v>
      </c>
      <c r="D50" s="237">
        <f t="shared" ref="D50:M50" si="5">SUM(D38:D39)</f>
        <v>100596017</v>
      </c>
      <c r="E50" s="237">
        <f t="shared" si="5"/>
        <v>0</v>
      </c>
      <c r="F50" s="237">
        <f t="shared" si="5"/>
        <v>0</v>
      </c>
      <c r="G50" s="237">
        <f t="shared" si="5"/>
        <v>0</v>
      </c>
      <c r="H50" s="237">
        <f t="shared" si="5"/>
        <v>0</v>
      </c>
      <c r="I50" s="237">
        <f t="shared" si="5"/>
        <v>0</v>
      </c>
      <c r="J50" s="237">
        <f t="shared" si="5"/>
        <v>0</v>
      </c>
      <c r="K50" s="237">
        <f t="shared" si="5"/>
        <v>100596017</v>
      </c>
      <c r="L50" s="237">
        <f t="shared" si="5"/>
        <v>104800000</v>
      </c>
      <c r="M50" s="238">
        <f t="shared" si="5"/>
        <v>109830400</v>
      </c>
      <c r="N50" s="128"/>
    </row>
    <row r="51" spans="1:14" ht="5.0999999999999996" customHeight="1" x14ac:dyDescent="0.25">
      <c r="A51" s="136"/>
      <c r="B51" s="288"/>
      <c r="C51" s="74"/>
      <c r="D51" s="75"/>
      <c r="E51" s="75"/>
      <c r="F51" s="75"/>
      <c r="G51" s="75"/>
      <c r="H51" s="75"/>
      <c r="I51" s="75"/>
      <c r="J51" s="75"/>
      <c r="K51" s="75"/>
      <c r="L51" s="75"/>
      <c r="M51" s="76"/>
      <c r="N51" s="128"/>
    </row>
    <row r="52" spans="1:14" ht="12.75" customHeight="1" x14ac:dyDescent="0.25">
      <c r="A52" s="126" t="s">
        <v>1154</v>
      </c>
      <c r="B52" s="288"/>
      <c r="C52" s="74"/>
      <c r="D52" s="75"/>
      <c r="E52" s="75"/>
      <c r="F52" s="75"/>
      <c r="G52" s="75"/>
      <c r="H52" s="75"/>
      <c r="I52" s="75"/>
      <c r="J52" s="75"/>
      <c r="K52" s="75"/>
      <c r="L52" s="75"/>
      <c r="M52" s="76"/>
      <c r="N52" s="128"/>
    </row>
    <row r="53" spans="1:14" ht="12.75" customHeight="1" x14ac:dyDescent="0.25">
      <c r="A53" s="126" t="s">
        <v>650</v>
      </c>
      <c r="B53" s="288"/>
      <c r="C53" s="74"/>
      <c r="D53" s="75"/>
      <c r="E53" s="75"/>
      <c r="F53" s="75"/>
      <c r="G53" s="75"/>
      <c r="H53" s="75"/>
      <c r="I53" s="75"/>
      <c r="J53" s="75"/>
      <c r="K53" s="75"/>
      <c r="L53" s="75"/>
      <c r="M53" s="76"/>
      <c r="N53" s="128"/>
    </row>
    <row r="54" spans="1:14" ht="12.75" customHeight="1" x14ac:dyDescent="0.25">
      <c r="A54" s="129" t="s">
        <v>201</v>
      </c>
      <c r="B54" s="288"/>
      <c r="C54" s="130">
        <v>602750505</v>
      </c>
      <c r="D54" s="109">
        <v>602700505</v>
      </c>
      <c r="E54" s="109">
        <v>0</v>
      </c>
      <c r="F54" s="109">
        <v>0</v>
      </c>
      <c r="G54" s="109">
        <v>0</v>
      </c>
      <c r="H54" s="109">
        <v>0</v>
      </c>
      <c r="I54" s="109">
        <v>0</v>
      </c>
      <c r="J54" s="75">
        <f t="shared" ref="J54:J65" si="6">SUM(E54:I54)</f>
        <v>0</v>
      </c>
      <c r="K54" s="75">
        <f t="shared" ref="K54:K65" si="7">IF(D54=0,C54+J54,D54+J54)</f>
        <v>602700505</v>
      </c>
      <c r="L54" s="109">
        <v>592060073.95455003</v>
      </c>
      <c r="M54" s="110">
        <v>626399558.24391401</v>
      </c>
      <c r="N54" s="128"/>
    </row>
    <row r="55" spans="1:14" ht="12.75" customHeight="1" x14ac:dyDescent="0.25">
      <c r="A55" s="129" t="s">
        <v>1377</v>
      </c>
      <c r="B55" s="288"/>
      <c r="C55" s="130">
        <v>130105484</v>
      </c>
      <c r="D55" s="109">
        <v>130105484</v>
      </c>
      <c r="E55" s="109">
        <v>0</v>
      </c>
      <c r="F55" s="109">
        <v>0</v>
      </c>
      <c r="G55" s="109">
        <v>0</v>
      </c>
      <c r="H55" s="109">
        <v>0</v>
      </c>
      <c r="I55" s="109">
        <v>0</v>
      </c>
      <c r="J55" s="75">
        <f t="shared" si="6"/>
        <v>0</v>
      </c>
      <c r="K55" s="75">
        <f t="shared" si="7"/>
        <v>130105484</v>
      </c>
      <c r="L55" s="109">
        <v>131031615.69045</v>
      </c>
      <c r="M55" s="110">
        <v>138631449.4004961</v>
      </c>
      <c r="N55" s="128"/>
    </row>
    <row r="56" spans="1:14" ht="12.75" customHeight="1" x14ac:dyDescent="0.25">
      <c r="A56" s="129" t="s">
        <v>194</v>
      </c>
      <c r="B56" s="288"/>
      <c r="C56" s="130">
        <v>42764177</v>
      </c>
      <c r="D56" s="109">
        <v>42764177</v>
      </c>
      <c r="E56" s="109">
        <v>0</v>
      </c>
      <c r="F56" s="109">
        <v>0</v>
      </c>
      <c r="G56" s="109">
        <v>0</v>
      </c>
      <c r="H56" s="109">
        <v>0</v>
      </c>
      <c r="I56" s="109">
        <v>0</v>
      </c>
      <c r="J56" s="75">
        <f t="shared" si="6"/>
        <v>0</v>
      </c>
      <c r="K56" s="75">
        <f t="shared" si="7"/>
        <v>42764177</v>
      </c>
      <c r="L56" s="109">
        <v>38661844.917000003</v>
      </c>
      <c r="M56" s="110">
        <v>40904231.922186002</v>
      </c>
      <c r="N56" s="128"/>
    </row>
    <row r="57" spans="1:14" ht="12.75" customHeight="1" x14ac:dyDescent="0.25">
      <c r="A57" s="129" t="s">
        <v>1155</v>
      </c>
      <c r="B57" s="288"/>
      <c r="C57" s="130">
        <v>39300502</v>
      </c>
      <c r="D57" s="109">
        <v>39350502</v>
      </c>
      <c r="E57" s="109">
        <v>0</v>
      </c>
      <c r="F57" s="109">
        <v>0</v>
      </c>
      <c r="G57" s="109">
        <v>0</v>
      </c>
      <c r="H57" s="109">
        <v>0</v>
      </c>
      <c r="I57" s="109">
        <v>39719900</v>
      </c>
      <c r="J57" s="75">
        <f t="shared" si="6"/>
        <v>39719900</v>
      </c>
      <c r="K57" s="75">
        <f t="shared" si="7"/>
        <v>79070402</v>
      </c>
      <c r="L57" s="109">
        <v>75486289.799999997</v>
      </c>
      <c r="M57" s="110">
        <v>79864494.608400002</v>
      </c>
      <c r="N57" s="128"/>
    </row>
    <row r="58" spans="1:14" ht="12.75" customHeight="1" x14ac:dyDescent="0.25">
      <c r="A58" s="129" t="s">
        <v>198</v>
      </c>
      <c r="B58" s="288"/>
      <c r="C58" s="130">
        <v>0</v>
      </c>
      <c r="D58" s="109">
        <v>0</v>
      </c>
      <c r="E58" s="109">
        <v>0</v>
      </c>
      <c r="F58" s="109">
        <v>0</v>
      </c>
      <c r="G58" s="109">
        <v>0</v>
      </c>
      <c r="H58" s="109">
        <v>0</v>
      </c>
      <c r="I58" s="109">
        <v>0</v>
      </c>
      <c r="J58" s="75">
        <f t="shared" si="6"/>
        <v>0</v>
      </c>
      <c r="K58" s="75">
        <f t="shared" si="7"/>
        <v>0</v>
      </c>
      <c r="L58" s="109">
        <v>0</v>
      </c>
      <c r="M58" s="110">
        <v>0</v>
      </c>
      <c r="N58" s="128"/>
    </row>
    <row r="59" spans="1:14" ht="12.75" customHeight="1" x14ac:dyDescent="0.25">
      <c r="A59" s="129" t="s">
        <v>1378</v>
      </c>
      <c r="B59" s="288"/>
      <c r="C59" s="130">
        <v>55575714</v>
      </c>
      <c r="D59" s="109">
        <v>55575714</v>
      </c>
      <c r="E59" s="109">
        <v>0</v>
      </c>
      <c r="F59" s="109">
        <v>0</v>
      </c>
      <c r="G59" s="109">
        <v>0</v>
      </c>
      <c r="H59" s="109">
        <v>0</v>
      </c>
      <c r="I59" s="109">
        <v>0</v>
      </c>
      <c r="J59" s="75">
        <f>SUM(E59:I59)</f>
        <v>0</v>
      </c>
      <c r="K59" s="75">
        <f>IF(D59=0,C59+J59,D59+J59)</f>
        <v>55575714</v>
      </c>
      <c r="L59" s="109">
        <v>74159134.880370006</v>
      </c>
      <c r="M59" s="110">
        <v>78460364.703431472</v>
      </c>
      <c r="N59" s="128"/>
    </row>
    <row r="60" spans="1:14" ht="12.75" customHeight="1" x14ac:dyDescent="0.25">
      <c r="A60" s="129" t="s">
        <v>1379</v>
      </c>
      <c r="B60" s="288"/>
      <c r="C60" s="130">
        <v>199125</v>
      </c>
      <c r="D60" s="109">
        <v>199125</v>
      </c>
      <c r="E60" s="109">
        <v>0</v>
      </c>
      <c r="F60" s="109">
        <v>0</v>
      </c>
      <c r="G60" s="109">
        <v>0</v>
      </c>
      <c r="H60" s="109">
        <v>0</v>
      </c>
      <c r="I60" s="109">
        <v>0</v>
      </c>
      <c r="J60" s="75">
        <f>SUM(E60:I60)</f>
        <v>0</v>
      </c>
      <c r="K60" s="75">
        <f>IF(D60=0,C60+J60,D60+J60)</f>
        <v>199125</v>
      </c>
      <c r="L60" s="109">
        <v>337918.32300000003</v>
      </c>
      <c r="M60" s="110">
        <v>357517.58573400008</v>
      </c>
      <c r="N60" s="128"/>
    </row>
    <row r="61" spans="1:14" ht="12.75" customHeight="1" x14ac:dyDescent="0.25">
      <c r="A61" s="129" t="s">
        <v>1380</v>
      </c>
      <c r="B61" s="288"/>
      <c r="C61" s="130">
        <v>11210672</v>
      </c>
      <c r="D61" s="109">
        <v>11210672</v>
      </c>
      <c r="E61" s="109">
        <v>0</v>
      </c>
      <c r="F61" s="109">
        <v>0</v>
      </c>
      <c r="G61" s="109">
        <v>0</v>
      </c>
      <c r="H61" s="109">
        <v>0</v>
      </c>
      <c r="I61" s="109">
        <v>0</v>
      </c>
      <c r="J61" s="75">
        <f>SUM(E61:I61)</f>
        <v>0</v>
      </c>
      <c r="K61" s="75">
        <f>IF(D61=0,C61+J61,D61+J61)</f>
        <v>11210672</v>
      </c>
      <c r="L61" s="109">
        <v>11680661.205</v>
      </c>
      <c r="M61" s="110">
        <v>12358139.554890001</v>
      </c>
      <c r="N61" s="128"/>
    </row>
    <row r="62" spans="1:14" ht="12.75" customHeight="1" x14ac:dyDescent="0.25">
      <c r="A62" s="129" t="s">
        <v>1183</v>
      </c>
      <c r="B62" s="288"/>
      <c r="C62" s="130">
        <v>79788809</v>
      </c>
      <c r="D62" s="109">
        <v>79788809</v>
      </c>
      <c r="E62" s="109">
        <v>0</v>
      </c>
      <c r="F62" s="109">
        <v>0</v>
      </c>
      <c r="G62" s="109">
        <v>0</v>
      </c>
      <c r="H62" s="109">
        <v>0</v>
      </c>
      <c r="I62" s="109">
        <v>2875000</v>
      </c>
      <c r="J62" s="75">
        <f t="shared" si="6"/>
        <v>2875000</v>
      </c>
      <c r="K62" s="75">
        <f t="shared" si="7"/>
        <v>82663809</v>
      </c>
      <c r="L62" s="109">
        <v>89376948.445464134</v>
      </c>
      <c r="M62" s="110">
        <v>94560811.455301046</v>
      </c>
      <c r="N62" s="128"/>
    </row>
    <row r="63" spans="1:14" ht="12.75" customHeight="1" x14ac:dyDescent="0.25">
      <c r="A63" s="129" t="s">
        <v>1157</v>
      </c>
      <c r="B63" s="288"/>
      <c r="C63" s="130">
        <v>15957534</v>
      </c>
      <c r="D63" s="109">
        <v>15957534</v>
      </c>
      <c r="E63" s="109">
        <v>0</v>
      </c>
      <c r="F63" s="109">
        <v>0</v>
      </c>
      <c r="G63" s="109">
        <v>0</v>
      </c>
      <c r="H63" s="109">
        <v>0</v>
      </c>
      <c r="I63" s="109">
        <v>0</v>
      </c>
      <c r="J63" s="75">
        <f t="shared" si="6"/>
        <v>0</v>
      </c>
      <c r="K63" s="75">
        <f t="shared" si="7"/>
        <v>15957534</v>
      </c>
      <c r="L63" s="109">
        <v>16918902.258000001</v>
      </c>
      <c r="M63" s="110">
        <v>17900198.588964004</v>
      </c>
      <c r="N63" s="128"/>
    </row>
    <row r="64" spans="1:14" ht="12.75" customHeight="1" x14ac:dyDescent="0.25">
      <c r="A64" s="129" t="s">
        <v>1156</v>
      </c>
      <c r="B64" s="288"/>
      <c r="C64" s="130">
        <v>7404723</v>
      </c>
      <c r="D64" s="109">
        <v>7404723</v>
      </c>
      <c r="E64" s="109">
        <v>0</v>
      </c>
      <c r="F64" s="109">
        <v>0</v>
      </c>
      <c r="G64" s="109">
        <v>0</v>
      </c>
      <c r="H64" s="109">
        <v>0</v>
      </c>
      <c r="I64" s="109">
        <v>0</v>
      </c>
      <c r="J64" s="75">
        <f t="shared" si="6"/>
        <v>0</v>
      </c>
      <c r="K64" s="75">
        <f t="shared" si="7"/>
        <v>7404723</v>
      </c>
      <c r="L64" s="109">
        <v>7845924.8640000001</v>
      </c>
      <c r="M64" s="110">
        <v>8300988.5061120009</v>
      </c>
      <c r="N64" s="128"/>
    </row>
    <row r="65" spans="1:14" ht="12.75" customHeight="1" x14ac:dyDescent="0.25">
      <c r="A65" s="129" t="s">
        <v>1158</v>
      </c>
      <c r="B65" s="288">
        <v>4</v>
      </c>
      <c r="C65" s="143">
        <v>4995772</v>
      </c>
      <c r="D65" s="144">
        <v>4995772</v>
      </c>
      <c r="E65" s="144">
        <v>0</v>
      </c>
      <c r="F65" s="144">
        <v>0</v>
      </c>
      <c r="G65" s="144">
        <v>0</v>
      </c>
      <c r="H65" s="144">
        <v>0</v>
      </c>
      <c r="I65" s="144">
        <v>0</v>
      </c>
      <c r="J65" s="145">
        <f t="shared" si="6"/>
        <v>0</v>
      </c>
      <c r="K65" s="145">
        <f t="shared" si="7"/>
        <v>4995772</v>
      </c>
      <c r="L65" s="144">
        <v>7849084.3270800002</v>
      </c>
      <c r="M65" s="113">
        <v>8304331.218050641</v>
      </c>
      <c r="N65" s="128"/>
    </row>
    <row r="66" spans="1:14" ht="12.75" customHeight="1" x14ac:dyDescent="0.25">
      <c r="A66" s="291" t="s">
        <v>1159</v>
      </c>
      <c r="B66" s="288"/>
      <c r="C66" s="81">
        <f>SUM(C54:C65)</f>
        <v>990053017</v>
      </c>
      <c r="D66" s="81">
        <f t="shared" ref="D66:M66" si="8">SUM(D54:D65)</f>
        <v>990053017</v>
      </c>
      <c r="E66" s="81">
        <f t="shared" si="8"/>
        <v>0</v>
      </c>
      <c r="F66" s="81">
        <f t="shared" si="8"/>
        <v>0</v>
      </c>
      <c r="G66" s="81">
        <f t="shared" si="8"/>
        <v>0</v>
      </c>
      <c r="H66" s="81">
        <f t="shared" si="8"/>
        <v>0</v>
      </c>
      <c r="I66" s="81">
        <f t="shared" si="8"/>
        <v>42594900</v>
      </c>
      <c r="J66" s="81">
        <f t="shared" si="8"/>
        <v>42594900</v>
      </c>
      <c r="K66" s="81">
        <f t="shared" si="8"/>
        <v>1032647917</v>
      </c>
      <c r="L66" s="81">
        <f t="shared" si="8"/>
        <v>1045408398.6649141</v>
      </c>
      <c r="M66" s="82">
        <f t="shared" si="8"/>
        <v>1106042085.7874796</v>
      </c>
      <c r="N66" s="128"/>
    </row>
    <row r="67" spans="1:14" ht="12.75" customHeight="1" x14ac:dyDescent="0.25">
      <c r="A67" s="292" t="s">
        <v>1160</v>
      </c>
      <c r="B67" s="288"/>
      <c r="C67" s="130">
        <v>0</v>
      </c>
      <c r="D67" s="109">
        <v>0</v>
      </c>
      <c r="E67" s="109">
        <v>0</v>
      </c>
      <c r="F67" s="109"/>
      <c r="G67" s="109">
        <v>0</v>
      </c>
      <c r="H67" s="109">
        <v>0</v>
      </c>
      <c r="I67" s="109">
        <v>0</v>
      </c>
      <c r="J67" s="75">
        <f>SUM(E67:I67)</f>
        <v>0</v>
      </c>
      <c r="K67" s="75">
        <f>IF(D67=0,C67+J67,D67+J67)</f>
        <v>0</v>
      </c>
      <c r="L67" s="109">
        <v>0</v>
      </c>
      <c r="M67" s="110">
        <v>0</v>
      </c>
      <c r="N67" s="128"/>
    </row>
    <row r="68" spans="1:14" ht="12.75" customHeight="1" x14ac:dyDescent="0.25">
      <c r="A68" s="139" t="str">
        <f>"Total "&amp;A53</f>
        <v>Total Employee related costs</v>
      </c>
      <c r="B68" s="288">
        <v>1</v>
      </c>
      <c r="C68" s="150">
        <f>C66-C67</f>
        <v>990053017</v>
      </c>
      <c r="D68" s="151">
        <f t="shared" ref="D68:I68" si="9">D66-D67</f>
        <v>990053017</v>
      </c>
      <c r="E68" s="151">
        <f t="shared" si="9"/>
        <v>0</v>
      </c>
      <c r="F68" s="151">
        <f t="shared" si="9"/>
        <v>0</v>
      </c>
      <c r="G68" s="151">
        <f t="shared" si="9"/>
        <v>0</v>
      </c>
      <c r="H68" s="151">
        <f t="shared" si="9"/>
        <v>0</v>
      </c>
      <c r="I68" s="151">
        <f t="shared" si="9"/>
        <v>42594900</v>
      </c>
      <c r="J68" s="151">
        <f>SUM(J66:J67)</f>
        <v>42594900</v>
      </c>
      <c r="K68" s="151">
        <f>SUM(K66:K67)</f>
        <v>1032647917</v>
      </c>
      <c r="L68" s="151">
        <f>L66-L67</f>
        <v>1045408398.6649141</v>
      </c>
      <c r="M68" s="152">
        <f>M66-M67</f>
        <v>1106042085.7874796</v>
      </c>
      <c r="N68" s="128"/>
    </row>
    <row r="69" spans="1:14" ht="5.0999999999999996" customHeight="1" x14ac:dyDescent="0.25">
      <c r="A69" s="136"/>
      <c r="B69" s="288"/>
      <c r="C69" s="74"/>
      <c r="D69" s="75"/>
      <c r="E69" s="75"/>
      <c r="F69" s="75"/>
      <c r="G69" s="75"/>
      <c r="H69" s="75"/>
      <c r="I69" s="75"/>
      <c r="J69" s="75"/>
      <c r="K69" s="75"/>
      <c r="L69" s="75"/>
      <c r="M69" s="76"/>
      <c r="N69" s="128"/>
    </row>
    <row r="70" spans="1:14" ht="14.25" hidden="1" customHeight="1" x14ac:dyDescent="0.25">
      <c r="A70" s="1339"/>
      <c r="B70" s="288"/>
      <c r="C70" s="131"/>
      <c r="D70" s="132"/>
      <c r="E70" s="132"/>
      <c r="F70" s="132"/>
      <c r="G70" s="132"/>
      <c r="H70" s="132"/>
      <c r="I70" s="132"/>
      <c r="J70" s="132"/>
      <c r="K70" s="132"/>
      <c r="L70" s="132"/>
      <c r="M70" s="133"/>
      <c r="N70" s="128"/>
    </row>
    <row r="71" spans="1:14" ht="14.25" hidden="1" customHeight="1" x14ac:dyDescent="0.25">
      <c r="A71" s="1335"/>
      <c r="B71" s="288"/>
      <c r="C71" s="132"/>
      <c r="D71" s="132"/>
      <c r="E71" s="132"/>
      <c r="F71" s="132"/>
      <c r="G71" s="132"/>
      <c r="H71" s="132"/>
      <c r="I71" s="132"/>
      <c r="J71" s="132"/>
      <c r="K71" s="132"/>
      <c r="L71" s="132"/>
      <c r="M71" s="133"/>
      <c r="N71" s="128"/>
    </row>
    <row r="72" spans="1:14" ht="14.25" hidden="1" customHeight="1" x14ac:dyDescent="0.25">
      <c r="A72" s="1340"/>
      <c r="B72" s="288"/>
      <c r="C72" s="132"/>
      <c r="D72" s="132"/>
      <c r="E72" s="132"/>
      <c r="F72" s="132"/>
      <c r="G72" s="132"/>
      <c r="H72" s="132"/>
      <c r="I72" s="132"/>
      <c r="J72" s="132"/>
      <c r="K72" s="132"/>
      <c r="L72" s="132"/>
      <c r="M72" s="133"/>
      <c r="N72" s="128"/>
    </row>
    <row r="73" spans="1:14" ht="14.25" hidden="1" customHeight="1" x14ac:dyDescent="0.25">
      <c r="A73" s="1340"/>
      <c r="B73" s="288"/>
      <c r="C73" s="132"/>
      <c r="D73" s="132"/>
      <c r="E73" s="132"/>
      <c r="F73" s="132"/>
      <c r="G73" s="132"/>
      <c r="H73" s="132"/>
      <c r="I73" s="132"/>
      <c r="J73" s="132"/>
      <c r="K73" s="132"/>
      <c r="L73" s="132"/>
      <c r="M73" s="133"/>
      <c r="N73" s="128"/>
    </row>
    <row r="74" spans="1:14" ht="14.25" hidden="1" customHeight="1" x14ac:dyDescent="0.25">
      <c r="A74" s="1340"/>
      <c r="B74" s="288"/>
      <c r="C74" s="132"/>
      <c r="D74" s="132"/>
      <c r="E74" s="132"/>
      <c r="F74" s="132"/>
      <c r="G74" s="132"/>
      <c r="H74" s="132"/>
      <c r="I74" s="132"/>
      <c r="J74" s="132"/>
      <c r="K74" s="132"/>
      <c r="L74" s="132"/>
      <c r="M74" s="133"/>
      <c r="N74" s="128"/>
    </row>
    <row r="75" spans="1:14" ht="14.25" hidden="1" customHeight="1" x14ac:dyDescent="0.25">
      <c r="A75" s="1335"/>
      <c r="B75" s="288"/>
      <c r="C75" s="132"/>
      <c r="D75" s="132"/>
      <c r="E75" s="132"/>
      <c r="F75" s="132"/>
      <c r="G75" s="132"/>
      <c r="H75" s="132"/>
      <c r="I75" s="132"/>
      <c r="J75" s="132"/>
      <c r="K75" s="132"/>
      <c r="L75" s="132"/>
      <c r="M75" s="133"/>
      <c r="N75" s="128"/>
    </row>
    <row r="76" spans="1:14" ht="14.25" hidden="1" customHeight="1" x14ac:dyDescent="0.25">
      <c r="A76" s="1340"/>
      <c r="B76" s="288"/>
      <c r="C76" s="272"/>
      <c r="D76" s="272"/>
      <c r="E76" s="272"/>
      <c r="F76" s="272"/>
      <c r="G76" s="272"/>
      <c r="H76" s="272"/>
      <c r="I76" s="272"/>
      <c r="J76" s="272"/>
      <c r="K76" s="272"/>
      <c r="L76" s="272"/>
      <c r="M76" s="275"/>
      <c r="N76" s="128"/>
    </row>
    <row r="77" spans="1:14" ht="14.25" hidden="1" customHeight="1" x14ac:dyDescent="0.25">
      <c r="A77" s="1341"/>
      <c r="B77" s="837"/>
      <c r="C77" s="270"/>
      <c r="D77" s="270"/>
      <c r="E77" s="270"/>
      <c r="F77" s="270"/>
      <c r="G77" s="270"/>
      <c r="H77" s="270"/>
      <c r="I77" s="270"/>
      <c r="J77" s="270"/>
      <c r="K77" s="270"/>
      <c r="L77" s="270"/>
      <c r="M77" s="271"/>
      <c r="N77" s="128"/>
    </row>
    <row r="78" spans="1:14" ht="4.5" customHeight="1" x14ac:dyDescent="0.25">
      <c r="A78" s="139"/>
      <c r="B78" s="288"/>
      <c r="C78" s="74"/>
      <c r="D78" s="75"/>
      <c r="E78" s="75"/>
      <c r="F78" s="75"/>
      <c r="G78" s="75"/>
      <c r="H78" s="75"/>
      <c r="I78" s="75"/>
      <c r="J78" s="75"/>
      <c r="K78" s="75"/>
      <c r="L78" s="75"/>
      <c r="M78" s="76"/>
      <c r="N78" s="128"/>
    </row>
    <row r="79" spans="1:14" ht="12.75" customHeight="1" x14ac:dyDescent="0.25">
      <c r="A79" s="126" t="s">
        <v>564</v>
      </c>
      <c r="B79" s="288"/>
      <c r="C79" s="74"/>
      <c r="D79" s="75"/>
      <c r="E79" s="75"/>
      <c r="F79" s="75"/>
      <c r="G79" s="75"/>
      <c r="H79" s="75"/>
      <c r="I79" s="75"/>
      <c r="J79" s="75"/>
      <c r="K79" s="75"/>
      <c r="L79" s="75"/>
      <c r="M79" s="76"/>
      <c r="N79" s="128"/>
    </row>
    <row r="80" spans="1:14" ht="12.75" customHeight="1" x14ac:dyDescent="0.25">
      <c r="A80" s="30" t="s">
        <v>1161</v>
      </c>
      <c r="B80" s="288"/>
      <c r="C80" s="130">
        <v>255000000</v>
      </c>
      <c r="D80" s="109">
        <v>255000000</v>
      </c>
      <c r="E80" s="109">
        <v>0</v>
      </c>
      <c r="F80" s="109">
        <v>0</v>
      </c>
      <c r="G80" s="109">
        <v>0</v>
      </c>
      <c r="H80" s="109">
        <v>0</v>
      </c>
      <c r="I80" s="109">
        <v>0</v>
      </c>
      <c r="J80" s="75">
        <f>SUM(E80:I80)</f>
        <v>0</v>
      </c>
      <c r="K80" s="75">
        <f>IF(D80=0,C80+J80,D80+J80)</f>
        <v>255000000</v>
      </c>
      <c r="L80" s="109">
        <v>285000000</v>
      </c>
      <c r="M80" s="110">
        <v>300000000</v>
      </c>
      <c r="N80" s="128"/>
    </row>
    <row r="81" spans="1:14" ht="12.75" customHeight="1" x14ac:dyDescent="0.25">
      <c r="A81" s="30" t="s">
        <v>1162</v>
      </c>
      <c r="B81" s="288"/>
      <c r="C81" s="130">
        <v>0</v>
      </c>
      <c r="D81" s="109">
        <v>0</v>
      </c>
      <c r="E81" s="109">
        <v>0</v>
      </c>
      <c r="F81" s="109">
        <v>0</v>
      </c>
      <c r="G81" s="109">
        <v>0</v>
      </c>
      <c r="H81" s="109">
        <v>0</v>
      </c>
      <c r="I81" s="109">
        <v>0</v>
      </c>
      <c r="J81" s="75">
        <f>SUM(E81:I81)</f>
        <v>0</v>
      </c>
      <c r="K81" s="75">
        <f>IF(D81=0,C81+J81,D81+J81)</f>
        <v>0</v>
      </c>
      <c r="L81" s="109"/>
      <c r="M81" s="110"/>
      <c r="N81" s="128"/>
    </row>
    <row r="82" spans="1:14" ht="12.75" customHeight="1" x14ac:dyDescent="0.25">
      <c r="A82" s="30" t="s">
        <v>1163</v>
      </c>
      <c r="B82" s="288"/>
      <c r="C82" s="130">
        <v>0</v>
      </c>
      <c r="D82" s="109">
        <v>0</v>
      </c>
      <c r="E82" s="109">
        <v>0</v>
      </c>
      <c r="F82" s="109">
        <v>0</v>
      </c>
      <c r="G82" s="109">
        <v>0</v>
      </c>
      <c r="H82" s="109">
        <v>0</v>
      </c>
      <c r="I82" s="109">
        <v>0</v>
      </c>
      <c r="J82" s="75">
        <f>SUM(E82:I82)</f>
        <v>0</v>
      </c>
      <c r="K82" s="75">
        <f>IF(D82=0,C82+J82,D82+J82)</f>
        <v>0</v>
      </c>
      <c r="L82" s="109"/>
      <c r="M82" s="110"/>
      <c r="N82" s="128"/>
    </row>
    <row r="83" spans="1:14" ht="12.75" hidden="1" customHeight="1" x14ac:dyDescent="0.25">
      <c r="A83" s="30"/>
      <c r="B83" s="288"/>
      <c r="C83" s="131"/>
      <c r="D83" s="132"/>
      <c r="E83" s="132"/>
      <c r="F83" s="132"/>
      <c r="G83" s="132"/>
      <c r="H83" s="132"/>
      <c r="I83" s="132"/>
      <c r="J83" s="132"/>
      <c r="K83" s="132"/>
      <c r="L83" s="132"/>
      <c r="M83" s="133"/>
      <c r="N83" s="128"/>
    </row>
    <row r="84" spans="1:14" ht="12.75" customHeight="1" x14ac:dyDescent="0.25">
      <c r="A84" s="139" t="str">
        <f>"Total "&amp;LEFT(A79,35)</f>
        <v>Total Depreciation &amp; asset impairment</v>
      </c>
      <c r="B84" s="288">
        <v>1</v>
      </c>
      <c r="C84" s="150">
        <f>SUM(C80:C82)</f>
        <v>255000000</v>
      </c>
      <c r="D84" s="151">
        <f t="shared" ref="D84:M84" si="10">SUM(D80:D82)</f>
        <v>255000000</v>
      </c>
      <c r="E84" s="151">
        <f t="shared" si="10"/>
        <v>0</v>
      </c>
      <c r="F84" s="151">
        <f t="shared" si="10"/>
        <v>0</v>
      </c>
      <c r="G84" s="151">
        <f t="shared" si="10"/>
        <v>0</v>
      </c>
      <c r="H84" s="151">
        <f t="shared" si="10"/>
        <v>0</v>
      </c>
      <c r="I84" s="151">
        <f t="shared" si="10"/>
        <v>0</v>
      </c>
      <c r="J84" s="151">
        <f t="shared" si="10"/>
        <v>0</v>
      </c>
      <c r="K84" s="151">
        <f t="shared" si="10"/>
        <v>255000000</v>
      </c>
      <c r="L84" s="151">
        <f t="shared" si="10"/>
        <v>285000000</v>
      </c>
      <c r="M84" s="152">
        <f t="shared" si="10"/>
        <v>300000000</v>
      </c>
      <c r="N84" s="128"/>
    </row>
    <row r="85" spans="1:14" ht="5.0999999999999996" customHeight="1" x14ac:dyDescent="0.25">
      <c r="A85" s="139"/>
      <c r="B85" s="288"/>
      <c r="C85" s="74"/>
      <c r="D85" s="75"/>
      <c r="E85" s="75"/>
      <c r="F85" s="75"/>
      <c r="G85" s="75"/>
      <c r="H85" s="75"/>
      <c r="I85" s="75"/>
      <c r="J85" s="75"/>
      <c r="K85" s="75"/>
      <c r="L85" s="75"/>
      <c r="M85" s="76"/>
      <c r="N85" s="128"/>
    </row>
    <row r="86" spans="1:14" ht="12.75" customHeight="1" x14ac:dyDescent="0.25">
      <c r="A86" s="126" t="s">
        <v>652</v>
      </c>
      <c r="B86" s="288"/>
      <c r="C86" s="74"/>
      <c r="D86" s="75"/>
      <c r="E86" s="75"/>
      <c r="F86" s="75"/>
      <c r="G86" s="75"/>
      <c r="H86" s="75"/>
      <c r="I86" s="75"/>
      <c r="J86" s="75"/>
      <c r="K86" s="75"/>
      <c r="L86" s="75"/>
      <c r="M86" s="76"/>
      <c r="N86" s="128"/>
    </row>
    <row r="87" spans="1:14" ht="12.75" customHeight="1" x14ac:dyDescent="0.25">
      <c r="A87" s="129" t="s">
        <v>1427</v>
      </c>
      <c r="B87" s="288"/>
      <c r="C87" s="130">
        <v>810749810</v>
      </c>
      <c r="D87" s="109">
        <v>810749810</v>
      </c>
      <c r="E87" s="109">
        <v>0</v>
      </c>
      <c r="F87" s="109">
        <v>0</v>
      </c>
      <c r="G87" s="109">
        <v>0</v>
      </c>
      <c r="H87" s="109">
        <v>0</v>
      </c>
      <c r="I87" s="109">
        <v>-38750000</v>
      </c>
      <c r="J87" s="75">
        <f>SUM(E87:I87)</f>
        <v>-38750000</v>
      </c>
      <c r="K87" s="75">
        <f>IF(D87=0,C87+J87,D87+J87)</f>
        <v>771999810</v>
      </c>
      <c r="L87" s="109">
        <v>863448547.64999998</v>
      </c>
      <c r="M87" s="110">
        <v>919572703.24724996</v>
      </c>
      <c r="N87" s="128"/>
    </row>
    <row r="88" spans="1:14" ht="12.75" customHeight="1" x14ac:dyDescent="0.25">
      <c r="A88" s="129" t="s">
        <v>1428</v>
      </c>
      <c r="B88" s="288"/>
      <c r="C88" s="130">
        <v>241071915</v>
      </c>
      <c r="D88" s="109">
        <v>241071915</v>
      </c>
      <c r="E88" s="109">
        <v>0</v>
      </c>
      <c r="F88" s="109">
        <v>0</v>
      </c>
      <c r="G88" s="109">
        <v>0</v>
      </c>
      <c r="H88" s="109">
        <v>0</v>
      </c>
      <c r="I88" s="109">
        <v>-40000000</v>
      </c>
      <c r="J88" s="75">
        <f>SUM(E88:I88)</f>
        <v>-40000000</v>
      </c>
      <c r="K88" s="75">
        <f>IF(D88=0,C88+J88,D88+J88)</f>
        <v>201071915</v>
      </c>
      <c r="L88" s="109">
        <v>256741589.47499999</v>
      </c>
      <c r="M88" s="110">
        <v>273429792.79087496</v>
      </c>
      <c r="N88" s="128"/>
    </row>
    <row r="89" spans="1:14" ht="12.75" customHeight="1" x14ac:dyDescent="0.25">
      <c r="A89" s="139" t="s">
        <v>1164</v>
      </c>
      <c r="B89" s="288">
        <v>1</v>
      </c>
      <c r="C89" s="150">
        <f t="shared" ref="C89:M89" si="11">SUM(C87:C88)</f>
        <v>1051821725</v>
      </c>
      <c r="D89" s="151">
        <f t="shared" si="11"/>
        <v>1051821725</v>
      </c>
      <c r="E89" s="151">
        <f t="shared" si="11"/>
        <v>0</v>
      </c>
      <c r="F89" s="151">
        <f t="shared" si="11"/>
        <v>0</v>
      </c>
      <c r="G89" s="151">
        <f t="shared" si="11"/>
        <v>0</v>
      </c>
      <c r="H89" s="151">
        <f t="shared" si="11"/>
        <v>0</v>
      </c>
      <c r="I89" s="151">
        <f t="shared" si="11"/>
        <v>-78750000</v>
      </c>
      <c r="J89" s="151">
        <f t="shared" si="11"/>
        <v>-78750000</v>
      </c>
      <c r="K89" s="151">
        <f t="shared" si="11"/>
        <v>973071725</v>
      </c>
      <c r="L89" s="151">
        <f t="shared" si="11"/>
        <v>1120190137.125</v>
      </c>
      <c r="M89" s="152">
        <f t="shared" si="11"/>
        <v>1193002496.038125</v>
      </c>
      <c r="N89" s="128"/>
    </row>
    <row r="90" spans="1:14" ht="5.0999999999999996" customHeight="1" x14ac:dyDescent="0.25">
      <c r="A90" s="139"/>
      <c r="B90" s="288"/>
      <c r="C90" s="74"/>
      <c r="D90" s="75"/>
      <c r="E90" s="75"/>
      <c r="F90" s="75"/>
      <c r="G90" s="75"/>
      <c r="H90" s="75"/>
      <c r="I90" s="75"/>
      <c r="J90" s="75"/>
      <c r="K90" s="75"/>
      <c r="L90" s="75"/>
      <c r="M90" s="76"/>
      <c r="N90" s="128"/>
    </row>
    <row r="91" spans="1:14" x14ac:dyDescent="0.25">
      <c r="A91" s="126" t="s">
        <v>655</v>
      </c>
      <c r="B91" s="288"/>
      <c r="C91" s="74"/>
      <c r="D91" s="75"/>
      <c r="E91" s="75"/>
      <c r="F91" s="75"/>
      <c r="G91" s="75"/>
      <c r="H91" s="75"/>
      <c r="I91" s="75"/>
      <c r="J91" s="75"/>
      <c r="K91" s="75"/>
      <c r="L91" s="75"/>
      <c r="M91" s="76"/>
      <c r="N91" s="128"/>
    </row>
    <row r="92" spans="1:14" x14ac:dyDescent="0.25">
      <c r="A92" s="129" t="s">
        <v>1429</v>
      </c>
      <c r="B92" s="288"/>
      <c r="C92" s="109">
        <v>11500008</v>
      </c>
      <c r="D92" s="109">
        <v>0</v>
      </c>
      <c r="E92" s="109">
        <v>0</v>
      </c>
      <c r="F92" s="109">
        <v>0</v>
      </c>
      <c r="G92" s="109">
        <v>0</v>
      </c>
      <c r="H92" s="109">
        <v>0</v>
      </c>
      <c r="I92" s="109">
        <v>28000000</v>
      </c>
      <c r="J92" s="75">
        <f>SUM(E92:I92)</f>
        <v>28000000</v>
      </c>
      <c r="K92" s="75">
        <f>IF(D92=0,C92+J92,D92+J92)</f>
        <v>39500008</v>
      </c>
      <c r="L92" s="109">
        <v>0</v>
      </c>
      <c r="M92" s="110">
        <v>0</v>
      </c>
      <c r="N92" s="128"/>
    </row>
    <row r="93" spans="1:14" x14ac:dyDescent="0.25">
      <c r="A93" s="129" t="s">
        <v>1430</v>
      </c>
      <c r="B93" s="288"/>
      <c r="C93" s="144">
        <v>0</v>
      </c>
      <c r="D93" s="144">
        <v>0</v>
      </c>
      <c r="E93" s="144">
        <v>0</v>
      </c>
      <c r="F93" s="144">
        <v>0</v>
      </c>
      <c r="G93" s="144">
        <v>0</v>
      </c>
      <c r="H93" s="144">
        <v>0</v>
      </c>
      <c r="I93" s="144">
        <v>0</v>
      </c>
      <c r="J93" s="145">
        <f>SUM(E93:I93)</f>
        <v>0</v>
      </c>
      <c r="K93" s="145">
        <f>IF(D93=0,C93+J93,D93+J93)</f>
        <v>0</v>
      </c>
      <c r="L93" s="144">
        <v>0</v>
      </c>
      <c r="M93" s="113">
        <v>0</v>
      </c>
      <c r="N93" s="128"/>
    </row>
    <row r="94" spans="1:14" x14ac:dyDescent="0.25">
      <c r="A94" s="139" t="s">
        <v>1431</v>
      </c>
      <c r="B94" s="288"/>
      <c r="C94" s="141">
        <f t="shared" ref="C94:I94" si="12">SUM(C92:C93)</f>
        <v>11500008</v>
      </c>
      <c r="D94" s="141">
        <f t="shared" si="12"/>
        <v>0</v>
      </c>
      <c r="E94" s="141">
        <f t="shared" si="12"/>
        <v>0</v>
      </c>
      <c r="F94" s="141">
        <f t="shared" si="12"/>
        <v>0</v>
      </c>
      <c r="G94" s="141">
        <f t="shared" si="12"/>
        <v>0</v>
      </c>
      <c r="H94" s="141">
        <f t="shared" si="12"/>
        <v>0</v>
      </c>
      <c r="I94" s="141">
        <f t="shared" si="12"/>
        <v>28000000</v>
      </c>
      <c r="J94" s="141">
        <f>SUM(J92:J93)</f>
        <v>28000000</v>
      </c>
      <c r="K94" s="141">
        <f>SUM(K92:K93)</f>
        <v>39500008</v>
      </c>
      <c r="L94" s="141">
        <f>SUM(L92:L93)</f>
        <v>0</v>
      </c>
      <c r="M94" s="142">
        <f>SUM(M92:M93)</f>
        <v>0</v>
      </c>
      <c r="N94" s="128"/>
    </row>
    <row r="95" spans="1:14" ht="4.5" customHeight="1" x14ac:dyDescent="0.25">
      <c r="A95" s="139"/>
      <c r="B95" s="288"/>
      <c r="C95" s="74"/>
      <c r="D95" s="75"/>
      <c r="E95" s="75"/>
      <c r="F95" s="75"/>
      <c r="G95" s="75"/>
      <c r="H95" s="75"/>
      <c r="I95" s="75"/>
      <c r="J95" s="75"/>
      <c r="K95" s="75"/>
      <c r="L95" s="75"/>
      <c r="M95" s="76"/>
      <c r="N95" s="128"/>
    </row>
    <row r="96" spans="1:14" ht="12.75" customHeight="1" x14ac:dyDescent="0.25">
      <c r="A96" s="126" t="s">
        <v>654</v>
      </c>
      <c r="B96" s="288"/>
      <c r="C96" s="74"/>
      <c r="D96" s="75"/>
      <c r="E96" s="75"/>
      <c r="F96" s="75"/>
      <c r="G96" s="75"/>
      <c r="H96" s="75"/>
      <c r="I96" s="75"/>
      <c r="J96" s="75"/>
      <c r="K96" s="75"/>
      <c r="L96" s="75"/>
      <c r="M96" s="76"/>
      <c r="N96" s="128"/>
    </row>
    <row r="97" spans="1:14" ht="12.75" customHeight="1" x14ac:dyDescent="0.25">
      <c r="A97" s="1342" t="s">
        <v>1802</v>
      </c>
      <c r="B97" s="288"/>
      <c r="C97" s="109">
        <v>256613434</v>
      </c>
      <c r="D97" s="109">
        <v>254013434</v>
      </c>
      <c r="E97" s="109">
        <v>0</v>
      </c>
      <c r="F97" s="109">
        <v>0</v>
      </c>
      <c r="G97" s="109">
        <v>0</v>
      </c>
      <c r="H97" s="109">
        <v>0</v>
      </c>
      <c r="I97" s="109">
        <f>111109816-37920670</f>
        <v>73189146</v>
      </c>
      <c r="J97" s="75">
        <f>SUM(E97:I97)</f>
        <v>73189146</v>
      </c>
      <c r="K97" s="75">
        <f>IF(D97=0,C97+J97,D97+J97)</f>
        <v>327202580</v>
      </c>
      <c r="L97" s="109">
        <v>0</v>
      </c>
      <c r="M97" s="110">
        <v>0</v>
      </c>
      <c r="N97" s="128"/>
    </row>
    <row r="98" spans="1:14" ht="12.75" customHeight="1" x14ac:dyDescent="0.25">
      <c r="A98" s="1342" t="s">
        <v>1803</v>
      </c>
      <c r="B98" s="288"/>
      <c r="C98" s="109">
        <v>224071559</v>
      </c>
      <c r="D98" s="109">
        <v>233171559</v>
      </c>
      <c r="E98" s="109">
        <v>0</v>
      </c>
      <c r="F98" s="109">
        <v>0</v>
      </c>
      <c r="G98" s="109">
        <v>0</v>
      </c>
      <c r="H98" s="109">
        <v>37920670</v>
      </c>
      <c r="I98" s="109">
        <f>89533343+1686646</f>
        <v>91219989</v>
      </c>
      <c r="J98" s="75">
        <f>SUM(E98:I98)</f>
        <v>129140659</v>
      </c>
      <c r="K98" s="75">
        <f>IF(D98=0,C98+J98,D98+J98)</f>
        <v>362312218</v>
      </c>
      <c r="L98" s="109">
        <v>0</v>
      </c>
      <c r="M98" s="110">
        <v>0</v>
      </c>
      <c r="N98" s="128"/>
    </row>
    <row r="99" spans="1:14" ht="12.75" customHeight="1" x14ac:dyDescent="0.25">
      <c r="A99" s="1342" t="s">
        <v>1804</v>
      </c>
      <c r="B99" s="288"/>
      <c r="C99" s="109">
        <v>201335589</v>
      </c>
      <c r="D99" s="109">
        <v>181335589</v>
      </c>
      <c r="E99" s="109">
        <v>0</v>
      </c>
      <c r="F99" s="109">
        <v>0</v>
      </c>
      <c r="G99" s="109">
        <v>0</v>
      </c>
      <c r="H99" s="109">
        <v>0</v>
      </c>
      <c r="I99" s="109">
        <v>51761293</v>
      </c>
      <c r="J99" s="75">
        <f>SUM(E99:I99)</f>
        <v>51761293</v>
      </c>
      <c r="K99" s="75">
        <f>IF(D99=0,C99+J99,D99+J99)</f>
        <v>233096882</v>
      </c>
      <c r="L99" s="109">
        <v>706201081</v>
      </c>
      <c r="M99" s="110">
        <v>740098728</v>
      </c>
      <c r="N99" s="128"/>
    </row>
    <row r="100" spans="1:14" ht="12.75" hidden="1" customHeight="1" x14ac:dyDescent="0.25">
      <c r="A100" s="1335"/>
      <c r="B100" s="288"/>
      <c r="C100" s="132"/>
      <c r="D100" s="132"/>
      <c r="E100" s="132"/>
      <c r="F100" s="132"/>
      <c r="G100" s="132"/>
      <c r="H100" s="132"/>
      <c r="I100" s="132"/>
      <c r="J100" s="132"/>
      <c r="K100" s="132"/>
      <c r="L100" s="132"/>
      <c r="M100" s="133"/>
      <c r="N100" s="128"/>
    </row>
    <row r="101" spans="1:14" ht="12.75" hidden="1" customHeight="1" x14ac:dyDescent="0.25">
      <c r="A101" s="1335"/>
      <c r="B101" s="288"/>
      <c r="C101" s="132"/>
      <c r="D101" s="132"/>
      <c r="E101" s="132"/>
      <c r="F101" s="132"/>
      <c r="G101" s="132"/>
      <c r="H101" s="132"/>
      <c r="I101" s="132"/>
      <c r="J101" s="132"/>
      <c r="K101" s="132"/>
      <c r="L101" s="132"/>
      <c r="M101" s="133"/>
      <c r="N101" s="128"/>
    </row>
    <row r="102" spans="1:14" ht="12.75" hidden="1" customHeight="1" x14ac:dyDescent="0.25">
      <c r="A102" s="1335"/>
      <c r="B102" s="288"/>
      <c r="C102" s="132"/>
      <c r="D102" s="132"/>
      <c r="E102" s="132"/>
      <c r="F102" s="132"/>
      <c r="G102" s="132"/>
      <c r="H102" s="132"/>
      <c r="I102" s="132"/>
      <c r="J102" s="132"/>
      <c r="K102" s="132"/>
      <c r="L102" s="132"/>
      <c r="M102" s="133"/>
      <c r="N102" s="128"/>
    </row>
    <row r="103" spans="1:14" ht="12.75" hidden="1" customHeight="1" x14ac:dyDescent="0.25">
      <c r="A103" s="1335"/>
      <c r="B103" s="288"/>
      <c r="C103" s="132"/>
      <c r="D103" s="132"/>
      <c r="E103" s="132"/>
      <c r="F103" s="132"/>
      <c r="G103" s="132"/>
      <c r="H103" s="132"/>
      <c r="I103" s="132"/>
      <c r="J103" s="132"/>
      <c r="K103" s="132"/>
      <c r="L103" s="132"/>
      <c r="M103" s="133"/>
      <c r="N103" s="128"/>
    </row>
    <row r="104" spans="1:14" ht="12.75" hidden="1" customHeight="1" x14ac:dyDescent="0.25">
      <c r="A104" s="1335"/>
      <c r="B104" s="288"/>
      <c r="C104" s="132"/>
      <c r="D104" s="132"/>
      <c r="E104" s="132"/>
      <c r="F104" s="132"/>
      <c r="G104" s="132"/>
      <c r="H104" s="132"/>
      <c r="I104" s="132"/>
      <c r="J104" s="132"/>
      <c r="K104" s="132"/>
      <c r="L104" s="132"/>
      <c r="M104" s="133"/>
      <c r="N104" s="128"/>
    </row>
    <row r="105" spans="1:14" ht="12.75" hidden="1" customHeight="1" x14ac:dyDescent="0.25">
      <c r="A105" s="1335"/>
      <c r="B105" s="288"/>
      <c r="C105" s="132"/>
      <c r="D105" s="132"/>
      <c r="E105" s="132"/>
      <c r="F105" s="132"/>
      <c r="G105" s="132"/>
      <c r="H105" s="132"/>
      <c r="I105" s="132"/>
      <c r="J105" s="132"/>
      <c r="K105" s="132"/>
      <c r="L105" s="132"/>
      <c r="M105" s="133"/>
      <c r="N105" s="128"/>
    </row>
    <row r="106" spans="1:14" ht="12.75" hidden="1" customHeight="1" x14ac:dyDescent="0.25">
      <c r="A106" s="1335"/>
      <c r="B106" s="288"/>
      <c r="C106" s="132"/>
      <c r="D106" s="132"/>
      <c r="E106" s="132"/>
      <c r="F106" s="132"/>
      <c r="G106" s="132"/>
      <c r="H106" s="132"/>
      <c r="I106" s="132"/>
      <c r="J106" s="132"/>
      <c r="K106" s="132"/>
      <c r="L106" s="132"/>
      <c r="M106" s="133"/>
      <c r="N106" s="128"/>
    </row>
    <row r="107" spans="1:14" ht="12.75" hidden="1" customHeight="1" x14ac:dyDescent="0.25">
      <c r="A107" s="1335"/>
      <c r="B107" s="288"/>
      <c r="C107" s="132"/>
      <c r="D107" s="132"/>
      <c r="E107" s="132"/>
      <c r="F107" s="132"/>
      <c r="G107" s="132"/>
      <c r="H107" s="132"/>
      <c r="I107" s="132"/>
      <c r="J107" s="132"/>
      <c r="K107" s="132"/>
      <c r="L107" s="132"/>
      <c r="M107" s="133"/>
      <c r="N107" s="128"/>
    </row>
    <row r="108" spans="1:14" ht="12.75" hidden="1" customHeight="1" x14ac:dyDescent="0.25">
      <c r="A108" s="1335"/>
      <c r="B108" s="288"/>
      <c r="C108" s="132"/>
      <c r="D108" s="132"/>
      <c r="E108" s="132"/>
      <c r="F108" s="132"/>
      <c r="G108" s="132"/>
      <c r="H108" s="132"/>
      <c r="I108" s="132"/>
      <c r="J108" s="132"/>
      <c r="K108" s="132"/>
      <c r="L108" s="132"/>
      <c r="M108" s="133"/>
      <c r="N108" s="128"/>
    </row>
    <row r="109" spans="1:14" ht="12.75" hidden="1" customHeight="1" x14ac:dyDescent="0.25">
      <c r="A109" s="1335"/>
      <c r="B109" s="288"/>
      <c r="C109" s="132"/>
      <c r="D109" s="132"/>
      <c r="E109" s="132"/>
      <c r="F109" s="132"/>
      <c r="G109" s="132"/>
      <c r="H109" s="132"/>
      <c r="I109" s="132"/>
      <c r="J109" s="132"/>
      <c r="K109" s="132"/>
      <c r="L109" s="132"/>
      <c r="M109" s="133"/>
      <c r="N109" s="128"/>
    </row>
    <row r="110" spans="1:14" ht="12.75" hidden="1" customHeight="1" x14ac:dyDescent="0.25">
      <c r="A110" s="1335"/>
      <c r="B110" s="288"/>
      <c r="C110" s="132"/>
      <c r="D110" s="132"/>
      <c r="E110" s="132"/>
      <c r="F110" s="132"/>
      <c r="G110" s="132"/>
      <c r="H110" s="132"/>
      <c r="I110" s="132"/>
      <c r="J110" s="132"/>
      <c r="K110" s="132"/>
      <c r="L110" s="132"/>
      <c r="M110" s="133"/>
      <c r="N110" s="128"/>
    </row>
    <row r="111" spans="1:14" ht="12.75" hidden="1" customHeight="1" x14ac:dyDescent="0.25">
      <c r="A111" s="1335"/>
      <c r="B111" s="288"/>
      <c r="C111" s="132"/>
      <c r="D111" s="132"/>
      <c r="E111" s="132"/>
      <c r="F111" s="132"/>
      <c r="G111" s="132"/>
      <c r="H111" s="132"/>
      <c r="I111" s="132"/>
      <c r="J111" s="132"/>
      <c r="K111" s="132"/>
      <c r="L111" s="132"/>
      <c r="M111" s="133"/>
      <c r="N111" s="128"/>
    </row>
    <row r="112" spans="1:14" ht="12.75" hidden="1" customHeight="1" x14ac:dyDescent="0.25">
      <c r="A112" s="1335"/>
      <c r="B112" s="288"/>
      <c r="C112" s="132"/>
      <c r="D112" s="132"/>
      <c r="E112" s="132"/>
      <c r="F112" s="132"/>
      <c r="G112" s="132"/>
      <c r="H112" s="132"/>
      <c r="I112" s="132"/>
      <c r="J112" s="132"/>
      <c r="K112" s="132"/>
      <c r="L112" s="132"/>
      <c r="M112" s="133"/>
      <c r="N112" s="128"/>
    </row>
    <row r="113" spans="1:14" ht="12.75" hidden="1" customHeight="1" x14ac:dyDescent="0.25">
      <c r="A113" s="1335"/>
      <c r="B113" s="288"/>
      <c r="C113" s="132"/>
      <c r="D113" s="132"/>
      <c r="E113" s="132"/>
      <c r="F113" s="132"/>
      <c r="G113" s="132"/>
      <c r="H113" s="132"/>
      <c r="I113" s="132"/>
      <c r="J113" s="132"/>
      <c r="K113" s="132"/>
      <c r="L113" s="132"/>
      <c r="M113" s="133"/>
      <c r="N113" s="128"/>
    </row>
    <row r="114" spans="1:14" ht="12.75" hidden="1" customHeight="1" x14ac:dyDescent="0.25">
      <c r="A114" s="1335"/>
      <c r="B114" s="288"/>
      <c r="C114" s="132"/>
      <c r="D114" s="132"/>
      <c r="E114" s="132"/>
      <c r="F114" s="132"/>
      <c r="G114" s="132"/>
      <c r="H114" s="132"/>
      <c r="I114" s="132"/>
      <c r="J114" s="132"/>
      <c r="K114" s="132"/>
      <c r="L114" s="132"/>
      <c r="M114" s="133"/>
      <c r="N114" s="128"/>
    </row>
    <row r="115" spans="1:14" ht="12.75" hidden="1" customHeight="1" x14ac:dyDescent="0.25">
      <c r="A115" s="1335"/>
      <c r="B115" s="288"/>
      <c r="C115" s="132"/>
      <c r="D115" s="132"/>
      <c r="E115" s="132"/>
      <c r="F115" s="132"/>
      <c r="G115" s="132"/>
      <c r="H115" s="132"/>
      <c r="I115" s="132"/>
      <c r="J115" s="132"/>
      <c r="K115" s="132"/>
      <c r="L115" s="132"/>
      <c r="M115" s="133"/>
      <c r="N115" s="128"/>
    </row>
    <row r="116" spans="1:14" ht="12.75" hidden="1" customHeight="1" x14ac:dyDescent="0.25">
      <c r="A116" s="1335"/>
      <c r="B116" s="288"/>
      <c r="C116" s="132"/>
      <c r="D116" s="132"/>
      <c r="E116" s="132"/>
      <c r="F116" s="132"/>
      <c r="G116" s="132"/>
      <c r="H116" s="132"/>
      <c r="I116" s="132"/>
      <c r="J116" s="132"/>
      <c r="K116" s="132"/>
      <c r="L116" s="132"/>
      <c r="M116" s="133"/>
      <c r="N116" s="128"/>
    </row>
    <row r="117" spans="1:14" ht="12.75" hidden="1" customHeight="1" x14ac:dyDescent="0.25">
      <c r="A117" s="1335"/>
      <c r="B117" s="288"/>
      <c r="C117" s="132"/>
      <c r="D117" s="132"/>
      <c r="E117" s="132"/>
      <c r="F117" s="132"/>
      <c r="G117" s="132"/>
      <c r="H117" s="132"/>
      <c r="I117" s="132"/>
      <c r="J117" s="132"/>
      <c r="K117" s="132"/>
      <c r="L117" s="132"/>
      <c r="M117" s="133"/>
      <c r="N117" s="128"/>
    </row>
    <row r="118" spans="1:14" ht="12.75" hidden="1" customHeight="1" x14ac:dyDescent="0.25">
      <c r="A118" s="1335"/>
      <c r="B118" s="288"/>
      <c r="C118" s="132"/>
      <c r="D118" s="132"/>
      <c r="E118" s="132"/>
      <c r="F118" s="132"/>
      <c r="G118" s="132"/>
      <c r="H118" s="132"/>
      <c r="I118" s="132"/>
      <c r="J118" s="132"/>
      <c r="K118" s="132"/>
      <c r="L118" s="132"/>
      <c r="M118" s="133"/>
      <c r="N118" s="128"/>
    </row>
    <row r="119" spans="1:14" ht="12.75" hidden="1" customHeight="1" x14ac:dyDescent="0.25">
      <c r="A119" s="1335"/>
      <c r="B119" s="288"/>
      <c r="C119" s="132"/>
      <c r="D119" s="132"/>
      <c r="E119" s="132"/>
      <c r="F119" s="132"/>
      <c r="G119" s="132"/>
      <c r="H119" s="132"/>
      <c r="I119" s="132"/>
      <c r="J119" s="132"/>
      <c r="K119" s="132"/>
      <c r="L119" s="132"/>
      <c r="M119" s="133"/>
      <c r="N119" s="128"/>
    </row>
    <row r="120" spans="1:14" ht="12.75" hidden="1" customHeight="1" x14ac:dyDescent="0.25">
      <c r="A120" s="1335"/>
      <c r="B120" s="288"/>
      <c r="C120" s="132"/>
      <c r="D120" s="132"/>
      <c r="E120" s="132"/>
      <c r="F120" s="132"/>
      <c r="G120" s="132"/>
      <c r="H120" s="132"/>
      <c r="I120" s="132"/>
      <c r="J120" s="132"/>
      <c r="K120" s="132"/>
      <c r="L120" s="132"/>
      <c r="M120" s="133"/>
      <c r="N120" s="128"/>
    </row>
    <row r="121" spans="1:14" ht="12.75" hidden="1" customHeight="1" x14ac:dyDescent="0.25">
      <c r="A121" s="1335"/>
      <c r="B121" s="288"/>
      <c r="C121" s="272"/>
      <c r="D121" s="272"/>
      <c r="E121" s="272"/>
      <c r="F121" s="272"/>
      <c r="G121" s="272"/>
      <c r="H121" s="272"/>
      <c r="I121" s="272"/>
      <c r="J121" s="272"/>
      <c r="K121" s="272"/>
      <c r="L121" s="272"/>
      <c r="M121" s="275"/>
      <c r="N121" s="128"/>
    </row>
    <row r="122" spans="1:14" ht="12.75" hidden="1" customHeight="1" x14ac:dyDescent="0.25">
      <c r="A122" s="291"/>
      <c r="B122" s="288"/>
      <c r="C122" s="140"/>
      <c r="D122" s="140"/>
      <c r="E122" s="141"/>
      <c r="F122" s="141"/>
      <c r="G122" s="141"/>
      <c r="H122" s="141"/>
      <c r="I122" s="141"/>
      <c r="J122" s="141"/>
      <c r="K122" s="141"/>
      <c r="L122" s="141"/>
      <c r="M122" s="142"/>
      <c r="N122" s="128"/>
    </row>
    <row r="123" spans="1:14" ht="12.75" hidden="1" customHeight="1" x14ac:dyDescent="0.25">
      <c r="A123" s="165"/>
      <c r="B123" s="288"/>
      <c r="C123" s="131"/>
      <c r="D123" s="132"/>
      <c r="E123" s="132"/>
      <c r="F123" s="132"/>
      <c r="G123" s="132"/>
      <c r="H123" s="132"/>
      <c r="I123" s="132"/>
      <c r="J123" s="132"/>
      <c r="K123" s="132"/>
      <c r="L123" s="132"/>
      <c r="M123" s="133"/>
      <c r="N123" s="128"/>
    </row>
    <row r="124" spans="1:14" ht="12.75" hidden="1" customHeight="1" x14ac:dyDescent="0.25">
      <c r="A124" s="163"/>
      <c r="B124" s="288"/>
      <c r="C124" s="131"/>
      <c r="D124" s="132"/>
      <c r="E124" s="132"/>
      <c r="F124" s="132"/>
      <c r="G124" s="132"/>
      <c r="H124" s="132"/>
      <c r="I124" s="132"/>
      <c r="J124" s="132"/>
      <c r="K124" s="132"/>
      <c r="L124" s="132"/>
      <c r="M124" s="133"/>
      <c r="N124" s="128"/>
    </row>
    <row r="125" spans="1:14" ht="12.75" hidden="1" customHeight="1" x14ac:dyDescent="0.25">
      <c r="A125" s="163"/>
      <c r="B125" s="288"/>
      <c r="C125" s="131"/>
      <c r="D125" s="132"/>
      <c r="E125" s="132"/>
      <c r="F125" s="132"/>
      <c r="G125" s="132"/>
      <c r="H125" s="132"/>
      <c r="I125" s="132"/>
      <c r="J125" s="132"/>
      <c r="K125" s="132"/>
      <c r="L125" s="132"/>
      <c r="M125" s="133"/>
      <c r="N125" s="128"/>
    </row>
    <row r="126" spans="1:14" ht="12.75" hidden="1" customHeight="1" x14ac:dyDescent="0.25">
      <c r="A126" s="163"/>
      <c r="B126" s="288"/>
      <c r="C126" s="131"/>
      <c r="D126" s="132"/>
      <c r="E126" s="132"/>
      <c r="F126" s="132"/>
      <c r="G126" s="132"/>
      <c r="H126" s="132"/>
      <c r="I126" s="132"/>
      <c r="J126" s="132"/>
      <c r="K126" s="132"/>
      <c r="L126" s="132"/>
      <c r="M126" s="133"/>
      <c r="N126" s="128"/>
    </row>
    <row r="127" spans="1:14" ht="12.75" hidden="1" customHeight="1" x14ac:dyDescent="0.25">
      <c r="A127" s="163"/>
      <c r="B127" s="288"/>
      <c r="C127" s="131"/>
      <c r="D127" s="132"/>
      <c r="E127" s="132"/>
      <c r="F127" s="132"/>
      <c r="G127" s="132"/>
      <c r="H127" s="132"/>
      <c r="I127" s="132"/>
      <c r="J127" s="132"/>
      <c r="K127" s="132"/>
      <c r="L127" s="132"/>
      <c r="M127" s="133"/>
      <c r="N127" s="128"/>
    </row>
    <row r="128" spans="1:14" ht="12.75" customHeight="1" x14ac:dyDescent="0.25">
      <c r="A128" s="139" t="s">
        <v>1805</v>
      </c>
      <c r="B128" s="288"/>
      <c r="C128" s="150">
        <f>SUM(C97:C99)</f>
        <v>682020582</v>
      </c>
      <c r="D128" s="151">
        <f t="shared" ref="D128:M128" si="13">SUM(D97:D99)</f>
        <v>668520582</v>
      </c>
      <c r="E128" s="1074">
        <f t="shared" si="13"/>
        <v>0</v>
      </c>
      <c r="F128" s="1074">
        <f t="shared" si="13"/>
        <v>0</v>
      </c>
      <c r="G128" s="1074">
        <f t="shared" si="13"/>
        <v>0</v>
      </c>
      <c r="H128" s="1074">
        <f t="shared" si="13"/>
        <v>37920670</v>
      </c>
      <c r="I128" s="1074">
        <f t="shared" si="13"/>
        <v>216170428</v>
      </c>
      <c r="J128" s="1074">
        <f t="shared" si="13"/>
        <v>254091098</v>
      </c>
      <c r="K128" s="1074">
        <f t="shared" si="13"/>
        <v>922611680</v>
      </c>
      <c r="L128" s="1074">
        <f t="shared" si="13"/>
        <v>706201081</v>
      </c>
      <c r="M128" s="1075">
        <f t="shared" si="13"/>
        <v>740098728</v>
      </c>
      <c r="N128" s="128"/>
    </row>
    <row r="129" spans="1:14" ht="5.0999999999999996" customHeight="1" x14ac:dyDescent="0.25">
      <c r="A129" s="136"/>
      <c r="B129" s="288"/>
      <c r="C129" s="74"/>
      <c r="D129" s="75"/>
      <c r="E129" s="75"/>
      <c r="F129" s="75"/>
      <c r="G129" s="75"/>
      <c r="H129" s="75"/>
      <c r="I129" s="75"/>
      <c r="J129" s="75"/>
      <c r="K129" s="75"/>
      <c r="L129" s="75"/>
      <c r="M129" s="76"/>
      <c r="N129" s="128"/>
    </row>
    <row r="130" spans="1:14" ht="12.75" customHeight="1" x14ac:dyDescent="0.25">
      <c r="A130" s="126" t="s">
        <v>1165</v>
      </c>
      <c r="B130" s="294"/>
      <c r="C130" s="74"/>
      <c r="D130" s="75"/>
      <c r="E130" s="75"/>
      <c r="F130" s="75"/>
      <c r="G130" s="75"/>
      <c r="H130" s="75"/>
      <c r="I130" s="75"/>
      <c r="J130" s="75"/>
      <c r="K130" s="75"/>
      <c r="L130" s="75"/>
      <c r="M130" s="76"/>
      <c r="N130" s="128"/>
    </row>
    <row r="131" spans="1:14" ht="12.75" customHeight="1" x14ac:dyDescent="0.25">
      <c r="A131" s="1343" t="s">
        <v>1166</v>
      </c>
      <c r="B131" s="288"/>
      <c r="C131" s="130">
        <v>0</v>
      </c>
      <c r="D131" s="109">
        <v>0</v>
      </c>
      <c r="E131" s="109">
        <v>0</v>
      </c>
      <c r="F131" s="109">
        <v>0</v>
      </c>
      <c r="G131" s="109">
        <v>0</v>
      </c>
      <c r="H131" s="109">
        <v>0</v>
      </c>
      <c r="I131" s="109">
        <v>0</v>
      </c>
      <c r="J131" s="75">
        <f>SUM(E131:I131)</f>
        <v>0</v>
      </c>
      <c r="K131" s="75">
        <f>IF(D131=0,C131+J131,D131+J131)</f>
        <v>0</v>
      </c>
      <c r="L131" s="109">
        <v>0</v>
      </c>
      <c r="M131" s="110">
        <v>0</v>
      </c>
      <c r="N131" s="128"/>
    </row>
    <row r="132" spans="1:14" ht="12.75" customHeight="1" x14ac:dyDescent="0.25">
      <c r="A132" s="1343" t="s">
        <v>1167</v>
      </c>
      <c r="B132" s="288"/>
      <c r="C132" s="130">
        <v>0</v>
      </c>
      <c r="D132" s="109">
        <v>0</v>
      </c>
      <c r="E132" s="109">
        <v>0</v>
      </c>
      <c r="F132" s="109">
        <v>0</v>
      </c>
      <c r="G132" s="109">
        <v>0</v>
      </c>
      <c r="H132" s="109">
        <v>0</v>
      </c>
      <c r="I132" s="109">
        <v>0</v>
      </c>
      <c r="J132" s="75">
        <f>SUM(E132:I132)</f>
        <v>0</v>
      </c>
      <c r="K132" s="75">
        <f>IF(D132=0,C132+J132,D132+J132)</f>
        <v>0</v>
      </c>
      <c r="L132" s="109">
        <v>0</v>
      </c>
      <c r="M132" s="110">
        <v>0</v>
      </c>
      <c r="N132" s="128"/>
    </row>
    <row r="133" spans="1:14" ht="12.75" hidden="1" customHeight="1" x14ac:dyDescent="0.25">
      <c r="A133" s="749"/>
      <c r="B133" s="288"/>
      <c r="C133" s="131"/>
      <c r="D133" s="132"/>
      <c r="E133" s="132"/>
      <c r="F133" s="132"/>
      <c r="G133" s="132"/>
      <c r="H133" s="132"/>
      <c r="I133" s="132"/>
      <c r="J133" s="132"/>
      <c r="K133" s="132"/>
      <c r="L133" s="132"/>
      <c r="M133" s="133"/>
      <c r="N133" s="128"/>
    </row>
    <row r="134" spans="1:14" ht="12.75" customHeight="1" x14ac:dyDescent="0.25">
      <c r="A134" s="1343" t="s">
        <v>1168</v>
      </c>
      <c r="B134" s="288"/>
      <c r="C134" s="130">
        <v>0</v>
      </c>
      <c r="D134" s="109">
        <v>0</v>
      </c>
      <c r="E134" s="109">
        <v>0</v>
      </c>
      <c r="F134" s="109">
        <v>0</v>
      </c>
      <c r="G134" s="109">
        <v>0</v>
      </c>
      <c r="H134" s="109">
        <v>0</v>
      </c>
      <c r="I134" s="109">
        <v>0</v>
      </c>
      <c r="J134" s="75">
        <f>SUM(E134:I134)</f>
        <v>0</v>
      </c>
      <c r="K134" s="75">
        <f>IF(D134=0,C134+J134,D134+J134)</f>
        <v>0</v>
      </c>
      <c r="L134" s="109">
        <v>0</v>
      </c>
      <c r="M134" s="110">
        <v>0</v>
      </c>
      <c r="N134" s="128"/>
    </row>
    <row r="135" spans="1:14" s="128" customFormat="1" ht="12.75" hidden="1" customHeight="1" x14ac:dyDescent="0.25">
      <c r="A135" s="749"/>
      <c r="B135" s="1345"/>
      <c r="C135" s="131"/>
      <c r="D135" s="132"/>
      <c r="E135" s="132"/>
      <c r="F135" s="132"/>
      <c r="G135" s="132"/>
      <c r="H135" s="132"/>
      <c r="I135" s="132"/>
      <c r="J135" s="132"/>
      <c r="K135" s="132"/>
      <c r="L135" s="132"/>
      <c r="M135" s="133"/>
    </row>
    <row r="136" spans="1:14" s="128" customFormat="1" ht="12.75" hidden="1" customHeight="1" x14ac:dyDescent="0.25">
      <c r="A136" s="1335"/>
      <c r="B136" s="1345"/>
      <c r="C136" s="131"/>
      <c r="D136" s="132"/>
      <c r="E136" s="132"/>
      <c r="F136" s="132"/>
      <c r="G136" s="132"/>
      <c r="H136" s="132"/>
      <c r="I136" s="132"/>
      <c r="J136" s="132"/>
      <c r="K136" s="132"/>
      <c r="L136" s="132"/>
      <c r="M136" s="133"/>
    </row>
    <row r="137" spans="1:14" ht="12.75" customHeight="1" x14ac:dyDescent="0.25">
      <c r="A137" s="1344" t="s">
        <v>1434</v>
      </c>
      <c r="B137" s="288"/>
      <c r="C137" s="130">
        <v>208986543</v>
      </c>
      <c r="D137" s="109">
        <v>217986543</v>
      </c>
      <c r="E137" s="109">
        <v>0</v>
      </c>
      <c r="F137" s="109">
        <v>0</v>
      </c>
      <c r="G137" s="109">
        <v>0</v>
      </c>
      <c r="H137" s="109">
        <v>0</v>
      </c>
      <c r="I137" s="109">
        <v>-4531594</v>
      </c>
      <c r="J137" s="75">
        <f>SUM(E137:I137)</f>
        <v>-4531594</v>
      </c>
      <c r="K137" s="75">
        <f>IF(D137=0,C137+J137,D137+J137)</f>
        <v>213454949</v>
      </c>
      <c r="L137" s="109">
        <v>212787899</v>
      </c>
      <c r="M137" s="110">
        <v>223001877</v>
      </c>
      <c r="N137" s="128"/>
    </row>
    <row r="138" spans="1:14" ht="12.75" hidden="1" customHeight="1" x14ac:dyDescent="0.25">
      <c r="A138" s="1335"/>
      <c r="B138" s="288"/>
      <c r="C138" s="131"/>
      <c r="D138" s="132"/>
      <c r="E138" s="132"/>
      <c r="F138" s="132"/>
      <c r="G138" s="132"/>
      <c r="H138" s="132"/>
      <c r="I138" s="132"/>
      <c r="J138" s="132"/>
      <c r="K138" s="132"/>
      <c r="L138" s="132"/>
      <c r="M138" s="133"/>
      <c r="N138" s="128"/>
    </row>
    <row r="139" spans="1:14" ht="12.75" hidden="1" customHeight="1" x14ac:dyDescent="0.25">
      <c r="A139" s="1335"/>
      <c r="B139" s="288"/>
      <c r="C139" s="131"/>
      <c r="D139" s="132"/>
      <c r="E139" s="132"/>
      <c r="F139" s="132"/>
      <c r="G139" s="132"/>
      <c r="H139" s="132"/>
      <c r="I139" s="132"/>
      <c r="J139" s="132"/>
      <c r="K139" s="132"/>
      <c r="L139" s="132"/>
      <c r="M139" s="133"/>
      <c r="N139" s="128"/>
    </row>
    <row r="140" spans="1:14" ht="12.75" hidden="1" customHeight="1" x14ac:dyDescent="0.25">
      <c r="A140" s="1335"/>
      <c r="B140" s="288"/>
      <c r="C140" s="131"/>
      <c r="D140" s="132"/>
      <c r="E140" s="132"/>
      <c r="F140" s="132"/>
      <c r="G140" s="132"/>
      <c r="H140" s="132"/>
      <c r="I140" s="132"/>
      <c r="J140" s="132"/>
      <c r="K140" s="132"/>
      <c r="L140" s="132"/>
      <c r="M140" s="133"/>
      <c r="N140" s="128"/>
    </row>
    <row r="141" spans="1:14" ht="12.75" hidden="1" customHeight="1" x14ac:dyDescent="0.25">
      <c r="A141" s="1335"/>
      <c r="B141" s="288"/>
      <c r="C141" s="131"/>
      <c r="D141" s="132"/>
      <c r="E141" s="132"/>
      <c r="F141" s="132"/>
      <c r="G141" s="132"/>
      <c r="H141" s="132"/>
      <c r="I141" s="132"/>
      <c r="J141" s="132"/>
      <c r="K141" s="132"/>
      <c r="L141" s="132"/>
      <c r="M141" s="133"/>
      <c r="N141" s="128"/>
    </row>
    <row r="142" spans="1:14" ht="12.75" hidden="1" customHeight="1" x14ac:dyDescent="0.25">
      <c r="A142" s="1335"/>
      <c r="B142" s="288"/>
      <c r="C142" s="131"/>
      <c r="D142" s="132"/>
      <c r="E142" s="132"/>
      <c r="F142" s="132"/>
      <c r="G142" s="132"/>
      <c r="H142" s="132"/>
      <c r="I142" s="132"/>
      <c r="J142" s="132"/>
      <c r="K142" s="132"/>
      <c r="L142" s="132"/>
      <c r="M142" s="133"/>
      <c r="N142" s="128"/>
    </row>
    <row r="143" spans="1:14" ht="12.75" hidden="1" customHeight="1" x14ac:dyDescent="0.25">
      <c r="A143" s="1335"/>
      <c r="B143" s="288"/>
      <c r="C143" s="131"/>
      <c r="D143" s="132"/>
      <c r="E143" s="132"/>
      <c r="F143" s="132"/>
      <c r="G143" s="132"/>
      <c r="H143" s="132"/>
      <c r="I143" s="132"/>
      <c r="J143" s="132"/>
      <c r="K143" s="132"/>
      <c r="L143" s="132"/>
      <c r="M143" s="133"/>
      <c r="N143" s="128"/>
    </row>
    <row r="144" spans="1:14" ht="12.75" hidden="1" customHeight="1" x14ac:dyDescent="0.25">
      <c r="A144" s="1335"/>
      <c r="B144" s="288"/>
      <c r="C144" s="131"/>
      <c r="D144" s="132"/>
      <c r="E144" s="132"/>
      <c r="F144" s="132"/>
      <c r="G144" s="132"/>
      <c r="H144" s="132"/>
      <c r="I144" s="132"/>
      <c r="J144" s="132"/>
      <c r="K144" s="132"/>
      <c r="L144" s="132"/>
      <c r="M144" s="133"/>
      <c r="N144" s="128"/>
    </row>
    <row r="145" spans="1:14" ht="12.75" hidden="1" customHeight="1" x14ac:dyDescent="0.25">
      <c r="A145" s="1335"/>
      <c r="B145" s="288"/>
      <c r="C145" s="131"/>
      <c r="D145" s="132"/>
      <c r="E145" s="132"/>
      <c r="F145" s="132"/>
      <c r="G145" s="132"/>
      <c r="H145" s="132"/>
      <c r="I145" s="132"/>
      <c r="J145" s="132"/>
      <c r="K145" s="132"/>
      <c r="L145" s="132"/>
      <c r="M145" s="133"/>
      <c r="N145" s="128"/>
    </row>
    <row r="146" spans="1:14" ht="12.75" hidden="1" customHeight="1" x14ac:dyDescent="0.25">
      <c r="A146" s="1335"/>
      <c r="B146" s="288"/>
      <c r="C146" s="131"/>
      <c r="D146" s="132"/>
      <c r="E146" s="132"/>
      <c r="F146" s="132"/>
      <c r="G146" s="132"/>
      <c r="H146" s="132"/>
      <c r="I146" s="132"/>
      <c r="J146" s="132"/>
      <c r="K146" s="132"/>
      <c r="L146" s="132"/>
      <c r="M146" s="133"/>
      <c r="N146" s="128"/>
    </row>
    <row r="147" spans="1:14" ht="12.75" hidden="1" customHeight="1" x14ac:dyDescent="0.25">
      <c r="A147" s="1335"/>
      <c r="B147" s="288"/>
      <c r="C147" s="131"/>
      <c r="D147" s="132"/>
      <c r="E147" s="132"/>
      <c r="F147" s="132"/>
      <c r="G147" s="132"/>
      <c r="H147" s="132"/>
      <c r="I147" s="132"/>
      <c r="J147" s="132"/>
      <c r="K147" s="132"/>
      <c r="L147" s="132"/>
      <c r="M147" s="133"/>
      <c r="N147" s="128"/>
    </row>
    <row r="148" spans="1:14" ht="12.75" hidden="1" customHeight="1" x14ac:dyDescent="0.25">
      <c r="A148" s="1335"/>
      <c r="B148" s="288"/>
      <c r="C148" s="131"/>
      <c r="D148" s="132"/>
      <c r="E148" s="132"/>
      <c r="F148" s="132"/>
      <c r="G148" s="132"/>
      <c r="H148" s="132"/>
      <c r="I148" s="132"/>
      <c r="J148" s="132"/>
      <c r="K148" s="132"/>
      <c r="L148" s="132"/>
      <c r="M148" s="133"/>
      <c r="N148" s="128"/>
    </row>
    <row r="149" spans="1:14" ht="12.75" hidden="1" customHeight="1" x14ac:dyDescent="0.25">
      <c r="A149" s="1335"/>
      <c r="B149" s="288"/>
      <c r="C149" s="131"/>
      <c r="D149" s="132"/>
      <c r="E149" s="132"/>
      <c r="F149" s="132"/>
      <c r="G149" s="132"/>
      <c r="H149" s="132"/>
      <c r="I149" s="132"/>
      <c r="J149" s="132"/>
      <c r="K149" s="132"/>
      <c r="L149" s="132"/>
      <c r="M149" s="133"/>
      <c r="N149" s="128"/>
    </row>
    <row r="150" spans="1:14" ht="12.75" hidden="1" customHeight="1" x14ac:dyDescent="0.25">
      <c r="A150" s="1335"/>
      <c r="B150" s="288"/>
      <c r="C150" s="131"/>
      <c r="D150" s="132"/>
      <c r="E150" s="132"/>
      <c r="F150" s="132"/>
      <c r="G150" s="132"/>
      <c r="H150" s="132"/>
      <c r="I150" s="132"/>
      <c r="J150" s="132"/>
      <c r="K150" s="132"/>
      <c r="L150" s="132"/>
      <c r="M150" s="133"/>
      <c r="N150" s="128"/>
    </row>
    <row r="151" spans="1:14" ht="12.75" hidden="1" customHeight="1" x14ac:dyDescent="0.25">
      <c r="A151" s="1335"/>
      <c r="B151" s="288"/>
      <c r="C151" s="131"/>
      <c r="D151" s="132"/>
      <c r="E151" s="132"/>
      <c r="F151" s="132"/>
      <c r="G151" s="132"/>
      <c r="H151" s="132"/>
      <c r="I151" s="132"/>
      <c r="J151" s="132"/>
      <c r="K151" s="132"/>
      <c r="L151" s="132"/>
      <c r="M151" s="133"/>
      <c r="N151" s="128"/>
    </row>
    <row r="152" spans="1:14" ht="12.75" hidden="1" customHeight="1" x14ac:dyDescent="0.25">
      <c r="A152" s="749"/>
      <c r="B152" s="288"/>
      <c r="C152" s="131"/>
      <c r="D152" s="132"/>
      <c r="E152" s="132"/>
      <c r="F152" s="132"/>
      <c r="G152" s="132"/>
      <c r="H152" s="132"/>
      <c r="I152" s="132"/>
      <c r="J152" s="132"/>
      <c r="K152" s="132"/>
      <c r="L152" s="132"/>
      <c r="M152" s="133"/>
      <c r="N152" s="128"/>
    </row>
    <row r="153" spans="1:14" ht="12.75" hidden="1" customHeight="1" x14ac:dyDescent="0.25">
      <c r="A153" s="749"/>
      <c r="B153" s="288"/>
      <c r="C153" s="131"/>
      <c r="D153" s="132"/>
      <c r="E153" s="132"/>
      <c r="F153" s="132"/>
      <c r="G153" s="132"/>
      <c r="H153" s="132"/>
      <c r="I153" s="132"/>
      <c r="J153" s="132"/>
      <c r="K153" s="132"/>
      <c r="L153" s="132"/>
      <c r="M153" s="133"/>
      <c r="N153" s="128"/>
    </row>
    <row r="154" spans="1:14" ht="12.75" hidden="1" customHeight="1" x14ac:dyDescent="0.25">
      <c r="A154" s="749"/>
      <c r="B154" s="288"/>
      <c r="C154" s="131"/>
      <c r="D154" s="132"/>
      <c r="E154" s="132"/>
      <c r="F154" s="132"/>
      <c r="G154" s="132"/>
      <c r="H154" s="132"/>
      <c r="I154" s="132"/>
      <c r="J154" s="132"/>
      <c r="K154" s="132"/>
      <c r="L154" s="132"/>
      <c r="M154" s="133"/>
      <c r="N154" s="128"/>
    </row>
    <row r="155" spans="1:14" ht="12.75" hidden="1" customHeight="1" x14ac:dyDescent="0.25">
      <c r="A155" s="749"/>
      <c r="B155" s="288"/>
      <c r="C155" s="131"/>
      <c r="D155" s="132"/>
      <c r="E155" s="132"/>
      <c r="F155" s="132"/>
      <c r="G155" s="132"/>
      <c r="H155" s="132"/>
      <c r="I155" s="132"/>
      <c r="J155" s="132"/>
      <c r="K155" s="132"/>
      <c r="L155" s="132"/>
      <c r="M155" s="133"/>
      <c r="N155" s="128"/>
    </row>
    <row r="156" spans="1:14" ht="12.75" hidden="1" customHeight="1" x14ac:dyDescent="0.25">
      <c r="A156" s="749"/>
      <c r="B156" s="288"/>
      <c r="C156" s="131"/>
      <c r="D156" s="132"/>
      <c r="E156" s="132"/>
      <c r="F156" s="132"/>
      <c r="G156" s="132"/>
      <c r="H156" s="132"/>
      <c r="I156" s="132"/>
      <c r="J156" s="132"/>
      <c r="K156" s="132"/>
      <c r="L156" s="132"/>
      <c r="M156" s="133"/>
      <c r="N156" s="128"/>
    </row>
    <row r="157" spans="1:14" ht="12.75" hidden="1" customHeight="1" x14ac:dyDescent="0.25">
      <c r="A157" s="749"/>
      <c r="B157" s="288"/>
      <c r="C157" s="131"/>
      <c r="D157" s="132"/>
      <c r="E157" s="132"/>
      <c r="F157" s="132"/>
      <c r="G157" s="132"/>
      <c r="H157" s="132"/>
      <c r="I157" s="132"/>
      <c r="J157" s="132"/>
      <c r="K157" s="132"/>
      <c r="L157" s="132"/>
      <c r="M157" s="133"/>
      <c r="N157" s="128"/>
    </row>
    <row r="158" spans="1:14" ht="12.75" customHeight="1" x14ac:dyDescent="0.25">
      <c r="A158" s="295" t="s">
        <v>1169</v>
      </c>
      <c r="B158" s="20">
        <v>1</v>
      </c>
      <c r="C158" s="157">
        <f>+C131+C132+C134+C137</f>
        <v>208986543</v>
      </c>
      <c r="D158" s="117">
        <f t="shared" ref="D158:M158" si="14">+D131+D132+D134+D137</f>
        <v>217986543</v>
      </c>
      <c r="E158" s="117">
        <f t="shared" si="14"/>
        <v>0</v>
      </c>
      <c r="F158" s="117">
        <f t="shared" si="14"/>
        <v>0</v>
      </c>
      <c r="G158" s="117">
        <f t="shared" si="14"/>
        <v>0</v>
      </c>
      <c r="H158" s="117">
        <f t="shared" si="14"/>
        <v>0</v>
      </c>
      <c r="I158" s="117">
        <f t="shared" si="14"/>
        <v>-4531594</v>
      </c>
      <c r="J158" s="117">
        <f t="shared" si="14"/>
        <v>-4531594</v>
      </c>
      <c r="K158" s="117">
        <f t="shared" si="14"/>
        <v>213454949</v>
      </c>
      <c r="L158" s="117">
        <f t="shared" si="14"/>
        <v>212787899</v>
      </c>
      <c r="M158" s="118">
        <f t="shared" si="14"/>
        <v>223001877</v>
      </c>
      <c r="N158" s="128"/>
    </row>
    <row r="159" spans="1:14" ht="12.75" customHeight="1" x14ac:dyDescent="0.25">
      <c r="A159" s="1048"/>
      <c r="B159" s="1077"/>
      <c r="C159" s="1076"/>
      <c r="D159" s="1076"/>
      <c r="E159" s="772"/>
      <c r="F159" s="772"/>
      <c r="G159" s="772"/>
      <c r="H159" s="772"/>
      <c r="I159" s="772"/>
      <c r="J159" s="772"/>
      <c r="K159" s="772"/>
      <c r="L159" s="772"/>
      <c r="M159" s="774"/>
      <c r="N159" s="128"/>
    </row>
    <row r="160" spans="1:14" ht="12.75" customHeight="1" x14ac:dyDescent="0.25">
      <c r="A160" s="135" t="s">
        <v>1432</v>
      </c>
      <c r="B160" s="1078">
        <v>14</v>
      </c>
      <c r="C160" s="74"/>
      <c r="D160" s="75"/>
      <c r="E160" s="75"/>
      <c r="F160" s="75"/>
      <c r="G160" s="75"/>
      <c r="H160" s="75"/>
      <c r="I160" s="75"/>
      <c r="J160" s="75"/>
      <c r="K160" s="75"/>
      <c r="L160" s="75"/>
      <c r="M160" s="76"/>
      <c r="N160" s="128"/>
    </row>
    <row r="161" spans="1:14" ht="12.75" customHeight="1" x14ac:dyDescent="0.25">
      <c r="A161" s="129" t="s">
        <v>650</v>
      </c>
      <c r="B161" s="1078"/>
      <c r="C161" s="130">
        <v>208777948</v>
      </c>
      <c r="D161" s="109">
        <v>208777948</v>
      </c>
      <c r="E161" s="109">
        <v>0</v>
      </c>
      <c r="F161" s="109">
        <v>0</v>
      </c>
      <c r="G161" s="109">
        <v>0</v>
      </c>
      <c r="H161" s="109">
        <v>0</v>
      </c>
      <c r="I161" s="109">
        <v>0</v>
      </c>
      <c r="J161" s="75">
        <f>SUM(E161:I161)</f>
        <v>0</v>
      </c>
      <c r="K161" s="75">
        <f>IF(D161=0,C161+J161,D161+J161)</f>
        <v>208777948</v>
      </c>
      <c r="L161" s="109">
        <v>590032269</v>
      </c>
      <c r="M161" s="110">
        <v>601933079</v>
      </c>
      <c r="N161" s="128"/>
    </row>
    <row r="162" spans="1:14" ht="12.75" customHeight="1" x14ac:dyDescent="0.25">
      <c r="A162" s="129" t="s">
        <v>653</v>
      </c>
      <c r="B162" s="1078"/>
      <c r="C162" s="130">
        <v>56805060</v>
      </c>
      <c r="D162" s="109">
        <v>52805060</v>
      </c>
      <c r="E162" s="109">
        <v>0</v>
      </c>
      <c r="F162" s="109">
        <v>0</v>
      </c>
      <c r="G162" s="109">
        <v>0</v>
      </c>
      <c r="H162" s="109">
        <v>0</v>
      </c>
      <c r="I162" s="109">
        <v>0</v>
      </c>
      <c r="J162" s="75">
        <f>SUM(E162:I162)</f>
        <v>0</v>
      </c>
      <c r="K162" s="75">
        <f>IF(D162=0,C162+J162,D162+J162)</f>
        <v>52805060</v>
      </c>
      <c r="L162" s="109">
        <v>0</v>
      </c>
      <c r="M162" s="110">
        <v>0</v>
      </c>
      <c r="N162" s="128"/>
    </row>
    <row r="163" spans="1:14" ht="12.75" customHeight="1" x14ac:dyDescent="0.25">
      <c r="A163" s="129" t="s">
        <v>1433</v>
      </c>
      <c r="B163" s="1078"/>
      <c r="C163" s="130">
        <v>285059460</v>
      </c>
      <c r="D163" s="109">
        <v>275059460</v>
      </c>
      <c r="E163" s="109">
        <v>0</v>
      </c>
      <c r="F163" s="109">
        <v>0</v>
      </c>
      <c r="G163" s="109">
        <v>0</v>
      </c>
      <c r="H163" s="109">
        <v>0</v>
      </c>
      <c r="I163" s="109">
        <v>0</v>
      </c>
      <c r="J163" s="75">
        <f>SUM(E163:I163)</f>
        <v>0</v>
      </c>
      <c r="K163" s="75">
        <f>IF(D163=0,C163+J163,D163+J163)</f>
        <v>275059460</v>
      </c>
      <c r="L163" s="109">
        <v>0</v>
      </c>
      <c r="M163" s="110">
        <v>0</v>
      </c>
      <c r="N163" s="128"/>
    </row>
    <row r="164" spans="1:14" ht="12.75" customHeight="1" x14ac:dyDescent="0.25">
      <c r="A164" s="129" t="s">
        <v>1434</v>
      </c>
      <c r="B164" s="1078"/>
      <c r="C164" s="130">
        <v>8903150</v>
      </c>
      <c r="D164" s="109">
        <v>8903150</v>
      </c>
      <c r="E164" s="109">
        <v>0</v>
      </c>
      <c r="F164" s="109">
        <v>0</v>
      </c>
      <c r="G164" s="109">
        <v>0</v>
      </c>
      <c r="H164" s="109">
        <v>0</v>
      </c>
      <c r="I164" s="109">
        <v>0</v>
      </c>
      <c r="J164" s="75">
        <f>SUM(E164:I164)</f>
        <v>0</v>
      </c>
      <c r="K164" s="75">
        <f>IF(D164=0,C164+J164,D164+J164)</f>
        <v>8903150</v>
      </c>
      <c r="L164" s="109">
        <v>0</v>
      </c>
      <c r="M164" s="110">
        <v>0</v>
      </c>
      <c r="N164" s="128"/>
    </row>
    <row r="165" spans="1:14" ht="12.75" customHeight="1" x14ac:dyDescent="0.25">
      <c r="A165" s="295" t="s">
        <v>1435</v>
      </c>
      <c r="B165" s="1079">
        <v>15</v>
      </c>
      <c r="C165" s="157">
        <f>SUM(C161:C164)</f>
        <v>559545618</v>
      </c>
      <c r="D165" s="157">
        <f t="shared" ref="D165:M165" si="15">SUM(D161:D164)</f>
        <v>545545618</v>
      </c>
      <c r="E165" s="157">
        <f t="shared" si="15"/>
        <v>0</v>
      </c>
      <c r="F165" s="157">
        <f t="shared" si="15"/>
        <v>0</v>
      </c>
      <c r="G165" s="157">
        <f t="shared" si="15"/>
        <v>0</v>
      </c>
      <c r="H165" s="157">
        <f t="shared" si="15"/>
        <v>0</v>
      </c>
      <c r="I165" s="157">
        <f t="shared" si="15"/>
        <v>0</v>
      </c>
      <c r="J165" s="117">
        <f t="shared" si="15"/>
        <v>0</v>
      </c>
      <c r="K165" s="117">
        <f t="shared" si="15"/>
        <v>545545618</v>
      </c>
      <c r="L165" s="117">
        <f t="shared" si="15"/>
        <v>590032269</v>
      </c>
      <c r="M165" s="118">
        <f t="shared" si="15"/>
        <v>601933079</v>
      </c>
      <c r="N165" s="128"/>
    </row>
    <row r="166" spans="1:14" ht="12.75" customHeight="1" x14ac:dyDescent="0.25">
      <c r="A166" s="158" t="str">
        <f>head27a</f>
        <v>References</v>
      </c>
      <c r="B166" s="93"/>
      <c r="C166" s="96"/>
      <c r="D166" s="96"/>
      <c r="E166" s="96"/>
      <c r="F166" s="96"/>
      <c r="G166" s="96"/>
      <c r="H166" s="96"/>
      <c r="I166" s="96"/>
      <c r="J166" s="96"/>
      <c r="K166" s="96"/>
      <c r="L166" s="96"/>
      <c r="M166" s="96"/>
      <c r="N166" s="128"/>
    </row>
    <row r="167" spans="1:14" ht="12.75" customHeight="1" x14ac:dyDescent="0.25">
      <c r="A167" s="99" t="s">
        <v>1174</v>
      </c>
      <c r="B167" s="93"/>
      <c r="C167" s="96"/>
      <c r="D167" s="96"/>
      <c r="E167" s="96"/>
      <c r="F167" s="96"/>
      <c r="G167" s="96"/>
      <c r="H167" s="96"/>
      <c r="I167" s="96"/>
      <c r="J167" s="96"/>
      <c r="K167" s="96"/>
      <c r="L167" s="96"/>
      <c r="M167" s="96"/>
    </row>
    <row r="168" spans="1:14" ht="12.75" customHeight="1" x14ac:dyDescent="0.25">
      <c r="A168" s="99" t="s">
        <v>1175</v>
      </c>
      <c r="B168" s="93"/>
      <c r="C168" s="96"/>
      <c r="D168" s="96"/>
      <c r="E168" s="96"/>
      <c r="F168" s="96"/>
      <c r="G168" s="96"/>
      <c r="H168" s="96"/>
      <c r="I168" s="96"/>
      <c r="J168" s="96"/>
      <c r="K168" s="96"/>
      <c r="L168" s="96"/>
      <c r="M168" s="96"/>
    </row>
    <row r="169" spans="1:14" ht="12.75" customHeight="1" x14ac:dyDescent="0.25">
      <c r="A169" s="99" t="s">
        <v>1176</v>
      </c>
      <c r="B169" s="93"/>
      <c r="C169" s="96"/>
      <c r="D169" s="96"/>
      <c r="E169" s="96"/>
      <c r="F169" s="96"/>
      <c r="G169" s="96"/>
      <c r="H169" s="96"/>
      <c r="I169" s="96"/>
      <c r="J169" s="96"/>
      <c r="K169" s="96"/>
      <c r="L169" s="96"/>
      <c r="M169" s="96"/>
    </row>
    <row r="170" spans="1:14" ht="12.75" customHeight="1" x14ac:dyDescent="0.25">
      <c r="A170" s="99" t="s">
        <v>1177</v>
      </c>
      <c r="B170" s="93"/>
      <c r="C170" s="96"/>
      <c r="D170" s="96"/>
      <c r="E170" s="96"/>
      <c r="F170" s="96"/>
      <c r="G170" s="96"/>
      <c r="H170" s="96"/>
      <c r="I170" s="96"/>
      <c r="J170" s="96"/>
      <c r="K170" s="96"/>
      <c r="L170" s="96"/>
      <c r="M170" s="96"/>
    </row>
    <row r="171" spans="1:14" ht="12.75" customHeight="1" x14ac:dyDescent="0.25">
      <c r="A171" s="99" t="s">
        <v>1178</v>
      </c>
      <c r="B171" s="93"/>
      <c r="C171" s="96"/>
      <c r="D171" s="96"/>
      <c r="E171" s="96"/>
      <c r="F171" s="96"/>
      <c r="G171" s="96"/>
      <c r="H171" s="96"/>
      <c r="I171" s="96"/>
      <c r="J171" s="96"/>
      <c r="K171" s="96"/>
      <c r="L171" s="96"/>
      <c r="M171" s="96"/>
    </row>
    <row r="172" spans="1:14" ht="12.75" customHeight="1" x14ac:dyDescent="0.25">
      <c r="A172" s="99" t="s">
        <v>160</v>
      </c>
      <c r="B172" s="99"/>
      <c r="C172" s="99"/>
      <c r="D172" s="99"/>
      <c r="E172" s="99"/>
      <c r="F172" s="99"/>
      <c r="G172" s="99"/>
      <c r="H172" s="99"/>
      <c r="I172" s="99"/>
      <c r="J172" s="99"/>
      <c r="K172" s="99"/>
      <c r="L172" s="99"/>
      <c r="M172" s="99"/>
      <c r="N172" s="54"/>
    </row>
    <row r="173" spans="1:14" ht="24.95" customHeight="1" x14ac:dyDescent="0.25">
      <c r="A173" s="1402" t="s">
        <v>1179</v>
      </c>
      <c r="B173" s="1402"/>
      <c r="C173" s="1402"/>
      <c r="D173" s="1402"/>
      <c r="E173" s="1402"/>
      <c r="F173" s="1402"/>
      <c r="G173" s="1402"/>
      <c r="H173" s="1402"/>
      <c r="I173" s="1402"/>
      <c r="J173" s="1402"/>
      <c r="K173" s="1402"/>
      <c r="L173" s="1402"/>
      <c r="M173" s="1402"/>
      <c r="N173" s="54"/>
    </row>
    <row r="174" spans="1:14" ht="12.75" customHeight="1" x14ac:dyDescent="0.25">
      <c r="A174" s="99" t="s">
        <v>1180</v>
      </c>
      <c r="B174" s="99"/>
      <c r="C174" s="99"/>
      <c r="D174" s="99"/>
      <c r="E174" s="99"/>
      <c r="F174" s="99"/>
      <c r="G174" s="99"/>
      <c r="H174" s="99"/>
      <c r="I174" s="99"/>
      <c r="J174" s="99"/>
      <c r="K174" s="99"/>
      <c r="L174" s="99"/>
      <c r="M174" s="99"/>
      <c r="N174" s="54"/>
    </row>
    <row r="175" spans="1:14" ht="12.75" customHeight="1" x14ac:dyDescent="0.25">
      <c r="A175" s="99" t="s">
        <v>1181</v>
      </c>
      <c r="B175" s="99"/>
      <c r="C175" s="99"/>
      <c r="D175" s="99"/>
      <c r="E175" s="99"/>
      <c r="F175" s="99"/>
      <c r="G175" s="99"/>
      <c r="H175" s="99"/>
      <c r="I175" s="99"/>
      <c r="J175" s="99"/>
      <c r="K175" s="99"/>
      <c r="L175" s="99"/>
      <c r="M175" s="99"/>
      <c r="N175" s="54"/>
    </row>
    <row r="176" spans="1:14" ht="12.75" customHeight="1" x14ac:dyDescent="0.25">
      <c r="A176" s="99" t="s">
        <v>1182</v>
      </c>
      <c r="B176" s="93"/>
      <c r="C176" s="96"/>
      <c r="D176" s="96"/>
      <c r="E176" s="96"/>
      <c r="F176" s="96"/>
      <c r="G176" s="96"/>
      <c r="H176" s="96"/>
      <c r="I176" s="96"/>
      <c r="J176" s="96"/>
      <c r="K176" s="96"/>
      <c r="L176" s="96"/>
      <c r="M176" s="96"/>
      <c r="N176" s="53"/>
    </row>
    <row r="177" spans="1:14" ht="27" customHeight="1" x14ac:dyDescent="0.25">
      <c r="A177" s="1402" t="s">
        <v>1191</v>
      </c>
      <c r="B177" s="1402"/>
      <c r="C177" s="1402"/>
      <c r="D177" s="1402"/>
      <c r="E177" s="1402"/>
      <c r="F177" s="1402"/>
      <c r="G177" s="1402"/>
      <c r="H177" s="1402"/>
      <c r="I177" s="1402"/>
      <c r="J177" s="1402"/>
      <c r="K177" s="1402"/>
      <c r="L177" s="1402"/>
      <c r="M177" s="1402"/>
      <c r="N177" s="53"/>
    </row>
    <row r="178" spans="1:14" ht="12.75" customHeight="1" x14ac:dyDescent="0.25">
      <c r="A178" s="99" t="s">
        <v>1192</v>
      </c>
      <c r="B178" s="93"/>
      <c r="C178" s="96"/>
      <c r="D178" s="96"/>
      <c r="E178" s="96"/>
      <c r="F178" s="96"/>
      <c r="G178" s="96"/>
      <c r="H178" s="96"/>
      <c r="I178" s="96"/>
      <c r="J178" s="96"/>
      <c r="K178" s="96"/>
      <c r="L178" s="96"/>
      <c r="M178" s="96"/>
      <c r="N178" s="53"/>
    </row>
    <row r="179" spans="1:14" ht="12.75" customHeight="1" x14ac:dyDescent="0.25">
      <c r="A179" s="99" t="s">
        <v>1193</v>
      </c>
      <c r="B179" s="100"/>
      <c r="C179" s="100"/>
      <c r="D179" s="100"/>
      <c r="E179" s="100"/>
      <c r="F179" s="100"/>
      <c r="G179" s="100"/>
      <c r="H179" s="100"/>
      <c r="I179" s="100"/>
      <c r="J179" s="100"/>
      <c r="K179" s="100"/>
      <c r="L179" s="100"/>
      <c r="M179" s="100"/>
      <c r="N179" s="54"/>
    </row>
    <row r="180" spans="1:14" ht="11.25" customHeight="1" x14ac:dyDescent="0.25">
      <c r="A180" s="1080" t="s">
        <v>1436</v>
      </c>
      <c r="B180" s="5"/>
    </row>
    <row r="181" spans="1:14" ht="11.25" customHeight="1" x14ac:dyDescent="0.25">
      <c r="A181" s="5" t="s">
        <v>1437</v>
      </c>
      <c r="B181" s="5"/>
    </row>
    <row r="182" spans="1:14" ht="11.25" customHeight="1" x14ac:dyDescent="0.25">
      <c r="B182" s="5"/>
    </row>
    <row r="183" spans="1:14" ht="11.25" customHeight="1" x14ac:dyDescent="0.25">
      <c r="B183" s="5"/>
    </row>
    <row r="184" spans="1:14" ht="11.25" customHeight="1" x14ac:dyDescent="0.25">
      <c r="B184" s="5"/>
    </row>
    <row r="185" spans="1:14" ht="11.25" customHeight="1" x14ac:dyDescent="0.25">
      <c r="B185" s="5"/>
    </row>
    <row r="186" spans="1:14" ht="11.25" customHeight="1" x14ac:dyDescent="0.25">
      <c r="B186" s="5"/>
    </row>
    <row r="187" spans="1:14" ht="11.25" customHeight="1" x14ac:dyDescent="0.25">
      <c r="B187" s="5"/>
    </row>
    <row r="188" spans="1:14" ht="11.25" customHeight="1" x14ac:dyDescent="0.25">
      <c r="B188" s="5"/>
    </row>
    <row r="189" spans="1:14" ht="11.25" customHeight="1" x14ac:dyDescent="0.25">
      <c r="B189" s="5"/>
    </row>
    <row r="190" spans="1:14" ht="11.25" customHeight="1" x14ac:dyDescent="0.25">
      <c r="B190" s="5"/>
    </row>
    <row r="191" spans="1:14" ht="11.25" customHeight="1" x14ac:dyDescent="0.25">
      <c r="B191" s="5"/>
    </row>
    <row r="192" spans="1:14" ht="11.25" customHeight="1" x14ac:dyDescent="0.25">
      <c r="B192" s="5"/>
    </row>
    <row r="193" spans="2:2" ht="11.25" customHeight="1" x14ac:dyDescent="0.25">
      <c r="B193" s="5"/>
    </row>
    <row r="194" spans="2:2" ht="11.25" customHeight="1" x14ac:dyDescent="0.25">
      <c r="B194" s="5"/>
    </row>
    <row r="195" spans="2:2" ht="11.25" customHeight="1" x14ac:dyDescent="0.25">
      <c r="B195" s="5"/>
    </row>
    <row r="196" spans="2:2" ht="11.25" customHeight="1" x14ac:dyDescent="0.25">
      <c r="B196" s="5"/>
    </row>
    <row r="197" spans="2:2" ht="11.25" customHeight="1" x14ac:dyDescent="0.25">
      <c r="B197" s="5"/>
    </row>
    <row r="198" spans="2:2" ht="11.25" customHeight="1" x14ac:dyDescent="0.25">
      <c r="B198" s="5"/>
    </row>
    <row r="199" spans="2:2" ht="11.25" customHeight="1" x14ac:dyDescent="0.25">
      <c r="B199" s="5"/>
    </row>
    <row r="200" spans="2:2" ht="11.25" customHeight="1" x14ac:dyDescent="0.25">
      <c r="B200" s="5"/>
    </row>
    <row r="201" spans="2:2" ht="11.25" customHeight="1" x14ac:dyDescent="0.25">
      <c r="B201" s="5"/>
    </row>
    <row r="202" spans="2:2" ht="11.25" customHeight="1" x14ac:dyDescent="0.25">
      <c r="B202" s="5"/>
    </row>
    <row r="203" spans="2:2" ht="11.25" customHeight="1" x14ac:dyDescent="0.25">
      <c r="B203" s="5"/>
    </row>
    <row r="204" spans="2:2" ht="11.25" customHeight="1" x14ac:dyDescent="0.25">
      <c r="B204" s="5"/>
    </row>
    <row r="205" spans="2:2" ht="11.25" customHeight="1" x14ac:dyDescent="0.25">
      <c r="B205" s="5"/>
    </row>
    <row r="206" spans="2:2" ht="11.25" customHeight="1" x14ac:dyDescent="0.25">
      <c r="B206" s="5"/>
    </row>
    <row r="207" spans="2:2" ht="11.25" customHeight="1" x14ac:dyDescent="0.25">
      <c r="B207" s="5"/>
    </row>
    <row r="208" spans="2:2" ht="11.25" customHeight="1" x14ac:dyDescent="0.25">
      <c r="B208" s="5"/>
    </row>
    <row r="209" spans="2:2" ht="11.25" customHeight="1" x14ac:dyDescent="0.25">
      <c r="B209" s="5"/>
    </row>
    <row r="210" spans="2:2" ht="11.25" customHeight="1" x14ac:dyDescent="0.25">
      <c r="B210" s="5"/>
    </row>
    <row r="211" spans="2:2" ht="11.25" customHeight="1" x14ac:dyDescent="0.25">
      <c r="B211" s="5"/>
    </row>
    <row r="212" spans="2:2" ht="11.25" customHeight="1" x14ac:dyDescent="0.25">
      <c r="B212" s="5"/>
    </row>
    <row r="213" spans="2:2" ht="11.25" customHeight="1" x14ac:dyDescent="0.25">
      <c r="B213" s="5"/>
    </row>
    <row r="214" spans="2:2" ht="11.25" customHeight="1" x14ac:dyDescent="0.25">
      <c r="B214" s="5"/>
    </row>
    <row r="215" spans="2:2" ht="11.25" customHeight="1" x14ac:dyDescent="0.25">
      <c r="B215" s="5"/>
    </row>
    <row r="216" spans="2:2" ht="11.25" customHeight="1" x14ac:dyDescent="0.25">
      <c r="B216" s="5"/>
    </row>
    <row r="217" spans="2:2" ht="11.25" customHeight="1" x14ac:dyDescent="0.25">
      <c r="B217" s="5"/>
    </row>
    <row r="218" spans="2:2" ht="11.25" customHeight="1" x14ac:dyDescent="0.25">
      <c r="B218" s="5"/>
    </row>
    <row r="219" spans="2:2" ht="11.25" customHeight="1" x14ac:dyDescent="0.25">
      <c r="B219" s="5"/>
    </row>
    <row r="220" spans="2:2" ht="11.25" customHeight="1" x14ac:dyDescent="0.25">
      <c r="B220" s="5"/>
    </row>
    <row r="221" spans="2:2" ht="11.25" customHeight="1" x14ac:dyDescent="0.25">
      <c r="B221" s="5"/>
    </row>
    <row r="222" spans="2:2" ht="11.25" customHeight="1" x14ac:dyDescent="0.25">
      <c r="B222" s="5"/>
    </row>
    <row r="223" spans="2:2" ht="11.25" customHeight="1" x14ac:dyDescent="0.25">
      <c r="B223" s="5"/>
    </row>
    <row r="224" spans="2:2" ht="11.25" customHeight="1" x14ac:dyDescent="0.25">
      <c r="B224" s="5"/>
    </row>
    <row r="225" spans="2:2" ht="11.25" customHeight="1" x14ac:dyDescent="0.25">
      <c r="B225" s="5"/>
    </row>
    <row r="226" spans="2:2" ht="11.25" customHeight="1" x14ac:dyDescent="0.25">
      <c r="B226" s="5"/>
    </row>
    <row r="227" spans="2:2" ht="11.25" customHeight="1" x14ac:dyDescent="0.25">
      <c r="B227" s="5"/>
    </row>
    <row r="228" spans="2:2" ht="11.25" customHeight="1" x14ac:dyDescent="0.25">
      <c r="B228" s="5"/>
    </row>
    <row r="229" spans="2:2" ht="11.25" customHeight="1" x14ac:dyDescent="0.25">
      <c r="B229" s="5"/>
    </row>
    <row r="230" spans="2:2" ht="11.25" customHeight="1" x14ac:dyDescent="0.25">
      <c r="B230" s="5"/>
    </row>
    <row r="231" spans="2:2" ht="11.25" customHeight="1" x14ac:dyDescent="0.25">
      <c r="B231" s="5"/>
    </row>
    <row r="232" spans="2:2" ht="11.25" customHeight="1" x14ac:dyDescent="0.25">
      <c r="B232" s="5"/>
    </row>
    <row r="233" spans="2:2" ht="11.25" customHeight="1" x14ac:dyDescent="0.25">
      <c r="B233" s="5"/>
    </row>
    <row r="234" spans="2:2" ht="11.25" customHeight="1" x14ac:dyDescent="0.25">
      <c r="B234" s="5"/>
    </row>
    <row r="235" spans="2:2" x14ac:dyDescent="0.25">
      <c r="B235" s="5"/>
    </row>
    <row r="236" spans="2:2" x14ac:dyDescent="0.25">
      <c r="B236" s="5"/>
    </row>
    <row r="237" spans="2:2" x14ac:dyDescent="0.25">
      <c r="B237" s="5"/>
    </row>
    <row r="238" spans="2:2" x14ac:dyDescent="0.25">
      <c r="B238" s="5"/>
    </row>
    <row r="239" spans="2:2" x14ac:dyDescent="0.25">
      <c r="B239" s="5"/>
    </row>
    <row r="240" spans="2:2" x14ac:dyDescent="0.25">
      <c r="B240" s="5"/>
    </row>
    <row r="241" spans="2:2" x14ac:dyDescent="0.25">
      <c r="B241" s="5"/>
    </row>
    <row r="242" spans="2:2" x14ac:dyDescent="0.25">
      <c r="B242" s="5"/>
    </row>
    <row r="243" spans="2:2" x14ac:dyDescent="0.25">
      <c r="B243" s="5"/>
    </row>
    <row r="244" spans="2:2" x14ac:dyDescent="0.25">
      <c r="B244" s="5"/>
    </row>
    <row r="245" spans="2:2" x14ac:dyDescent="0.25">
      <c r="B245" s="5"/>
    </row>
    <row r="246" spans="2:2" x14ac:dyDescent="0.25">
      <c r="B246" s="5"/>
    </row>
    <row r="247" spans="2:2" x14ac:dyDescent="0.25">
      <c r="B247" s="5"/>
    </row>
    <row r="248" spans="2:2" x14ac:dyDescent="0.25">
      <c r="B248" s="5"/>
    </row>
    <row r="249" spans="2:2" x14ac:dyDescent="0.25">
      <c r="B249" s="5"/>
    </row>
    <row r="250" spans="2:2" x14ac:dyDescent="0.25">
      <c r="B250" s="5"/>
    </row>
    <row r="251" spans="2:2" x14ac:dyDescent="0.25">
      <c r="B251" s="5"/>
    </row>
    <row r="252" spans="2:2" x14ac:dyDescent="0.25">
      <c r="B252" s="5"/>
    </row>
    <row r="253" spans="2:2" x14ac:dyDescent="0.25">
      <c r="B253" s="5"/>
    </row>
    <row r="254" spans="2:2" x14ac:dyDescent="0.25">
      <c r="B254" s="5"/>
    </row>
    <row r="255" spans="2:2" x14ac:dyDescent="0.25">
      <c r="B255" s="5"/>
    </row>
    <row r="256" spans="2:2" x14ac:dyDescent="0.25">
      <c r="B256" s="5"/>
    </row>
    <row r="257" spans="2:2" x14ac:dyDescent="0.25">
      <c r="B257" s="5"/>
    </row>
    <row r="258" spans="2:2" x14ac:dyDescent="0.25">
      <c r="B258" s="5"/>
    </row>
    <row r="259" spans="2:2" x14ac:dyDescent="0.25">
      <c r="B259" s="5"/>
    </row>
    <row r="260" spans="2:2" x14ac:dyDescent="0.25">
      <c r="B260" s="5"/>
    </row>
    <row r="261" spans="2:2" x14ac:dyDescent="0.25">
      <c r="B261" s="5"/>
    </row>
    <row r="262" spans="2:2" x14ac:dyDescent="0.25">
      <c r="B262" s="5"/>
    </row>
    <row r="263" spans="2:2" x14ac:dyDescent="0.25">
      <c r="B263" s="5"/>
    </row>
    <row r="264" spans="2:2" x14ac:dyDescent="0.25">
      <c r="B264" s="5"/>
    </row>
    <row r="265" spans="2:2" x14ac:dyDescent="0.25">
      <c r="B265" s="5"/>
    </row>
    <row r="266" spans="2:2" x14ac:dyDescent="0.25">
      <c r="B266" s="5"/>
    </row>
    <row r="267" spans="2:2" x14ac:dyDescent="0.25">
      <c r="B267" s="5"/>
    </row>
    <row r="268" spans="2:2" x14ac:dyDescent="0.25">
      <c r="B268" s="5"/>
    </row>
    <row r="269" spans="2:2" x14ac:dyDescent="0.25">
      <c r="B269" s="5"/>
    </row>
    <row r="270" spans="2:2" x14ac:dyDescent="0.25">
      <c r="B270" s="5"/>
    </row>
    <row r="271" spans="2:2" x14ac:dyDescent="0.25">
      <c r="B271" s="5"/>
    </row>
    <row r="272" spans="2:2" x14ac:dyDescent="0.25">
      <c r="B272" s="5"/>
    </row>
    <row r="273" spans="2:2" x14ac:dyDescent="0.25">
      <c r="B273" s="5"/>
    </row>
    <row r="274" spans="2:2" x14ac:dyDescent="0.25">
      <c r="B274" s="5"/>
    </row>
    <row r="275" spans="2:2" x14ac:dyDescent="0.25">
      <c r="B275" s="5"/>
    </row>
    <row r="276" spans="2:2" x14ac:dyDescent="0.25">
      <c r="B276" s="5"/>
    </row>
    <row r="277" spans="2:2" x14ac:dyDescent="0.25">
      <c r="B277" s="5"/>
    </row>
    <row r="278" spans="2:2" x14ac:dyDescent="0.25">
      <c r="B278" s="5"/>
    </row>
    <row r="279" spans="2:2" x14ac:dyDescent="0.25">
      <c r="B279" s="5"/>
    </row>
    <row r="280" spans="2:2" x14ac:dyDescent="0.25">
      <c r="B280" s="5"/>
    </row>
    <row r="281" spans="2:2" x14ac:dyDescent="0.25">
      <c r="B281" s="5"/>
    </row>
  </sheetData>
  <sheetProtection sheet="1" objects="1" scenarios="1"/>
  <mergeCells count="5">
    <mergeCell ref="A177:M177"/>
    <mergeCell ref="A173:M173"/>
    <mergeCell ref="A2:A4"/>
    <mergeCell ref="B2:B4"/>
    <mergeCell ref="C2:K2"/>
  </mergeCells>
  <phoneticPr fontId="4" type="noConversion"/>
  <printOptions horizontalCentered="1"/>
  <pageMargins left="0.35" right="0.14000000000000001" top="0.77" bottom="0.6" header="0.51181102362204722" footer="0.51"/>
  <pageSetup paperSize="9" scale="55" orientation="portrait" r:id="rId1"/>
  <headerFooter alignWithMargins="0"/>
  <ignoredErrors>
    <ignoredError sqref="J66:K66" formula="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2">
    <tabColor indexed="42"/>
    <pageSetUpPr fitToPage="1"/>
  </sheetPr>
  <dimension ref="A1:N94"/>
  <sheetViews>
    <sheetView showGridLines="0" zoomScaleNormal="100" workbookViewId="0">
      <pane xSplit="2" ySplit="5" topLeftCell="C6" activePane="bottomRight" state="frozen"/>
      <selection activeCell="C6" sqref="C6"/>
      <selection pane="topRight" activeCell="C6" sqref="C6"/>
      <selection pane="bottomLeft" activeCell="C6" sqref="C6"/>
      <selection pane="bottomRight" activeCell="M65" sqref="C8:M65"/>
    </sheetView>
  </sheetViews>
  <sheetFormatPr defaultColWidth="9.140625" defaultRowHeight="12.75" x14ac:dyDescent="0.25"/>
  <cols>
    <col min="1" max="1" width="34.140625" style="5" bestFit="1" customWidth="1"/>
    <col min="2" max="2" width="3.140625" style="58" customWidth="1"/>
    <col min="3" max="13" width="8.7109375" style="5" customWidth="1"/>
    <col min="14" max="14" width="9.85546875" style="5" customWidth="1"/>
    <col min="15" max="15" width="9.5703125" style="5" customWidth="1"/>
    <col min="16" max="16" width="9.85546875" style="5" customWidth="1"/>
    <col min="17" max="19" width="9.5703125" style="5" customWidth="1"/>
    <col min="20" max="20" width="9.85546875" style="5" customWidth="1"/>
    <col min="21" max="23" width="9.5703125" style="5" customWidth="1"/>
    <col min="24" max="25" width="9.85546875" style="5" customWidth="1"/>
    <col min="26" max="16384" width="9.140625" style="5"/>
  </cols>
  <sheetData>
    <row r="1" spans="1:14" ht="13.5" x14ac:dyDescent="0.25">
      <c r="A1" s="57" t="str">
        <f>muni&amp;" - "&amp;ADJB2&amp;" - "&amp;Date</f>
        <v>LIM354 Polokwane - Supporting Table SB2 Supporting detail to 'Financial Position Budget' - 2020</v>
      </c>
      <c r="B1" s="5"/>
      <c r="C1" s="58"/>
    </row>
    <row r="2" spans="1:14" ht="38.25" x14ac:dyDescent="0.25">
      <c r="A2" s="1406" t="str">
        <f>desc</f>
        <v>Description</v>
      </c>
      <c r="B2" s="1406" t="str">
        <f>head27</f>
        <v>Ref</v>
      </c>
      <c r="C2" s="1403" t="str">
        <f>Head2</f>
        <v>Budget Year 2020/21</v>
      </c>
      <c r="D2" s="1404"/>
      <c r="E2" s="1404"/>
      <c r="F2" s="1404"/>
      <c r="G2" s="1404"/>
      <c r="H2" s="1404"/>
      <c r="I2" s="1404"/>
      <c r="J2" s="1404"/>
      <c r="K2" s="1404"/>
      <c r="L2" s="103" t="str">
        <f>Head10</f>
        <v>Budget Year +1 2021/22</v>
      </c>
      <c r="M2" s="61" t="str">
        <f>Head11</f>
        <v>Budget Year +2 2022/23</v>
      </c>
    </row>
    <row r="3" spans="1:14" ht="25.5" x14ac:dyDescent="0.25">
      <c r="A3" s="1407"/>
      <c r="B3" s="1407"/>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x14ac:dyDescent="0.25">
      <c r="A4" s="1407"/>
      <c r="B4" s="1407"/>
      <c r="C4" s="65"/>
      <c r="D4" s="15">
        <v>4</v>
      </c>
      <c r="E4" s="15">
        <v>5</v>
      </c>
      <c r="F4" s="15">
        <v>6</v>
      </c>
      <c r="G4" s="15">
        <v>7</v>
      </c>
      <c r="H4" s="15">
        <v>8</v>
      </c>
      <c r="I4" s="15">
        <v>9</v>
      </c>
      <c r="J4" s="15">
        <v>10</v>
      </c>
      <c r="K4" s="15">
        <v>11</v>
      </c>
      <c r="L4" s="15"/>
      <c r="M4" s="17"/>
    </row>
    <row r="5" spans="1:14" x14ac:dyDescent="0.25">
      <c r="A5" s="66" t="s">
        <v>603</v>
      </c>
      <c r="B5" s="104"/>
      <c r="C5" s="67" t="s">
        <v>547</v>
      </c>
      <c r="D5" s="68" t="s">
        <v>548</v>
      </c>
      <c r="E5" s="68" t="s">
        <v>549</v>
      </c>
      <c r="F5" s="69" t="s">
        <v>550</v>
      </c>
      <c r="G5" s="69" t="s">
        <v>551</v>
      </c>
      <c r="H5" s="69" t="s">
        <v>552</v>
      </c>
      <c r="I5" s="70" t="s">
        <v>553</v>
      </c>
      <c r="J5" s="70" t="s">
        <v>554</v>
      </c>
      <c r="K5" s="70" t="s">
        <v>555</v>
      </c>
      <c r="L5" s="70"/>
      <c r="M5" s="71"/>
    </row>
    <row r="6" spans="1:14" x14ac:dyDescent="0.25">
      <c r="A6" s="296" t="s">
        <v>672</v>
      </c>
      <c r="B6" s="297"/>
      <c r="C6" s="298"/>
      <c r="D6" s="288"/>
      <c r="E6" s="288"/>
      <c r="F6" s="299"/>
      <c r="G6" s="299"/>
      <c r="H6" s="299"/>
      <c r="I6" s="300"/>
      <c r="J6" s="300"/>
      <c r="K6" s="300"/>
      <c r="L6" s="300"/>
      <c r="M6" s="301"/>
      <c r="N6" s="128"/>
    </row>
    <row r="7" spans="1:14" ht="12.75" customHeight="1" x14ac:dyDescent="0.25">
      <c r="A7" s="126"/>
      <c r="B7" s="73"/>
      <c r="C7" s="131"/>
      <c r="D7" s="132"/>
      <c r="E7" s="132"/>
      <c r="F7" s="132"/>
      <c r="G7" s="132"/>
      <c r="H7" s="132"/>
      <c r="I7" s="132"/>
      <c r="J7" s="132"/>
      <c r="K7" s="132"/>
      <c r="L7" s="132"/>
      <c r="M7" s="133"/>
      <c r="N7" s="128"/>
    </row>
    <row r="8" spans="1:14" ht="12.75" customHeight="1" x14ac:dyDescent="0.25">
      <c r="A8" s="129" t="s">
        <v>2021</v>
      </c>
      <c r="B8" s="73"/>
      <c r="C8" s="131">
        <v>96000000</v>
      </c>
      <c r="D8" s="132">
        <v>96000000</v>
      </c>
      <c r="E8" s="132">
        <v>0</v>
      </c>
      <c r="F8" s="132">
        <v>0</v>
      </c>
      <c r="G8" s="132">
        <v>0</v>
      </c>
      <c r="H8" s="132">
        <v>0</v>
      </c>
      <c r="I8" s="132">
        <v>-96000000</v>
      </c>
      <c r="J8" s="132">
        <f>SUM(E8:I8)</f>
        <v>-96000000</v>
      </c>
      <c r="K8" s="132">
        <f>IF(D8=0,C8+J8,D8+J8)</f>
        <v>0</v>
      </c>
      <c r="L8" s="132">
        <v>96000000</v>
      </c>
      <c r="M8" s="133">
        <v>96000000</v>
      </c>
      <c r="N8" s="128"/>
    </row>
    <row r="9" spans="1:14" ht="12.75" customHeight="1" x14ac:dyDescent="0.25">
      <c r="A9" s="129"/>
      <c r="B9" s="73"/>
      <c r="C9" s="131"/>
      <c r="D9" s="132"/>
      <c r="E9" s="132"/>
      <c r="F9" s="132"/>
      <c r="G9" s="132"/>
      <c r="H9" s="132"/>
      <c r="I9" s="132"/>
      <c r="J9" s="132"/>
      <c r="K9" s="132"/>
      <c r="L9" s="132"/>
      <c r="M9" s="133"/>
      <c r="N9" s="128"/>
    </row>
    <row r="10" spans="1:14" ht="12.75" customHeight="1" x14ac:dyDescent="0.25">
      <c r="A10" s="139" t="s">
        <v>2022</v>
      </c>
      <c r="B10" s="73"/>
      <c r="C10" s="711">
        <f t="shared" ref="C10:M10" si="0">SUM(C8:C9)</f>
        <v>96000000</v>
      </c>
      <c r="D10" s="270">
        <f t="shared" si="0"/>
        <v>96000000</v>
      </c>
      <c r="E10" s="270">
        <f t="shared" si="0"/>
        <v>0</v>
      </c>
      <c r="F10" s="270">
        <f t="shared" si="0"/>
        <v>0</v>
      </c>
      <c r="G10" s="270">
        <f t="shared" si="0"/>
        <v>0</v>
      </c>
      <c r="H10" s="270">
        <f t="shared" si="0"/>
        <v>0</v>
      </c>
      <c r="I10" s="270">
        <f t="shared" si="0"/>
        <v>-96000000</v>
      </c>
      <c r="J10" s="270">
        <f t="shared" si="0"/>
        <v>-96000000</v>
      </c>
      <c r="K10" s="270">
        <f t="shared" si="0"/>
        <v>0</v>
      </c>
      <c r="L10" s="270">
        <f t="shared" si="0"/>
        <v>96000000</v>
      </c>
      <c r="M10" s="271">
        <f t="shared" si="0"/>
        <v>96000000</v>
      </c>
      <c r="N10" s="128"/>
    </row>
    <row r="11" spans="1:14" ht="12.75" customHeight="1" x14ac:dyDescent="0.25">
      <c r="A11" s="126" t="s">
        <v>691</v>
      </c>
      <c r="B11" s="73"/>
      <c r="C11" s="74"/>
      <c r="D11" s="75"/>
      <c r="E11" s="75"/>
      <c r="F11" s="75"/>
      <c r="G11" s="75"/>
      <c r="H11" s="75"/>
      <c r="I11" s="75"/>
      <c r="J11" s="75"/>
      <c r="K11" s="75"/>
      <c r="L11" s="75"/>
      <c r="M11" s="76"/>
      <c r="N11" s="128"/>
    </row>
    <row r="12" spans="1:14" ht="12.75" customHeight="1" x14ac:dyDescent="0.25">
      <c r="A12" s="129" t="str">
        <f>A11</f>
        <v>Consumer debtors</v>
      </c>
      <c r="B12" s="73"/>
      <c r="C12" s="130">
        <v>1636033270</v>
      </c>
      <c r="D12" s="109">
        <v>1636033270</v>
      </c>
      <c r="E12" s="109">
        <v>0</v>
      </c>
      <c r="F12" s="109">
        <v>0</v>
      </c>
      <c r="G12" s="109">
        <v>0</v>
      </c>
      <c r="H12" s="109">
        <v>0</v>
      </c>
      <c r="I12" s="109">
        <v>-115520739</v>
      </c>
      <c r="J12" s="75">
        <f>SUM(E12:I12)</f>
        <v>-115520739</v>
      </c>
      <c r="K12" s="75">
        <f>IF(D12=0,C12+J12,D12+J12)</f>
        <v>1520512531</v>
      </c>
      <c r="L12" s="109">
        <v>1853033270.2</v>
      </c>
      <c r="M12" s="110">
        <v>2153033270.1999998</v>
      </c>
      <c r="N12" s="128"/>
    </row>
    <row r="13" spans="1:14" ht="12.75" customHeight="1" x14ac:dyDescent="0.25">
      <c r="A13" s="129" t="s">
        <v>1194</v>
      </c>
      <c r="B13" s="73"/>
      <c r="C13" s="74">
        <f t="shared" ref="C13:I13" si="1">C19</f>
        <v>1134468000</v>
      </c>
      <c r="D13" s="75">
        <f t="shared" si="1"/>
        <v>1134468000</v>
      </c>
      <c r="E13" s="75">
        <f t="shared" si="1"/>
        <v>0</v>
      </c>
      <c r="F13" s="75">
        <f t="shared" si="1"/>
        <v>0</v>
      </c>
      <c r="G13" s="75">
        <f t="shared" si="1"/>
        <v>0</v>
      </c>
      <c r="H13" s="75">
        <f t="shared" si="1"/>
        <v>0</v>
      </c>
      <c r="I13" s="75">
        <f t="shared" si="1"/>
        <v>-115520739</v>
      </c>
      <c r="J13" s="75">
        <f>SUM(E13:I13)</f>
        <v>-115520739</v>
      </c>
      <c r="K13" s="75">
        <f>IF(D13=0,C13+J13,D13+J13)</f>
        <v>1018947261</v>
      </c>
      <c r="L13" s="75">
        <f>L19</f>
        <v>1318947261</v>
      </c>
      <c r="M13" s="76">
        <f>M19</f>
        <v>1668947261</v>
      </c>
      <c r="N13" s="128"/>
    </row>
    <row r="14" spans="1:14" ht="12.75" customHeight="1" x14ac:dyDescent="0.25">
      <c r="A14" s="139" t="str">
        <f>"Total "&amp;A11</f>
        <v>Total Consumer debtors</v>
      </c>
      <c r="B14" s="73">
        <v>1</v>
      </c>
      <c r="C14" s="302">
        <f t="shared" ref="C14:M14" si="2">C12-C13</f>
        <v>501565270</v>
      </c>
      <c r="D14" s="151">
        <f t="shared" si="2"/>
        <v>501565270</v>
      </c>
      <c r="E14" s="151">
        <f t="shared" si="2"/>
        <v>0</v>
      </c>
      <c r="F14" s="151">
        <f t="shared" si="2"/>
        <v>0</v>
      </c>
      <c r="G14" s="151">
        <f t="shared" si="2"/>
        <v>0</v>
      </c>
      <c r="H14" s="151">
        <f t="shared" si="2"/>
        <v>0</v>
      </c>
      <c r="I14" s="151">
        <f t="shared" si="2"/>
        <v>0</v>
      </c>
      <c r="J14" s="151">
        <f t="shared" si="2"/>
        <v>0</v>
      </c>
      <c r="K14" s="151">
        <f t="shared" si="2"/>
        <v>501565270</v>
      </c>
      <c r="L14" s="151">
        <f t="shared" si="2"/>
        <v>534086009.20000005</v>
      </c>
      <c r="M14" s="152">
        <f t="shared" si="2"/>
        <v>484086009.19999981</v>
      </c>
      <c r="N14" s="128"/>
    </row>
    <row r="15" spans="1:14" ht="12.75" customHeight="1" x14ac:dyDescent="0.25">
      <c r="A15" s="126" t="s">
        <v>1195</v>
      </c>
      <c r="B15" s="73"/>
      <c r="C15" s="74"/>
      <c r="D15" s="75"/>
      <c r="E15" s="75"/>
      <c r="F15" s="75"/>
      <c r="G15" s="75"/>
      <c r="H15" s="75"/>
      <c r="I15" s="75"/>
      <c r="J15" s="75"/>
      <c r="K15" s="75"/>
      <c r="L15" s="75"/>
      <c r="M15" s="76"/>
      <c r="N15" s="128"/>
    </row>
    <row r="16" spans="1:14" ht="12.75" customHeight="1" x14ac:dyDescent="0.25">
      <c r="A16" s="129" t="s">
        <v>1196</v>
      </c>
      <c r="B16" s="73"/>
      <c r="C16" s="130">
        <v>884468000</v>
      </c>
      <c r="D16" s="109">
        <v>884468000</v>
      </c>
      <c r="E16" s="109">
        <v>0</v>
      </c>
      <c r="F16" s="109">
        <v>0</v>
      </c>
      <c r="G16" s="109">
        <v>0</v>
      </c>
      <c r="H16" s="109">
        <v>0</v>
      </c>
      <c r="I16" s="109">
        <v>-115520739</v>
      </c>
      <c r="J16" s="75">
        <f>SUM(E16:I16)</f>
        <v>-115520739</v>
      </c>
      <c r="K16" s="75">
        <f>IF(D16=0,C16+J16,D16+J16)</f>
        <v>768947261</v>
      </c>
      <c r="L16" s="75">
        <f>IF(SUM(L17:L18)=0,0,K19)</f>
        <v>1018947261</v>
      </c>
      <c r="M16" s="76">
        <f>IF(SUM(M17:M18)=0,0,L19)</f>
        <v>1318947261</v>
      </c>
      <c r="N16" s="128"/>
    </row>
    <row r="17" spans="1:14" ht="12.75" customHeight="1" x14ac:dyDescent="0.25">
      <c r="A17" s="129" t="s">
        <v>1197</v>
      </c>
      <c r="B17" s="73"/>
      <c r="C17" s="130">
        <v>250000000</v>
      </c>
      <c r="D17" s="109">
        <v>250000000</v>
      </c>
      <c r="E17" s="109">
        <v>0</v>
      </c>
      <c r="F17" s="109">
        <v>0</v>
      </c>
      <c r="G17" s="109">
        <v>0</v>
      </c>
      <c r="H17" s="109">
        <v>0</v>
      </c>
      <c r="I17" s="109">
        <v>0</v>
      </c>
      <c r="J17" s="75">
        <f>SUM(E17:I17)</f>
        <v>0</v>
      </c>
      <c r="K17" s="75">
        <f>IF(D17=0,C17+J17,D17+J17)</f>
        <v>250000000</v>
      </c>
      <c r="L17" s="109">
        <v>300000000</v>
      </c>
      <c r="M17" s="110">
        <v>350000000</v>
      </c>
      <c r="N17" s="128"/>
    </row>
    <row r="18" spans="1:14" ht="12.75" customHeight="1" x14ac:dyDescent="0.25">
      <c r="A18" s="129" t="s">
        <v>1198</v>
      </c>
      <c r="B18" s="73"/>
      <c r="C18" s="130">
        <v>0</v>
      </c>
      <c r="D18" s="109">
        <v>0</v>
      </c>
      <c r="E18" s="109">
        <v>0</v>
      </c>
      <c r="F18" s="109">
        <v>0</v>
      </c>
      <c r="G18" s="109">
        <v>0</v>
      </c>
      <c r="H18" s="109">
        <v>0</v>
      </c>
      <c r="I18" s="109">
        <v>0</v>
      </c>
      <c r="J18" s="75">
        <f>SUM(E18:I18)</f>
        <v>0</v>
      </c>
      <c r="K18" s="75">
        <f>IF(D18=0,C18+J18,D18+J18)</f>
        <v>0</v>
      </c>
      <c r="L18" s="109"/>
      <c r="M18" s="110"/>
      <c r="N18" s="128"/>
    </row>
    <row r="19" spans="1:14" ht="12.75" customHeight="1" x14ac:dyDescent="0.25">
      <c r="A19" s="139" t="s">
        <v>1199</v>
      </c>
      <c r="B19" s="73"/>
      <c r="C19" s="302">
        <f t="shared" ref="C19:I19" si="3">SUM(C16:C18)</f>
        <v>1134468000</v>
      </c>
      <c r="D19" s="151">
        <f t="shared" si="3"/>
        <v>1134468000</v>
      </c>
      <c r="E19" s="151">
        <f t="shared" si="3"/>
        <v>0</v>
      </c>
      <c r="F19" s="151">
        <f t="shared" si="3"/>
        <v>0</v>
      </c>
      <c r="G19" s="151">
        <f t="shared" si="3"/>
        <v>0</v>
      </c>
      <c r="H19" s="151">
        <f t="shared" si="3"/>
        <v>0</v>
      </c>
      <c r="I19" s="151">
        <f t="shared" si="3"/>
        <v>-115520739</v>
      </c>
      <c r="J19" s="151">
        <f>J13</f>
        <v>-115520739</v>
      </c>
      <c r="K19" s="151">
        <f>K13</f>
        <v>1018947261</v>
      </c>
      <c r="L19" s="151">
        <f>SUM(L16:L18)</f>
        <v>1318947261</v>
      </c>
      <c r="M19" s="152">
        <f>SUM(M16:M18)</f>
        <v>1668947261</v>
      </c>
      <c r="N19" s="128"/>
    </row>
    <row r="20" spans="1:14" ht="12.75" customHeight="1" x14ac:dyDescent="0.25">
      <c r="A20" s="126" t="s">
        <v>1200</v>
      </c>
      <c r="B20" s="73"/>
      <c r="C20" s="74"/>
      <c r="D20" s="75"/>
      <c r="E20" s="75"/>
      <c r="F20" s="75"/>
      <c r="G20" s="75"/>
      <c r="H20" s="75"/>
      <c r="I20" s="75"/>
      <c r="J20" s="75"/>
      <c r="K20" s="75"/>
      <c r="L20" s="75"/>
      <c r="M20" s="76"/>
      <c r="N20" s="128"/>
    </row>
    <row r="21" spans="1:14" ht="12.75" customHeight="1" x14ac:dyDescent="0.25">
      <c r="A21" s="30" t="s">
        <v>1201</v>
      </c>
      <c r="B21" s="73"/>
      <c r="C21" s="130">
        <v>28050087334</v>
      </c>
      <c r="D21" s="109">
        <v>28079730334</v>
      </c>
      <c r="E21" s="109">
        <v>0</v>
      </c>
      <c r="F21" s="109">
        <v>0</v>
      </c>
      <c r="G21" s="109">
        <v>0</v>
      </c>
      <c r="H21" s="109">
        <f>'B5-Capex'!H76</f>
        <v>62291861</v>
      </c>
      <c r="I21" s="109">
        <f>'B5-Capex'!I76+2-375316999</f>
        <v>-631719895</v>
      </c>
      <c r="J21" s="75">
        <f>SUM(E21:I21)</f>
        <v>-569428034</v>
      </c>
      <c r="K21" s="75">
        <f>IF(D21=0,C21+J21,D21+J21)</f>
        <v>27510302300</v>
      </c>
      <c r="L21" s="109">
        <v>28778239084</v>
      </c>
      <c r="M21" s="110">
        <v>29420052521</v>
      </c>
      <c r="N21" s="128"/>
    </row>
    <row r="22" spans="1:14" ht="12.75" customHeight="1" x14ac:dyDescent="0.25">
      <c r="A22" s="30" t="s">
        <v>1202</v>
      </c>
      <c r="B22" s="73">
        <v>2</v>
      </c>
      <c r="C22" s="130">
        <v>0</v>
      </c>
      <c r="D22" s="109">
        <v>0</v>
      </c>
      <c r="E22" s="109">
        <v>0</v>
      </c>
      <c r="F22" s="109">
        <v>0</v>
      </c>
      <c r="G22" s="109">
        <v>0</v>
      </c>
      <c r="H22" s="109">
        <v>0</v>
      </c>
      <c r="I22" s="109">
        <v>26254165</v>
      </c>
      <c r="J22" s="75">
        <f>SUM(E22:I22)</f>
        <v>26254165</v>
      </c>
      <c r="K22" s="75">
        <f>IF(D22=0,C22+J22,D22+J22)</f>
        <v>26254165</v>
      </c>
      <c r="L22" s="109"/>
      <c r="M22" s="110"/>
      <c r="N22" s="128"/>
    </row>
    <row r="23" spans="1:14" ht="12.75" customHeight="1" x14ac:dyDescent="0.25">
      <c r="A23" s="826" t="s">
        <v>1203</v>
      </c>
      <c r="B23" s="73"/>
      <c r="C23" s="130">
        <v>11508303000</v>
      </c>
      <c r="D23" s="109">
        <v>11508303000</v>
      </c>
      <c r="E23" s="109">
        <v>0</v>
      </c>
      <c r="F23" s="109">
        <v>0</v>
      </c>
      <c r="G23" s="109">
        <v>0</v>
      </c>
      <c r="H23" s="109">
        <v>0</v>
      </c>
      <c r="I23" s="109">
        <v>-349062836</v>
      </c>
      <c r="J23" s="75">
        <f>SUM(E23:I23)</f>
        <v>-349062836</v>
      </c>
      <c r="K23" s="75">
        <f>IF(D23=0,C23+J23,D23+J23)</f>
        <v>11159240164</v>
      </c>
      <c r="L23" s="109">
        <v>11793303000</v>
      </c>
      <c r="M23" s="110">
        <v>12093303000</v>
      </c>
      <c r="N23" s="128"/>
    </row>
    <row r="24" spans="1:14" ht="12.75" customHeight="1" x14ac:dyDescent="0.25">
      <c r="A24" s="303" t="str">
        <f>"Total "&amp;A20</f>
        <v>Total Property, plant &amp; equipment</v>
      </c>
      <c r="B24" s="154">
        <v>1</v>
      </c>
      <c r="C24" s="80">
        <f t="shared" ref="C24:M24" si="4">SUM(C21:C22)-C23</f>
        <v>16541784334</v>
      </c>
      <c r="D24" s="81">
        <f t="shared" si="4"/>
        <v>16571427334</v>
      </c>
      <c r="E24" s="81">
        <f t="shared" si="4"/>
        <v>0</v>
      </c>
      <c r="F24" s="81">
        <f t="shared" si="4"/>
        <v>0</v>
      </c>
      <c r="G24" s="81">
        <f t="shared" si="4"/>
        <v>0</v>
      </c>
      <c r="H24" s="81">
        <f t="shared" si="4"/>
        <v>62291861</v>
      </c>
      <c r="I24" s="81">
        <f t="shared" si="4"/>
        <v>-256402894</v>
      </c>
      <c r="J24" s="81">
        <f t="shared" si="4"/>
        <v>-194111033</v>
      </c>
      <c r="K24" s="81">
        <f t="shared" si="4"/>
        <v>16377316301</v>
      </c>
      <c r="L24" s="81">
        <f t="shared" si="4"/>
        <v>16984936084</v>
      </c>
      <c r="M24" s="82">
        <f t="shared" si="4"/>
        <v>17326749521</v>
      </c>
      <c r="N24" s="128"/>
    </row>
    <row r="25" spans="1:14" ht="4.5" customHeight="1" x14ac:dyDescent="0.25">
      <c r="A25" s="139"/>
      <c r="B25" s="73"/>
      <c r="C25" s="140"/>
      <c r="D25" s="141"/>
      <c r="E25" s="141"/>
      <c r="F25" s="141"/>
      <c r="G25" s="141"/>
      <c r="H25" s="141"/>
      <c r="I25" s="141"/>
      <c r="J25" s="141"/>
      <c r="K25" s="141"/>
      <c r="L25" s="141"/>
      <c r="M25" s="142"/>
      <c r="N25" s="128"/>
    </row>
    <row r="26" spans="1:14" ht="12.75" customHeight="1" x14ac:dyDescent="0.25">
      <c r="A26" s="139" t="s">
        <v>705</v>
      </c>
      <c r="B26" s="73"/>
      <c r="C26" s="140"/>
      <c r="D26" s="141"/>
      <c r="E26" s="141"/>
      <c r="F26" s="141"/>
      <c r="G26" s="141"/>
      <c r="H26" s="141"/>
      <c r="I26" s="141"/>
      <c r="J26" s="141"/>
      <c r="K26" s="141"/>
      <c r="L26" s="141"/>
      <c r="M26" s="142"/>
      <c r="N26" s="128"/>
    </row>
    <row r="27" spans="1:14" ht="12.75" customHeight="1" x14ac:dyDescent="0.25">
      <c r="A27" s="126" t="s">
        <v>1204</v>
      </c>
      <c r="B27" s="73"/>
      <c r="C27" s="74"/>
      <c r="D27" s="75"/>
      <c r="E27" s="75"/>
      <c r="F27" s="75"/>
      <c r="G27" s="75"/>
      <c r="H27" s="75"/>
      <c r="I27" s="75"/>
      <c r="J27" s="75"/>
      <c r="K27" s="75"/>
      <c r="L27" s="75"/>
      <c r="M27" s="76"/>
      <c r="N27" s="128"/>
    </row>
    <row r="28" spans="1:14" ht="12.75" customHeight="1" x14ac:dyDescent="0.25">
      <c r="A28" s="129" t="s">
        <v>1205</v>
      </c>
      <c r="B28" s="73"/>
      <c r="C28" s="130">
        <v>0</v>
      </c>
      <c r="D28" s="109">
        <v>0</v>
      </c>
      <c r="E28" s="109">
        <v>0</v>
      </c>
      <c r="F28" s="109">
        <v>0</v>
      </c>
      <c r="G28" s="109">
        <v>0</v>
      </c>
      <c r="H28" s="109">
        <v>0</v>
      </c>
      <c r="I28" s="109">
        <v>0</v>
      </c>
      <c r="J28" s="75">
        <f>SUM(E28:I28)</f>
        <v>0</v>
      </c>
      <c r="K28" s="75">
        <f>IF(D28=0,C28+J28,D28+J28)</f>
        <v>0</v>
      </c>
      <c r="L28" s="109">
        <v>0</v>
      </c>
      <c r="M28" s="110">
        <v>0</v>
      </c>
      <c r="N28" s="128"/>
    </row>
    <row r="29" spans="1:14" ht="12.75" customHeight="1" x14ac:dyDescent="0.25">
      <c r="A29" s="129" t="s">
        <v>1206</v>
      </c>
      <c r="B29" s="73"/>
      <c r="C29" s="130">
        <v>50433331</v>
      </c>
      <c r="D29" s="109">
        <v>50433331</v>
      </c>
      <c r="E29" s="109">
        <v>0</v>
      </c>
      <c r="F29" s="109">
        <v>0</v>
      </c>
      <c r="G29" s="109">
        <v>0</v>
      </c>
      <c r="H29" s="109">
        <v>0</v>
      </c>
      <c r="I29" s="109">
        <v>0</v>
      </c>
      <c r="J29" s="75">
        <f>SUM(E29:I29)</f>
        <v>0</v>
      </c>
      <c r="K29" s="75">
        <f>IF(D29=0,C29+J29,D29+J29)</f>
        <v>50433331</v>
      </c>
      <c r="L29" s="109">
        <v>23914331</v>
      </c>
      <c r="M29" s="110">
        <v>28914331</v>
      </c>
      <c r="N29" s="128"/>
    </row>
    <row r="30" spans="1:14" ht="12.75" customHeight="1" x14ac:dyDescent="0.25">
      <c r="A30" s="139" t="str">
        <f>"Total "&amp;A27</f>
        <v>Total Current liabilities - Borrowing</v>
      </c>
      <c r="B30" s="73"/>
      <c r="C30" s="302">
        <f t="shared" ref="C30:M30" si="5">SUM(C28:C29)</f>
        <v>50433331</v>
      </c>
      <c r="D30" s="151">
        <f t="shared" si="5"/>
        <v>50433331</v>
      </c>
      <c r="E30" s="151">
        <f t="shared" si="5"/>
        <v>0</v>
      </c>
      <c r="F30" s="151">
        <f t="shared" si="5"/>
        <v>0</v>
      </c>
      <c r="G30" s="151">
        <f t="shared" si="5"/>
        <v>0</v>
      </c>
      <c r="H30" s="151">
        <f t="shared" si="5"/>
        <v>0</v>
      </c>
      <c r="I30" s="151">
        <f t="shared" si="5"/>
        <v>0</v>
      </c>
      <c r="J30" s="151">
        <f t="shared" si="5"/>
        <v>0</v>
      </c>
      <c r="K30" s="151">
        <f t="shared" si="5"/>
        <v>50433331</v>
      </c>
      <c r="L30" s="151">
        <f t="shared" si="5"/>
        <v>23914331</v>
      </c>
      <c r="M30" s="152">
        <f t="shared" si="5"/>
        <v>28914331</v>
      </c>
      <c r="N30" s="128"/>
    </row>
    <row r="31" spans="1:14" ht="12.75" customHeight="1" x14ac:dyDescent="0.25">
      <c r="A31" s="126" t="s">
        <v>709</v>
      </c>
      <c r="B31" s="73"/>
      <c r="C31" s="74"/>
      <c r="D31" s="75"/>
      <c r="E31" s="75"/>
      <c r="F31" s="75"/>
      <c r="G31" s="75"/>
      <c r="H31" s="75"/>
      <c r="I31" s="75"/>
      <c r="J31" s="75"/>
      <c r="K31" s="75"/>
      <c r="L31" s="75"/>
      <c r="M31" s="76"/>
      <c r="N31" s="128"/>
    </row>
    <row r="32" spans="1:14" ht="12.75" customHeight="1" x14ac:dyDescent="0.25">
      <c r="A32" s="129" t="s">
        <v>1806</v>
      </c>
      <c r="B32" s="73"/>
      <c r="C32" s="130">
        <f>488279005.4-10.8</f>
        <v>488278994.59999996</v>
      </c>
      <c r="D32" s="109">
        <v>488278994.59999996</v>
      </c>
      <c r="E32" s="109">
        <v>0</v>
      </c>
      <c r="F32" s="109">
        <v>0</v>
      </c>
      <c r="G32" s="109">
        <v>0</v>
      </c>
      <c r="H32" s="109">
        <v>0</v>
      </c>
      <c r="I32" s="109">
        <v>37791488</v>
      </c>
      <c r="J32" s="75">
        <f>SUM(E32:I32)</f>
        <v>37791488</v>
      </c>
      <c r="K32" s="75">
        <f>IF(D32=0,C32+J32,D32+J32)</f>
        <v>526070482.59999996</v>
      </c>
      <c r="L32" s="109">
        <v>498279000</v>
      </c>
      <c r="M32" s="110">
        <v>508279000</v>
      </c>
      <c r="N32" s="128"/>
    </row>
    <row r="33" spans="1:14" ht="12.75" customHeight="1" x14ac:dyDescent="0.25">
      <c r="A33" s="129" t="s">
        <v>1807</v>
      </c>
      <c r="B33" s="73"/>
      <c r="C33" s="130">
        <v>0</v>
      </c>
      <c r="D33" s="109">
        <v>0</v>
      </c>
      <c r="E33" s="109">
        <v>0</v>
      </c>
      <c r="F33" s="109">
        <v>0</v>
      </c>
      <c r="G33" s="109">
        <v>0</v>
      </c>
      <c r="H33" s="109">
        <v>0</v>
      </c>
      <c r="I33" s="109">
        <v>0</v>
      </c>
      <c r="J33" s="75">
        <f>SUM(E33:I33)</f>
        <v>0</v>
      </c>
      <c r="K33" s="75">
        <f>IF(D33=0,C33+J33,D33+J33)</f>
        <v>0</v>
      </c>
      <c r="L33" s="109">
        <v>0</v>
      </c>
      <c r="M33" s="110"/>
      <c r="N33" s="128"/>
    </row>
    <row r="34" spans="1:14" ht="12.75" customHeight="1" x14ac:dyDescent="0.25">
      <c r="A34" s="129" t="s">
        <v>746</v>
      </c>
      <c r="B34" s="73"/>
      <c r="C34" s="130">
        <v>50000000</v>
      </c>
      <c r="D34" s="109">
        <v>50000000</v>
      </c>
      <c r="E34" s="109">
        <v>0</v>
      </c>
      <c r="F34" s="109">
        <v>0</v>
      </c>
      <c r="G34" s="109">
        <v>0</v>
      </c>
      <c r="H34" s="109">
        <v>0</v>
      </c>
      <c r="I34" s="109">
        <v>-37791488</v>
      </c>
      <c r="J34" s="75">
        <f>SUM(E34:I34)</f>
        <v>-37791488</v>
      </c>
      <c r="K34" s="75">
        <f>IF(D34=0,C34+J34,D34+J34)</f>
        <v>12208512</v>
      </c>
      <c r="L34" s="109">
        <v>50000000</v>
      </c>
      <c r="M34" s="110">
        <v>50000000</v>
      </c>
      <c r="N34" s="128"/>
    </row>
    <row r="35" spans="1:14" ht="12.75" customHeight="1" x14ac:dyDescent="0.25">
      <c r="A35" s="129" t="s">
        <v>1207</v>
      </c>
      <c r="B35" s="73"/>
      <c r="C35" s="130"/>
      <c r="D35" s="109">
        <v>0</v>
      </c>
      <c r="E35" s="109">
        <v>0</v>
      </c>
      <c r="F35" s="109">
        <v>0</v>
      </c>
      <c r="G35" s="109">
        <v>0</v>
      </c>
      <c r="H35" s="109">
        <v>0</v>
      </c>
      <c r="I35" s="109">
        <v>0</v>
      </c>
      <c r="J35" s="75">
        <f>SUM(E35:I35)</f>
        <v>0</v>
      </c>
      <c r="K35" s="75">
        <f>IF(D35=0,C35+J35,D35+J35)</f>
        <v>0</v>
      </c>
      <c r="L35" s="109"/>
      <c r="M35" s="110"/>
      <c r="N35" s="128"/>
    </row>
    <row r="36" spans="1:14" ht="12.75" customHeight="1" x14ac:dyDescent="0.25">
      <c r="A36" s="139" t="str">
        <f>"Total "&amp;A31</f>
        <v>Total Trade and other payables</v>
      </c>
      <c r="B36" s="73">
        <v>1</v>
      </c>
      <c r="C36" s="302">
        <f t="shared" ref="C36:M36" si="6">SUM(C32:C35)</f>
        <v>538278994.5999999</v>
      </c>
      <c r="D36" s="151">
        <f t="shared" si="6"/>
        <v>538278994.5999999</v>
      </c>
      <c r="E36" s="151">
        <f t="shared" si="6"/>
        <v>0</v>
      </c>
      <c r="F36" s="151">
        <f t="shared" si="6"/>
        <v>0</v>
      </c>
      <c r="G36" s="151">
        <f t="shared" si="6"/>
        <v>0</v>
      </c>
      <c r="H36" s="151">
        <f t="shared" si="6"/>
        <v>0</v>
      </c>
      <c r="I36" s="151">
        <f t="shared" si="6"/>
        <v>0</v>
      </c>
      <c r="J36" s="151">
        <f t="shared" si="6"/>
        <v>0</v>
      </c>
      <c r="K36" s="151">
        <f t="shared" si="6"/>
        <v>538278994.5999999</v>
      </c>
      <c r="L36" s="151">
        <f t="shared" si="6"/>
        <v>548279000</v>
      </c>
      <c r="M36" s="152">
        <f t="shared" si="6"/>
        <v>558279000</v>
      </c>
      <c r="N36" s="128"/>
    </row>
    <row r="37" spans="1:14" ht="12.75" customHeight="1" x14ac:dyDescent="0.25">
      <c r="A37" s="126" t="s">
        <v>1208</v>
      </c>
      <c r="B37" s="73"/>
      <c r="C37" s="74"/>
      <c r="D37" s="75"/>
      <c r="E37" s="75"/>
      <c r="F37" s="75"/>
      <c r="G37" s="75"/>
      <c r="H37" s="75"/>
      <c r="I37" s="75"/>
      <c r="J37" s="75"/>
      <c r="K37" s="75"/>
      <c r="L37" s="75"/>
      <c r="M37" s="76"/>
      <c r="N37" s="128"/>
    </row>
    <row r="38" spans="1:14" ht="12.75" customHeight="1" x14ac:dyDescent="0.25">
      <c r="A38" s="129" t="s">
        <v>576</v>
      </c>
      <c r="B38" s="73">
        <v>3</v>
      </c>
      <c r="C38" s="130">
        <v>646864796</v>
      </c>
      <c r="D38" s="109">
        <v>646864796</v>
      </c>
      <c r="E38" s="109">
        <v>0</v>
      </c>
      <c r="F38" s="109">
        <v>0</v>
      </c>
      <c r="G38" s="109">
        <v>0</v>
      </c>
      <c r="H38" s="109">
        <v>0</v>
      </c>
      <c r="I38" s="109">
        <f>'B5-Capex'!I74+65716000</f>
        <v>-169206529</v>
      </c>
      <c r="J38" s="75">
        <f>SUM(E38:I38)</f>
        <v>-169206529</v>
      </c>
      <c r="K38" s="75">
        <f>IF(D38=0,C38+J38,D38+J38)</f>
        <v>477658267</v>
      </c>
      <c r="L38" s="109">
        <v>692536971</v>
      </c>
      <c r="M38" s="110">
        <v>666944977.28000009</v>
      </c>
      <c r="N38" s="128"/>
    </row>
    <row r="39" spans="1:14" ht="12.75" customHeight="1" x14ac:dyDescent="0.25">
      <c r="A39" s="129" t="s">
        <v>1209</v>
      </c>
      <c r="B39" s="73"/>
      <c r="C39" s="130">
        <v>65716000</v>
      </c>
      <c r="D39" s="109">
        <v>65716000</v>
      </c>
      <c r="E39" s="109">
        <v>0</v>
      </c>
      <c r="F39" s="109">
        <v>0</v>
      </c>
      <c r="G39" s="109">
        <v>0</v>
      </c>
      <c r="H39" s="109">
        <v>0</v>
      </c>
      <c r="I39" s="109">
        <v>-65716000</v>
      </c>
      <c r="J39" s="75">
        <f>SUM(E39:I39)</f>
        <v>-65716000</v>
      </c>
      <c r="K39" s="75">
        <f>IF(D39=0,C39+J39,D39+J39)</f>
        <v>0</v>
      </c>
      <c r="L39" s="109">
        <v>54937000</v>
      </c>
      <c r="M39" s="110">
        <v>45937000</v>
      </c>
      <c r="N39" s="128"/>
    </row>
    <row r="40" spans="1:14" ht="12.75" customHeight="1" x14ac:dyDescent="0.25">
      <c r="A40" s="139" t="str">
        <f>"Total "&amp;A37</f>
        <v>Total Non current liabilities - Borrowing</v>
      </c>
      <c r="B40" s="73"/>
      <c r="C40" s="302">
        <f t="shared" ref="C40:M40" si="7">SUM(C38:C39)</f>
        <v>712580796</v>
      </c>
      <c r="D40" s="151">
        <f t="shared" si="7"/>
        <v>712580796</v>
      </c>
      <c r="E40" s="151">
        <f t="shared" si="7"/>
        <v>0</v>
      </c>
      <c r="F40" s="151">
        <f t="shared" si="7"/>
        <v>0</v>
      </c>
      <c r="G40" s="151">
        <f t="shared" si="7"/>
        <v>0</v>
      </c>
      <c r="H40" s="151">
        <f t="shared" si="7"/>
        <v>0</v>
      </c>
      <c r="I40" s="151">
        <f t="shared" si="7"/>
        <v>-234922529</v>
      </c>
      <c r="J40" s="151">
        <f t="shared" si="7"/>
        <v>-234922529</v>
      </c>
      <c r="K40" s="151">
        <f t="shared" si="7"/>
        <v>477658267</v>
      </c>
      <c r="L40" s="151">
        <f t="shared" si="7"/>
        <v>747473971</v>
      </c>
      <c r="M40" s="152">
        <f t="shared" si="7"/>
        <v>712881977.28000009</v>
      </c>
      <c r="N40" s="128"/>
    </row>
    <row r="41" spans="1:14" ht="12.75" customHeight="1" x14ac:dyDescent="0.25">
      <c r="A41" s="126" t="s">
        <v>1210</v>
      </c>
      <c r="B41" s="73"/>
      <c r="C41" s="74"/>
      <c r="D41" s="75"/>
      <c r="E41" s="75"/>
      <c r="F41" s="75"/>
      <c r="G41" s="75"/>
      <c r="H41" s="75"/>
      <c r="I41" s="75"/>
      <c r="J41" s="75"/>
      <c r="K41" s="75"/>
      <c r="L41" s="75"/>
      <c r="M41" s="76"/>
      <c r="N41" s="128"/>
    </row>
    <row r="42" spans="1:14" ht="12.75" customHeight="1" x14ac:dyDescent="0.25">
      <c r="A42" s="129" t="s">
        <v>1211</v>
      </c>
      <c r="B42" s="73"/>
      <c r="C42" s="130">
        <v>205540360</v>
      </c>
      <c r="D42" s="109">
        <v>205540360</v>
      </c>
      <c r="E42" s="109">
        <v>0</v>
      </c>
      <c r="F42" s="109">
        <v>0</v>
      </c>
      <c r="G42" s="109">
        <v>0</v>
      </c>
      <c r="H42" s="109">
        <v>0</v>
      </c>
      <c r="I42" s="109">
        <v>10764525</v>
      </c>
      <c r="J42" s="75">
        <f>SUM(E42:I42)</f>
        <v>10764525</v>
      </c>
      <c r="K42" s="75">
        <f>IF(D42=0,C42+J42,D42+J42)</f>
        <v>216304885</v>
      </c>
      <c r="L42" s="109">
        <v>217872781.60000002</v>
      </c>
      <c r="M42" s="110">
        <v>230945148.49600005</v>
      </c>
      <c r="N42" s="128"/>
    </row>
    <row r="43" spans="1:14" ht="12.75" hidden="1" customHeight="1" x14ac:dyDescent="0.25">
      <c r="A43" s="304"/>
      <c r="B43" s="73"/>
      <c r="C43" s="131"/>
      <c r="D43" s="132"/>
      <c r="E43" s="132"/>
      <c r="F43" s="132"/>
      <c r="G43" s="132"/>
      <c r="H43" s="132"/>
      <c r="I43" s="132">
        <v>0</v>
      </c>
      <c r="J43" s="132"/>
      <c r="K43" s="132"/>
      <c r="L43" s="132"/>
      <c r="M43" s="133"/>
      <c r="N43" s="128"/>
    </row>
    <row r="44" spans="1:14" ht="12.75" customHeight="1" x14ac:dyDescent="0.25">
      <c r="A44" s="129" t="s">
        <v>1212</v>
      </c>
      <c r="B44" s="73"/>
      <c r="C44" s="130">
        <v>6261178</v>
      </c>
      <c r="D44" s="109">
        <v>6261178</v>
      </c>
      <c r="E44" s="109">
        <v>0</v>
      </c>
      <c r="F44" s="109">
        <v>0</v>
      </c>
      <c r="G44" s="109">
        <v>0</v>
      </c>
      <c r="H44" s="109">
        <v>0</v>
      </c>
      <c r="I44" s="109">
        <v>111691075</v>
      </c>
      <c r="J44" s="75">
        <f>SUM(E44:I44)</f>
        <v>111691075</v>
      </c>
      <c r="K44" s="75">
        <f>IF(D44=0,C44+J44,D44+J44)</f>
        <v>117952253</v>
      </c>
      <c r="L44" s="109">
        <v>6636848.5135800019</v>
      </c>
      <c r="M44" s="110">
        <v>7035059.4243948022</v>
      </c>
      <c r="N44" s="128"/>
    </row>
    <row r="45" spans="1:14" ht="12.75" customHeight="1" x14ac:dyDescent="0.25">
      <c r="A45" s="129" t="s">
        <v>630</v>
      </c>
      <c r="B45" s="73"/>
      <c r="C45" s="130">
        <v>178480319</v>
      </c>
      <c r="D45" s="109">
        <v>178480319</v>
      </c>
      <c r="E45" s="109">
        <v>0</v>
      </c>
      <c r="F45" s="109">
        <v>0</v>
      </c>
      <c r="G45" s="109">
        <v>0</v>
      </c>
      <c r="H45" s="109">
        <v>0</v>
      </c>
      <c r="I45" s="109">
        <v>-122455600</v>
      </c>
      <c r="J45" s="75">
        <f>SUM(E45:I45)</f>
        <v>-122455600</v>
      </c>
      <c r="K45" s="75">
        <f>IF(D45=0,C45+J45,D45+J45)</f>
        <v>56024719</v>
      </c>
      <c r="L45" s="109">
        <v>189189138.15801999</v>
      </c>
      <c r="M45" s="110">
        <v>200540486.44750121</v>
      </c>
      <c r="N45" s="128"/>
    </row>
    <row r="46" spans="1:14" ht="12.75" customHeight="1" x14ac:dyDescent="0.25">
      <c r="A46" s="303" t="str">
        <f>"Total "&amp;A41</f>
        <v>Total Provisions - non current</v>
      </c>
      <c r="B46" s="154"/>
      <c r="C46" s="80">
        <f>+C42+C44+C45</f>
        <v>390281857</v>
      </c>
      <c r="D46" s="81">
        <f t="shared" ref="D46:M46" si="8">+D42+D44+D45</f>
        <v>390281857</v>
      </c>
      <c r="E46" s="81">
        <f t="shared" si="8"/>
        <v>0</v>
      </c>
      <c r="F46" s="81">
        <f t="shared" si="8"/>
        <v>0</v>
      </c>
      <c r="G46" s="81">
        <f t="shared" si="8"/>
        <v>0</v>
      </c>
      <c r="H46" s="81">
        <f t="shared" si="8"/>
        <v>0</v>
      </c>
      <c r="I46" s="81">
        <f t="shared" si="8"/>
        <v>0</v>
      </c>
      <c r="J46" s="81">
        <f t="shared" si="8"/>
        <v>0</v>
      </c>
      <c r="K46" s="81">
        <f t="shared" si="8"/>
        <v>390281857</v>
      </c>
      <c r="L46" s="81">
        <f t="shared" si="8"/>
        <v>413698768.27160001</v>
      </c>
      <c r="M46" s="82">
        <f t="shared" si="8"/>
        <v>438520694.36789608</v>
      </c>
      <c r="N46" s="128"/>
    </row>
    <row r="47" spans="1:14" ht="5.0999999999999996" customHeight="1" x14ac:dyDescent="0.25">
      <c r="A47" s="136"/>
      <c r="B47" s="73"/>
      <c r="C47" s="74"/>
      <c r="D47" s="75"/>
      <c r="E47" s="75"/>
      <c r="F47" s="75"/>
      <c r="G47" s="75"/>
      <c r="H47" s="75"/>
      <c r="I47" s="75"/>
      <c r="J47" s="75"/>
      <c r="K47" s="75"/>
      <c r="L47" s="75"/>
      <c r="M47" s="76"/>
      <c r="N47" s="128"/>
    </row>
    <row r="48" spans="1:14" ht="12.75" customHeight="1" x14ac:dyDescent="0.25">
      <c r="A48" s="51" t="s">
        <v>1213</v>
      </c>
      <c r="B48" s="73"/>
      <c r="C48" s="74"/>
      <c r="D48" s="75"/>
      <c r="E48" s="75"/>
      <c r="F48" s="75"/>
      <c r="G48" s="75"/>
      <c r="H48" s="75"/>
      <c r="I48" s="75"/>
      <c r="J48" s="75"/>
      <c r="K48" s="75"/>
      <c r="L48" s="75"/>
      <c r="M48" s="76"/>
      <c r="N48" s="128"/>
    </row>
    <row r="49" spans="1:14" ht="12.75" customHeight="1" x14ac:dyDescent="0.25">
      <c r="A49" s="52" t="s">
        <v>1214</v>
      </c>
      <c r="B49" s="73"/>
      <c r="C49" s="74"/>
      <c r="D49" s="75"/>
      <c r="E49" s="75"/>
      <c r="F49" s="75"/>
      <c r="G49" s="75"/>
      <c r="H49" s="75"/>
      <c r="I49" s="75"/>
      <c r="J49" s="75"/>
      <c r="K49" s="75"/>
      <c r="L49" s="75"/>
      <c r="M49" s="76"/>
      <c r="N49" s="128"/>
    </row>
    <row r="50" spans="1:14" ht="12.75" customHeight="1" x14ac:dyDescent="0.25">
      <c r="A50" s="129" t="str">
        <f>A49&amp;" - opening balance"</f>
        <v>Accumulated surplus/(Deficit) - opening balance</v>
      </c>
      <c r="B50" s="73"/>
      <c r="C50" s="898">
        <v>7856803401.3999996</v>
      </c>
      <c r="D50" s="899">
        <v>7944204753.1700001</v>
      </c>
      <c r="E50" s="899">
        <v>0</v>
      </c>
      <c r="F50" s="899">
        <v>0</v>
      </c>
      <c r="G50" s="899">
        <v>0</v>
      </c>
      <c r="H50" s="899">
        <v>0</v>
      </c>
      <c r="I50" s="899">
        <v>-5698551.3000006676</v>
      </c>
      <c r="J50" s="75">
        <v>-5698550.6972471476</v>
      </c>
      <c r="K50" s="75">
        <f>IF(D50=0,C50+J50,D50+J50)</f>
        <v>7938506202.4727526</v>
      </c>
      <c r="L50" s="899">
        <v>8667832313.8909416</v>
      </c>
      <c r="M50" s="900">
        <v>9208936404.308176</v>
      </c>
      <c r="N50" s="128"/>
    </row>
    <row r="51" spans="1:14" ht="12.75" customHeight="1" x14ac:dyDescent="0.25">
      <c r="A51" s="129" t="s">
        <v>1808</v>
      </c>
      <c r="B51" s="73"/>
      <c r="C51" s="130"/>
      <c r="D51" s="109"/>
      <c r="E51" s="109"/>
      <c r="F51" s="109"/>
      <c r="G51" s="109"/>
      <c r="H51" s="109"/>
      <c r="I51" s="109"/>
      <c r="J51" s="75">
        <f>SUM(E51:I51)</f>
        <v>0</v>
      </c>
      <c r="K51" s="75">
        <f>IF(D51=0,C51+J51,D51+J51)</f>
        <v>0</v>
      </c>
      <c r="L51" s="109"/>
      <c r="M51" s="110"/>
      <c r="N51" s="128"/>
    </row>
    <row r="52" spans="1:14" ht="12.75" customHeight="1" x14ac:dyDescent="0.25">
      <c r="A52" s="129" t="s">
        <v>1809</v>
      </c>
      <c r="B52" s="73"/>
      <c r="C52" s="131">
        <f>+C50+C51</f>
        <v>7856803401.3999996</v>
      </c>
      <c r="D52" s="132">
        <f t="shared" ref="D52:M52" si="9">+D50+D51</f>
        <v>7944204753.1700001</v>
      </c>
      <c r="E52" s="132">
        <f t="shared" si="9"/>
        <v>0</v>
      </c>
      <c r="F52" s="132">
        <f t="shared" si="9"/>
        <v>0</v>
      </c>
      <c r="G52" s="132">
        <f t="shared" si="9"/>
        <v>0</v>
      </c>
      <c r="H52" s="132">
        <f t="shared" si="9"/>
        <v>0</v>
      </c>
      <c r="I52" s="132">
        <f t="shared" si="9"/>
        <v>-5698551.3000006676</v>
      </c>
      <c r="J52" s="132">
        <f t="shared" si="9"/>
        <v>-5698550.6972471476</v>
      </c>
      <c r="K52" s="132">
        <f t="shared" si="9"/>
        <v>7938506202.4727526</v>
      </c>
      <c r="L52" s="132">
        <f t="shared" si="9"/>
        <v>8667832313.8909416</v>
      </c>
      <c r="M52" s="133">
        <f t="shared" si="9"/>
        <v>9208936404.308176</v>
      </c>
      <c r="N52" s="128"/>
    </row>
    <row r="53" spans="1:14" ht="12.75" customHeight="1" x14ac:dyDescent="0.25">
      <c r="A53" s="129" t="s">
        <v>569</v>
      </c>
      <c r="B53" s="73"/>
      <c r="C53" s="131">
        <f>'B4-FinPerf RE'!C47</f>
        <v>1003110791</v>
      </c>
      <c r="D53" s="132">
        <f>'B4-FinPerf RE'!D47</f>
        <v>1032753791</v>
      </c>
      <c r="E53" s="132">
        <f>'B4-FinPerf RE'!E47</f>
        <v>0</v>
      </c>
      <c r="F53" s="132">
        <f>'B4-FinPerf RE'!F47</f>
        <v>0</v>
      </c>
      <c r="G53" s="132">
        <f>'B4-FinPerf RE'!G47</f>
        <v>0</v>
      </c>
      <c r="H53" s="132">
        <f>'B4-FinPerf RE'!H47</f>
        <v>62291861</v>
      </c>
      <c r="I53" s="132">
        <f>'B4-FinPerf RE'!I47</f>
        <v>-225666389</v>
      </c>
      <c r="J53" s="132">
        <f>'B4-FinPerf RE'!J47</f>
        <v>-163374528</v>
      </c>
      <c r="K53" s="132">
        <f>'B4-FinPerf RE'!K47</f>
        <v>869379263</v>
      </c>
      <c r="L53" s="132">
        <f>'B4-FinPerf RE'!L47</f>
        <v>808247957.23523617</v>
      </c>
      <c r="M53" s="133">
        <f>'B4-FinPerf RE'!M47</f>
        <v>793472717.87607336</v>
      </c>
      <c r="N53" s="128"/>
    </row>
    <row r="54" spans="1:14" ht="12.75" customHeight="1" x14ac:dyDescent="0.25">
      <c r="A54" s="1346" t="s">
        <v>1810</v>
      </c>
      <c r="B54" s="73"/>
      <c r="C54" s="130">
        <v>0</v>
      </c>
      <c r="D54" s="109">
        <v>0</v>
      </c>
      <c r="E54" s="109">
        <v>0</v>
      </c>
      <c r="F54" s="109">
        <v>0</v>
      </c>
      <c r="G54" s="109">
        <v>0</v>
      </c>
      <c r="H54" s="109">
        <v>0</v>
      </c>
      <c r="I54" s="109">
        <v>0</v>
      </c>
      <c r="J54" s="75">
        <f>SUM(E54:I54)</f>
        <v>0</v>
      </c>
      <c r="K54" s="75">
        <f>IF(D54=0,C54+J54,D54+J54)</f>
        <v>0</v>
      </c>
      <c r="L54" s="109">
        <v>0</v>
      </c>
      <c r="M54" s="110">
        <v>0</v>
      </c>
      <c r="N54" s="128"/>
    </row>
    <row r="55" spans="1:14" ht="12.75" customHeight="1" x14ac:dyDescent="0.25">
      <c r="A55" s="129" t="s">
        <v>1215</v>
      </c>
      <c r="B55" s="73"/>
      <c r="C55" s="130">
        <v>0</v>
      </c>
      <c r="D55" s="109">
        <v>0</v>
      </c>
      <c r="E55" s="109">
        <v>0</v>
      </c>
      <c r="F55" s="109">
        <v>0</v>
      </c>
      <c r="G55" s="109">
        <v>0</v>
      </c>
      <c r="H55" s="109">
        <v>0</v>
      </c>
      <c r="I55" s="109">
        <v>0</v>
      </c>
      <c r="J55" s="75">
        <f>SUM(E55:I55)</f>
        <v>0</v>
      </c>
      <c r="K55" s="75">
        <f>IF(D55=0,C55+J55,D55+J55)</f>
        <v>0</v>
      </c>
      <c r="L55" s="109">
        <v>0</v>
      </c>
      <c r="M55" s="110">
        <v>0</v>
      </c>
      <c r="N55" s="128"/>
    </row>
    <row r="56" spans="1:14" ht="12.75" customHeight="1" x14ac:dyDescent="0.25">
      <c r="A56" s="129" t="s">
        <v>1216</v>
      </c>
      <c r="B56" s="73"/>
      <c r="C56" s="130">
        <v>0</v>
      </c>
      <c r="D56" s="109">
        <v>0</v>
      </c>
      <c r="E56" s="109">
        <v>0</v>
      </c>
      <c r="F56" s="109">
        <v>0</v>
      </c>
      <c r="G56" s="109">
        <v>0</v>
      </c>
      <c r="H56" s="109">
        <v>0</v>
      </c>
      <c r="I56" s="109">
        <v>0</v>
      </c>
      <c r="J56" s="75">
        <f>SUM(E56:I56)</f>
        <v>0</v>
      </c>
      <c r="K56" s="75">
        <f>IF(D56=0,C56+J56,D56+J56)</f>
        <v>0</v>
      </c>
      <c r="L56" s="109">
        <v>0</v>
      </c>
      <c r="M56" s="110">
        <v>0</v>
      </c>
      <c r="N56" s="128"/>
    </row>
    <row r="57" spans="1:14" ht="12.75" customHeight="1" x14ac:dyDescent="0.25">
      <c r="A57" s="1347" t="s">
        <v>715</v>
      </c>
      <c r="B57" s="73">
        <v>1</v>
      </c>
      <c r="C57" s="80">
        <f>SUM(C52:C56)</f>
        <v>8859914192.3999996</v>
      </c>
      <c r="D57" s="81">
        <f t="shared" ref="D57:M57" si="10">SUM(D52:D56)</f>
        <v>8976958544.1700001</v>
      </c>
      <c r="E57" s="81">
        <f t="shared" si="10"/>
        <v>0</v>
      </c>
      <c r="F57" s="81">
        <f t="shared" si="10"/>
        <v>0</v>
      </c>
      <c r="G57" s="81">
        <f t="shared" si="10"/>
        <v>0</v>
      </c>
      <c r="H57" s="81">
        <f t="shared" si="10"/>
        <v>62291861</v>
      </c>
      <c r="I57" s="81">
        <f t="shared" si="10"/>
        <v>-231364940.30000067</v>
      </c>
      <c r="J57" s="81">
        <f t="shared" si="10"/>
        <v>-169073078.69724715</v>
      </c>
      <c r="K57" s="81">
        <f t="shared" si="10"/>
        <v>8807885465.4727516</v>
      </c>
      <c r="L57" s="81">
        <f t="shared" si="10"/>
        <v>9476080271.1261787</v>
      </c>
      <c r="M57" s="82">
        <f t="shared" si="10"/>
        <v>10002409122.18425</v>
      </c>
      <c r="N57" s="128"/>
    </row>
    <row r="58" spans="1:14" ht="12.75" customHeight="1" x14ac:dyDescent="0.25">
      <c r="A58" s="126" t="s">
        <v>716</v>
      </c>
      <c r="B58" s="115"/>
      <c r="C58" s="74"/>
      <c r="D58" s="75"/>
      <c r="E58" s="75"/>
      <c r="F58" s="75"/>
      <c r="G58" s="75"/>
      <c r="H58" s="75"/>
      <c r="I58" s="75"/>
      <c r="J58" s="75"/>
      <c r="K58" s="75"/>
      <c r="L58" s="75"/>
      <c r="M58" s="76"/>
      <c r="N58" s="128"/>
    </row>
    <row r="59" spans="1:14" ht="12.75" customHeight="1" x14ac:dyDescent="0.25">
      <c r="A59" s="30" t="s">
        <v>1217</v>
      </c>
      <c r="B59" s="137"/>
      <c r="C59" s="130">
        <v>0</v>
      </c>
      <c r="D59" s="109">
        <v>0</v>
      </c>
      <c r="E59" s="109">
        <v>0</v>
      </c>
      <c r="F59" s="109">
        <v>0</v>
      </c>
      <c r="G59" s="109">
        <v>0</v>
      </c>
      <c r="H59" s="109">
        <v>0</v>
      </c>
      <c r="I59" s="109">
        <v>0</v>
      </c>
      <c r="J59" s="75">
        <f>SUM(E59:I59)</f>
        <v>0</v>
      </c>
      <c r="K59" s="75">
        <f>IF(D59=0,C59+J59,D59+J59)</f>
        <v>0</v>
      </c>
      <c r="L59" s="109">
        <v>0</v>
      </c>
      <c r="M59" s="110">
        <v>0</v>
      </c>
      <c r="N59" s="128"/>
    </row>
    <row r="60" spans="1:14" ht="12.75" customHeight="1" x14ac:dyDescent="0.25">
      <c r="A60" s="30" t="s">
        <v>1218</v>
      </c>
      <c r="B60" s="73"/>
      <c r="C60" s="130">
        <v>0</v>
      </c>
      <c r="D60" s="109">
        <v>0</v>
      </c>
      <c r="E60" s="109">
        <v>0</v>
      </c>
      <c r="F60" s="109">
        <v>0</v>
      </c>
      <c r="G60" s="109">
        <v>0</v>
      </c>
      <c r="H60" s="109">
        <v>0</v>
      </c>
      <c r="I60" s="109">
        <v>0</v>
      </c>
      <c r="J60" s="75">
        <f>SUM(E60:I60)</f>
        <v>0</v>
      </c>
      <c r="K60" s="75">
        <f>IF(D60=0,C60+J60,D60+J60)</f>
        <v>0</v>
      </c>
      <c r="L60" s="109">
        <v>0</v>
      </c>
      <c r="M60" s="110">
        <v>0</v>
      </c>
      <c r="N60" s="128"/>
    </row>
    <row r="61" spans="1:14" ht="12.75" customHeight="1" x14ac:dyDescent="0.25">
      <c r="A61" s="30" t="s">
        <v>1219</v>
      </c>
      <c r="B61" s="73"/>
      <c r="C61" s="130">
        <v>0</v>
      </c>
      <c r="D61" s="109">
        <v>0</v>
      </c>
      <c r="E61" s="109">
        <v>0</v>
      </c>
      <c r="F61" s="109">
        <v>0</v>
      </c>
      <c r="G61" s="109">
        <v>0</v>
      </c>
      <c r="H61" s="109">
        <v>0</v>
      </c>
      <c r="I61" s="109">
        <v>0</v>
      </c>
      <c r="J61" s="75">
        <f>SUM(E61:I61)</f>
        <v>0</v>
      </c>
      <c r="K61" s="75">
        <f>IF(D61=0,C61+J61,D61+J61)</f>
        <v>0</v>
      </c>
      <c r="L61" s="109">
        <v>0</v>
      </c>
      <c r="M61" s="110">
        <v>0</v>
      </c>
      <c r="N61" s="128"/>
    </row>
    <row r="62" spans="1:14" ht="12.75" customHeight="1" x14ac:dyDescent="0.25">
      <c r="A62" s="129" t="s">
        <v>1811</v>
      </c>
      <c r="B62" s="73"/>
      <c r="C62" s="130">
        <v>0</v>
      </c>
      <c r="D62" s="109">
        <v>0</v>
      </c>
      <c r="E62" s="109">
        <v>0</v>
      </c>
      <c r="F62" s="109">
        <v>0</v>
      </c>
      <c r="G62" s="109">
        <v>0</v>
      </c>
      <c r="H62" s="109">
        <v>0</v>
      </c>
      <c r="I62" s="109">
        <v>0</v>
      </c>
      <c r="J62" s="75">
        <f>SUM(E62:I62)</f>
        <v>0</v>
      </c>
      <c r="K62" s="75">
        <f>IF(D62=0,C62+J62,D62+J62)</f>
        <v>0</v>
      </c>
      <c r="L62" s="109">
        <v>0</v>
      </c>
      <c r="M62" s="110">
        <v>0</v>
      </c>
      <c r="N62" s="128"/>
    </row>
    <row r="63" spans="1:14" ht="12.75" customHeight="1" x14ac:dyDescent="0.25">
      <c r="A63" s="30" t="s">
        <v>1220</v>
      </c>
      <c r="B63" s="73"/>
      <c r="C63" s="130">
        <v>7501673838</v>
      </c>
      <c r="D63" s="109">
        <v>7501673838</v>
      </c>
      <c r="E63" s="109">
        <v>0</v>
      </c>
      <c r="F63" s="109">
        <v>0</v>
      </c>
      <c r="G63" s="109">
        <v>0</v>
      </c>
      <c r="H63" s="109">
        <v>0</v>
      </c>
      <c r="I63" s="109">
        <v>0</v>
      </c>
      <c r="J63" s="75">
        <f>SUM(E63:I63)</f>
        <v>0</v>
      </c>
      <c r="K63" s="75">
        <f>IF(D63=0,C63+J63,D63+J63)</f>
        <v>7501673838</v>
      </c>
      <c r="L63" s="109">
        <v>7501673838</v>
      </c>
      <c r="M63" s="110">
        <v>7501673838</v>
      </c>
      <c r="N63" s="128"/>
    </row>
    <row r="64" spans="1:14" ht="12.75" customHeight="1" x14ac:dyDescent="0.25">
      <c r="A64" s="303" t="s">
        <v>1221</v>
      </c>
      <c r="B64" s="154">
        <v>2</v>
      </c>
      <c r="C64" s="80">
        <f t="shared" ref="C64:M64" si="11">SUM(C59:C63)</f>
        <v>7501673838</v>
      </c>
      <c r="D64" s="81">
        <f t="shared" si="11"/>
        <v>7501673838</v>
      </c>
      <c r="E64" s="81">
        <f t="shared" si="11"/>
        <v>0</v>
      </c>
      <c r="F64" s="81">
        <f t="shared" si="11"/>
        <v>0</v>
      </c>
      <c r="G64" s="81">
        <f t="shared" si="11"/>
        <v>0</v>
      </c>
      <c r="H64" s="81">
        <f t="shared" si="11"/>
        <v>0</v>
      </c>
      <c r="I64" s="81">
        <f t="shared" si="11"/>
        <v>0</v>
      </c>
      <c r="J64" s="81">
        <f t="shared" si="11"/>
        <v>0</v>
      </c>
      <c r="K64" s="81">
        <f t="shared" si="11"/>
        <v>7501673838</v>
      </c>
      <c r="L64" s="81">
        <f t="shared" si="11"/>
        <v>7501673838</v>
      </c>
      <c r="M64" s="82">
        <f t="shared" si="11"/>
        <v>7501673838</v>
      </c>
      <c r="N64" s="128"/>
    </row>
    <row r="65" spans="1:14" ht="12.75" customHeight="1" x14ac:dyDescent="0.25">
      <c r="A65" s="155" t="s">
        <v>717</v>
      </c>
      <c r="B65" s="156">
        <v>2</v>
      </c>
      <c r="C65" s="157">
        <f t="shared" ref="C65:M65" si="12">C57+C64</f>
        <v>16361588030.4</v>
      </c>
      <c r="D65" s="117">
        <f t="shared" si="12"/>
        <v>16478632382.17</v>
      </c>
      <c r="E65" s="117">
        <f t="shared" si="12"/>
        <v>0</v>
      </c>
      <c r="F65" s="117">
        <f t="shared" si="12"/>
        <v>0</v>
      </c>
      <c r="G65" s="117">
        <f t="shared" si="12"/>
        <v>0</v>
      </c>
      <c r="H65" s="117">
        <f t="shared" si="12"/>
        <v>62291861</v>
      </c>
      <c r="I65" s="117">
        <f t="shared" si="12"/>
        <v>-231364940.30000067</v>
      </c>
      <c r="J65" s="117">
        <f t="shared" si="12"/>
        <v>-169073078.69724715</v>
      </c>
      <c r="K65" s="117">
        <f t="shared" si="12"/>
        <v>16309559303.472752</v>
      </c>
      <c r="L65" s="117">
        <f t="shared" si="12"/>
        <v>16977754109.126179</v>
      </c>
      <c r="M65" s="118">
        <f t="shared" si="12"/>
        <v>17504082960.18425</v>
      </c>
      <c r="N65" s="128"/>
    </row>
    <row r="66" spans="1:14" ht="5.0999999999999996" customHeight="1" x14ac:dyDescent="0.25">
      <c r="A66" s="305"/>
      <c r="B66" s="306"/>
      <c r="C66" s="307"/>
      <c r="D66" s="307"/>
      <c r="E66" s="307"/>
      <c r="F66" s="307"/>
      <c r="G66" s="307"/>
      <c r="H66" s="307"/>
      <c r="I66" s="307"/>
      <c r="J66" s="307"/>
      <c r="K66" s="307"/>
      <c r="L66" s="307"/>
      <c r="M66" s="307"/>
      <c r="N66" s="128"/>
    </row>
    <row r="67" spans="1:14" s="338" customFormat="1" ht="12.75" customHeight="1" x14ac:dyDescent="0.25">
      <c r="A67" s="1348"/>
      <c r="B67" s="340"/>
      <c r="C67" s="340"/>
      <c r="D67" s="340"/>
      <c r="E67" s="340"/>
      <c r="F67" s="340"/>
      <c r="G67" s="340"/>
      <c r="H67" s="340"/>
      <c r="I67" s="340"/>
      <c r="J67" s="340"/>
      <c r="K67" s="340"/>
      <c r="L67" s="340"/>
      <c r="M67" s="340"/>
    </row>
    <row r="68" spans="1:14" s="338" customFormat="1" ht="12.75" customHeight="1" x14ac:dyDescent="0.25">
      <c r="A68" s="1349"/>
      <c r="B68" s="782"/>
      <c r="C68" s="1350"/>
      <c r="D68" s="1350"/>
      <c r="E68" s="1350"/>
      <c r="F68" s="1350"/>
      <c r="G68" s="1350"/>
      <c r="H68" s="1350"/>
      <c r="I68" s="1350"/>
      <c r="J68" s="340"/>
      <c r="K68" s="340"/>
      <c r="L68" s="1350"/>
      <c r="M68" s="1350"/>
    </row>
    <row r="69" spans="1:14" s="338" customFormat="1" ht="12.75" customHeight="1" x14ac:dyDescent="0.25">
      <c r="A69" s="1349"/>
      <c r="B69" s="782"/>
      <c r="C69" s="1350"/>
      <c r="D69" s="1350"/>
      <c r="E69" s="1350"/>
      <c r="F69" s="1350"/>
      <c r="G69" s="1350"/>
      <c r="H69" s="1350"/>
      <c r="I69" s="1350"/>
      <c r="J69" s="340"/>
      <c r="K69" s="340"/>
      <c r="L69" s="1350"/>
      <c r="M69" s="1350"/>
    </row>
    <row r="70" spans="1:14" s="338" customFormat="1" ht="12.75" customHeight="1" x14ac:dyDescent="0.25">
      <c r="A70" s="1349"/>
      <c r="B70" s="1351"/>
      <c r="C70" s="1350"/>
      <c r="D70" s="1350"/>
      <c r="E70" s="1350"/>
      <c r="F70" s="1350"/>
      <c r="G70" s="1350"/>
      <c r="H70" s="1350"/>
      <c r="I70" s="1350"/>
      <c r="J70" s="340"/>
      <c r="K70" s="340"/>
      <c r="L70" s="1350"/>
      <c r="M70" s="1350"/>
    </row>
    <row r="71" spans="1:14" ht="12.75" customHeight="1" x14ac:dyDescent="0.25">
      <c r="A71" s="158" t="str">
        <f>head27a</f>
        <v>References</v>
      </c>
      <c r="B71" s="93"/>
      <c r="C71" s="96"/>
      <c r="D71" s="96"/>
      <c r="E71" s="96"/>
      <c r="F71" s="96"/>
      <c r="G71" s="96"/>
      <c r="H71" s="96"/>
      <c r="I71" s="96"/>
      <c r="J71" s="96"/>
      <c r="K71" s="96"/>
      <c r="L71" s="96"/>
      <c r="M71" s="96"/>
      <c r="N71" s="128"/>
    </row>
    <row r="72" spans="1:14" ht="12.75" customHeight="1" x14ac:dyDescent="0.25">
      <c r="A72" s="99" t="s">
        <v>0</v>
      </c>
      <c r="B72" s="93"/>
      <c r="C72" s="96"/>
      <c r="D72" s="96"/>
      <c r="E72" s="96"/>
      <c r="F72" s="96"/>
      <c r="G72" s="96"/>
      <c r="H72" s="96"/>
      <c r="I72" s="96"/>
      <c r="J72" s="96"/>
      <c r="K72" s="96"/>
      <c r="L72" s="96"/>
      <c r="M72" s="96"/>
    </row>
    <row r="73" spans="1:14" ht="12.75" customHeight="1" x14ac:dyDescent="0.25">
      <c r="A73" s="99" t="s">
        <v>1</v>
      </c>
      <c r="B73" s="93"/>
      <c r="C73" s="96"/>
      <c r="D73" s="96"/>
      <c r="E73" s="96"/>
      <c r="F73" s="96"/>
      <c r="G73" s="96"/>
      <c r="H73" s="96"/>
      <c r="I73" s="96"/>
      <c r="J73" s="96"/>
      <c r="K73" s="96"/>
      <c r="L73" s="96"/>
      <c r="M73" s="96"/>
    </row>
    <row r="74" spans="1:14" ht="12.75" customHeight="1" x14ac:dyDescent="0.25">
      <c r="A74" s="99" t="s">
        <v>2</v>
      </c>
      <c r="B74" s="93"/>
      <c r="C74" s="99"/>
      <c r="D74" s="99"/>
      <c r="E74" s="99"/>
      <c r="F74" s="99"/>
      <c r="G74" s="99"/>
      <c r="H74" s="99"/>
      <c r="I74" s="99"/>
      <c r="J74" s="99"/>
      <c r="K74" s="99"/>
      <c r="L74" s="99"/>
      <c r="M74" s="99"/>
    </row>
    <row r="75" spans="1:14" ht="12.75" customHeight="1" x14ac:dyDescent="0.25">
      <c r="A75" s="99" t="s">
        <v>983</v>
      </c>
      <c r="B75" s="99"/>
      <c r="C75" s="99"/>
      <c r="D75" s="99"/>
      <c r="E75" s="99"/>
      <c r="F75" s="99"/>
      <c r="G75" s="99"/>
      <c r="H75" s="99"/>
      <c r="I75" s="99"/>
      <c r="J75" s="99"/>
      <c r="K75" s="99"/>
      <c r="L75" s="99"/>
      <c r="M75" s="99"/>
    </row>
    <row r="76" spans="1:14" ht="24.95" customHeight="1" x14ac:dyDescent="0.25">
      <c r="A76" s="1402" t="s">
        <v>753</v>
      </c>
      <c r="B76" s="1402"/>
      <c r="C76" s="1402"/>
      <c r="D76" s="1402"/>
      <c r="E76" s="1402"/>
      <c r="F76" s="1402"/>
      <c r="G76" s="1402"/>
      <c r="H76" s="1402"/>
      <c r="I76" s="1402"/>
      <c r="J76" s="1402"/>
      <c r="K76" s="1402"/>
      <c r="L76" s="1402"/>
      <c r="M76" s="1402"/>
    </row>
    <row r="77" spans="1:14" ht="12.75" customHeight="1" x14ac:dyDescent="0.25">
      <c r="A77" s="99" t="s">
        <v>754</v>
      </c>
      <c r="B77" s="99"/>
      <c r="C77" s="99"/>
      <c r="D77" s="99"/>
      <c r="E77" s="99"/>
      <c r="F77" s="99"/>
      <c r="G77" s="99"/>
      <c r="H77" s="99"/>
      <c r="I77" s="99"/>
      <c r="J77" s="99"/>
      <c r="K77" s="99"/>
      <c r="L77" s="99"/>
      <c r="M77" s="99"/>
    </row>
    <row r="78" spans="1:14" ht="12.75" customHeight="1" x14ac:dyDescent="0.25">
      <c r="A78" s="99" t="s">
        <v>755</v>
      </c>
      <c r="B78" s="99"/>
      <c r="C78" s="99"/>
      <c r="D78" s="99"/>
      <c r="E78" s="99"/>
      <c r="F78" s="99"/>
      <c r="G78" s="99"/>
      <c r="H78" s="99"/>
      <c r="I78" s="99"/>
      <c r="J78" s="99"/>
      <c r="K78" s="99"/>
      <c r="L78" s="99"/>
      <c r="M78" s="99"/>
    </row>
    <row r="79" spans="1:14" ht="12.75" customHeight="1" x14ac:dyDescent="0.25">
      <c r="A79" s="99" t="s">
        <v>756</v>
      </c>
      <c r="B79" s="93"/>
      <c r="C79" s="96"/>
      <c r="D79" s="96"/>
      <c r="E79" s="96"/>
      <c r="F79" s="96"/>
      <c r="G79" s="96"/>
      <c r="H79" s="96"/>
      <c r="I79" s="96"/>
      <c r="J79" s="96"/>
      <c r="K79" s="96"/>
      <c r="L79" s="96"/>
      <c r="M79" s="96"/>
    </row>
    <row r="80" spans="1:14" ht="38.25" customHeight="1" x14ac:dyDescent="0.25">
      <c r="A80" s="1402" t="s">
        <v>757</v>
      </c>
      <c r="B80" s="1402"/>
      <c r="C80" s="1402"/>
      <c r="D80" s="1402"/>
      <c r="E80" s="1402"/>
      <c r="F80" s="1402"/>
      <c r="G80" s="1402"/>
      <c r="H80" s="1402"/>
      <c r="I80" s="1402"/>
      <c r="J80" s="1402"/>
      <c r="K80" s="1402"/>
      <c r="L80" s="1402"/>
      <c r="M80" s="1402"/>
    </row>
    <row r="81" spans="1:13" ht="12.75" customHeight="1" x14ac:dyDescent="0.25">
      <c r="A81" s="99" t="s">
        <v>758</v>
      </c>
      <c r="B81" s="93"/>
      <c r="C81" s="96"/>
      <c r="D81" s="96"/>
      <c r="E81" s="96"/>
      <c r="F81" s="96"/>
      <c r="G81" s="96"/>
      <c r="H81" s="96"/>
      <c r="I81" s="96"/>
      <c r="J81" s="96"/>
      <c r="K81" s="96"/>
      <c r="L81" s="96"/>
      <c r="M81" s="96"/>
    </row>
    <row r="82" spans="1:13" ht="12.75" customHeight="1" x14ac:dyDescent="0.25">
      <c r="A82" s="99" t="s">
        <v>759</v>
      </c>
      <c r="B82" s="100"/>
      <c r="C82" s="100"/>
      <c r="D82" s="100"/>
      <c r="E82" s="100"/>
      <c r="F82" s="100"/>
      <c r="G82" s="100"/>
      <c r="H82" s="100"/>
      <c r="I82" s="100"/>
      <c r="J82" s="100"/>
      <c r="K82" s="100"/>
      <c r="L82" s="100"/>
      <c r="M82" s="100"/>
    </row>
    <row r="83" spans="1:13" ht="11.25" customHeight="1" x14ac:dyDescent="0.25">
      <c r="A83" s="311" t="s">
        <v>3</v>
      </c>
      <c r="C83" s="181">
        <f>C65-'B6-FinPos'!C50</f>
        <v>0</v>
      </c>
      <c r="D83" s="181"/>
      <c r="E83" s="181"/>
      <c r="F83" s="181"/>
      <c r="G83" s="181"/>
      <c r="H83" s="181"/>
      <c r="I83" s="181"/>
      <c r="J83" s="181"/>
      <c r="K83" s="181"/>
      <c r="L83" s="181"/>
      <c r="M83" s="312">
        <f>K65-'B6-FinPos'!K50</f>
        <v>0.602752685546875</v>
      </c>
    </row>
    <row r="84" spans="1:13" ht="11.25" customHeight="1" x14ac:dyDescent="0.25"/>
    <row r="85" spans="1:13" ht="11.25" customHeight="1" x14ac:dyDescent="0.25"/>
    <row r="86" spans="1:13" ht="11.25" customHeight="1" x14ac:dyDescent="0.25"/>
    <row r="87" spans="1:13" ht="11.25" customHeight="1" x14ac:dyDescent="0.25"/>
    <row r="88" spans="1:13" ht="11.25" customHeight="1" x14ac:dyDescent="0.25"/>
    <row r="89" spans="1:13" ht="11.25" customHeight="1" x14ac:dyDescent="0.25"/>
    <row r="90" spans="1:13" ht="11.25" customHeight="1" x14ac:dyDescent="0.25"/>
    <row r="91" spans="1:13" ht="11.25" customHeight="1" x14ac:dyDescent="0.25"/>
    <row r="92" spans="1:13" ht="11.25" customHeight="1" x14ac:dyDescent="0.25"/>
    <row r="93" spans="1:13" ht="11.25" customHeight="1" x14ac:dyDescent="0.25"/>
    <row r="94" spans="1:13" ht="11.25" customHeight="1" x14ac:dyDescent="0.25"/>
  </sheetData>
  <mergeCells count="5">
    <mergeCell ref="A80:M80"/>
    <mergeCell ref="A76:M76"/>
    <mergeCell ref="B2:B4"/>
    <mergeCell ref="A2:A4"/>
    <mergeCell ref="C2:K2"/>
  </mergeCells>
  <phoneticPr fontId="4" type="noConversion"/>
  <printOptions horizontalCentered="1"/>
  <pageMargins left="0.35" right="0.16" top="0.75" bottom="0.61" header="0.51181102362204722" footer="0.51181102362204722"/>
  <pageSetup paperSize="9" scale="76"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3">
    <tabColor indexed="42"/>
    <pageSetUpPr fitToPage="1"/>
  </sheetPr>
  <dimension ref="A1:M75"/>
  <sheetViews>
    <sheetView showGridLines="0" zoomScaleNormal="100" workbookViewId="0">
      <pane xSplit="1" ySplit="4" topLeftCell="B5" activePane="bottomRight" state="frozen"/>
      <selection activeCell="C6" sqref="C6"/>
      <selection pane="topRight" activeCell="C6" sqref="C6"/>
      <selection pane="bottomLeft" activeCell="C6" sqref="C6"/>
      <selection pane="bottomRight" activeCell="D85" sqref="D85"/>
    </sheetView>
  </sheetViews>
  <sheetFormatPr defaultColWidth="9.140625" defaultRowHeight="12.75" x14ac:dyDescent="0.25"/>
  <cols>
    <col min="1" max="1" width="30.7109375" style="5" customWidth="1"/>
    <col min="2" max="2" width="15.7109375" style="5" customWidth="1"/>
    <col min="3" max="13" width="8.7109375" style="5" customWidth="1"/>
    <col min="14" max="16384" width="9.140625" style="5"/>
  </cols>
  <sheetData>
    <row r="1" spans="1:13" ht="13.5" x14ac:dyDescent="0.25">
      <c r="A1" s="57" t="str">
        <f>muni&amp;" - "&amp;ADJB3&amp;" - "&amp;Date</f>
        <v>LIM354 Polokwane - Supporting Table SB3 Adjustments to the SDBIP - performance objectives - 2020</v>
      </c>
      <c r="C1" s="58"/>
    </row>
    <row r="2" spans="1:13" ht="38.25" x14ac:dyDescent="0.25">
      <c r="A2" s="1406" t="str">
        <f>desc</f>
        <v>Description</v>
      </c>
      <c r="B2" s="1406" t="s">
        <v>4</v>
      </c>
      <c r="C2" s="1403" t="str">
        <f>Head2</f>
        <v>Budget Year 2020/21</v>
      </c>
      <c r="D2" s="1404"/>
      <c r="E2" s="1404"/>
      <c r="F2" s="1404"/>
      <c r="G2" s="1404"/>
      <c r="H2" s="1404"/>
      <c r="I2" s="1404"/>
      <c r="J2" s="1404"/>
      <c r="K2" s="1405"/>
      <c r="L2" s="169" t="str">
        <f>Head10</f>
        <v>Budget Year +1 2021/22</v>
      </c>
      <c r="M2" s="170" t="str">
        <f>Head11</f>
        <v>Budget Year +2 2022/23</v>
      </c>
    </row>
    <row r="3" spans="1:13" ht="25.5" x14ac:dyDescent="0.25">
      <c r="A3" s="1407"/>
      <c r="B3" s="1407"/>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3" ht="13.5" customHeight="1" x14ac:dyDescent="0.25">
      <c r="A4" s="1415"/>
      <c r="B4" s="1415"/>
      <c r="C4" s="67" t="s">
        <v>547</v>
      </c>
      <c r="D4" s="68" t="s">
        <v>548</v>
      </c>
      <c r="E4" s="68" t="s">
        <v>549</v>
      </c>
      <c r="F4" s="69" t="s">
        <v>550</v>
      </c>
      <c r="G4" s="69" t="s">
        <v>551</v>
      </c>
      <c r="H4" s="69" t="s">
        <v>552</v>
      </c>
      <c r="I4" s="70" t="s">
        <v>553</v>
      </c>
      <c r="J4" s="70" t="s">
        <v>554</v>
      </c>
      <c r="K4" s="70" t="s">
        <v>555</v>
      </c>
      <c r="L4" s="70"/>
      <c r="M4" s="71"/>
    </row>
    <row r="5" spans="1:13" ht="12.75" customHeight="1" x14ac:dyDescent="0.25">
      <c r="A5" s="816" t="s">
        <v>448</v>
      </c>
      <c r="B5" s="313"/>
      <c r="C5" s="130"/>
      <c r="D5" s="109"/>
      <c r="E5" s="109"/>
      <c r="F5" s="109"/>
      <c r="G5" s="109"/>
      <c r="H5" s="109"/>
      <c r="I5" s="109"/>
      <c r="J5" s="75"/>
      <c r="K5" s="75"/>
      <c r="L5" s="75"/>
      <c r="M5" s="76"/>
    </row>
    <row r="6" spans="1:13" ht="12.75" customHeight="1" x14ac:dyDescent="0.25">
      <c r="A6" s="817" t="s">
        <v>449</v>
      </c>
      <c r="B6" s="314"/>
      <c r="C6" s="130"/>
      <c r="D6" s="109"/>
      <c r="E6" s="109"/>
      <c r="F6" s="109"/>
      <c r="G6" s="109"/>
      <c r="H6" s="109"/>
      <c r="I6" s="109"/>
      <c r="J6" s="75"/>
      <c r="K6" s="75"/>
      <c r="L6" s="75"/>
      <c r="M6" s="76"/>
    </row>
    <row r="7" spans="1:13" ht="12.75" customHeight="1" x14ac:dyDescent="0.25">
      <c r="A7" s="818" t="s">
        <v>450</v>
      </c>
      <c r="B7" s="314"/>
      <c r="C7" s="130"/>
      <c r="D7" s="109"/>
      <c r="E7" s="109"/>
      <c r="F7" s="109"/>
      <c r="G7" s="109"/>
      <c r="H7" s="109"/>
      <c r="I7" s="109"/>
      <c r="J7" s="75"/>
      <c r="K7" s="75"/>
      <c r="L7" s="75"/>
      <c r="M7" s="76"/>
    </row>
    <row r="8" spans="1:13" ht="12.75" customHeight="1" x14ac:dyDescent="0.25">
      <c r="A8" s="819" t="s">
        <v>5</v>
      </c>
      <c r="B8" s="314"/>
      <c r="C8" s="130"/>
      <c r="D8" s="109"/>
      <c r="E8" s="109"/>
      <c r="F8" s="109"/>
      <c r="G8" s="109"/>
      <c r="H8" s="109"/>
      <c r="I8" s="109"/>
      <c r="J8" s="75">
        <f>SUM(E8:I8)</f>
        <v>0</v>
      </c>
      <c r="K8" s="75">
        <f>IF(D8=0,C8+J8,D8+J8)</f>
        <v>0</v>
      </c>
      <c r="L8" s="75">
        <f>IF(E8=0,D8+K8,E8+K8)</f>
        <v>0</v>
      </c>
      <c r="M8" s="76">
        <f>IF(F8=0,E8+L8,F8+L8)</f>
        <v>0</v>
      </c>
    </row>
    <row r="9" spans="1:13" ht="12.75" customHeight="1" x14ac:dyDescent="0.25">
      <c r="A9" s="820"/>
      <c r="B9" s="314"/>
      <c r="C9" s="130"/>
      <c r="D9" s="109"/>
      <c r="E9" s="109"/>
      <c r="F9" s="109"/>
      <c r="G9" s="109"/>
      <c r="H9" s="109"/>
      <c r="I9" s="109"/>
      <c r="J9" s="75"/>
      <c r="K9" s="75"/>
      <c r="L9" s="75"/>
      <c r="M9" s="76"/>
    </row>
    <row r="10" spans="1:13" ht="12.75" customHeight="1" x14ac:dyDescent="0.25">
      <c r="A10" s="818" t="s">
        <v>451</v>
      </c>
      <c r="B10" s="314"/>
      <c r="C10" s="130"/>
      <c r="D10" s="109"/>
      <c r="E10" s="109"/>
      <c r="F10" s="109"/>
      <c r="G10" s="109"/>
      <c r="H10" s="109"/>
      <c r="I10" s="109"/>
      <c r="J10" s="75"/>
      <c r="K10" s="75"/>
      <c r="L10" s="75"/>
      <c r="M10" s="76"/>
    </row>
    <row r="11" spans="1:13" ht="12.75" customHeight="1" x14ac:dyDescent="0.25">
      <c r="A11" s="819" t="s">
        <v>5</v>
      </c>
      <c r="B11" s="315"/>
      <c r="C11" s="130"/>
      <c r="D11" s="109"/>
      <c r="E11" s="109"/>
      <c r="F11" s="109"/>
      <c r="G11" s="109"/>
      <c r="H11" s="109"/>
      <c r="I11" s="109"/>
      <c r="J11" s="75">
        <f>SUM(E11:I11)</f>
        <v>0</v>
      </c>
      <c r="K11" s="75">
        <f>IF(D11=0,C11+J11,D11+J11)</f>
        <v>0</v>
      </c>
      <c r="L11" s="75">
        <f>IF(E11=0,D11+K11,E11+K11)</f>
        <v>0</v>
      </c>
      <c r="M11" s="76">
        <f>IF(F11=0,E11+L11,F11+L11)</f>
        <v>0</v>
      </c>
    </row>
    <row r="12" spans="1:13" ht="12.75" customHeight="1" x14ac:dyDescent="0.25">
      <c r="A12" s="820"/>
      <c r="B12" s="313"/>
      <c r="C12" s="130"/>
      <c r="D12" s="109"/>
      <c r="E12" s="109"/>
      <c r="F12" s="109"/>
      <c r="G12" s="109"/>
      <c r="H12" s="109"/>
      <c r="I12" s="109"/>
      <c r="J12" s="75"/>
      <c r="K12" s="75"/>
      <c r="L12" s="75"/>
      <c r="M12" s="76"/>
    </row>
    <row r="13" spans="1:13" ht="12.75" customHeight="1" x14ac:dyDescent="0.25">
      <c r="A13" s="818" t="s">
        <v>452</v>
      </c>
      <c r="B13" s="314"/>
      <c r="C13" s="130"/>
      <c r="D13" s="109"/>
      <c r="E13" s="109"/>
      <c r="F13" s="109"/>
      <c r="G13" s="109"/>
      <c r="H13" s="109"/>
      <c r="I13" s="109"/>
      <c r="J13" s="75"/>
      <c r="K13" s="75"/>
      <c r="L13" s="75"/>
      <c r="M13" s="76"/>
    </row>
    <row r="14" spans="1:13" ht="12.75" customHeight="1" x14ac:dyDescent="0.25">
      <c r="A14" s="819" t="s">
        <v>5</v>
      </c>
      <c r="B14" s="315"/>
      <c r="C14" s="130"/>
      <c r="D14" s="109"/>
      <c r="E14" s="109"/>
      <c r="F14" s="109"/>
      <c r="G14" s="109"/>
      <c r="H14" s="109"/>
      <c r="I14" s="109"/>
      <c r="J14" s="75"/>
      <c r="K14" s="75"/>
      <c r="L14" s="75"/>
      <c r="M14" s="76"/>
    </row>
    <row r="15" spans="1:13" ht="12.75" customHeight="1" x14ac:dyDescent="0.25">
      <c r="A15" s="820"/>
      <c r="B15" s="314"/>
      <c r="C15" s="130"/>
      <c r="D15" s="109"/>
      <c r="E15" s="109"/>
      <c r="F15" s="109"/>
      <c r="G15" s="109"/>
      <c r="H15" s="109"/>
      <c r="I15" s="109"/>
      <c r="J15" s="75">
        <f>SUM(E15:I15)</f>
        <v>0</v>
      </c>
      <c r="K15" s="75">
        <f>IF(D15=0,C15+J15,D15+J15)</f>
        <v>0</v>
      </c>
      <c r="L15" s="75">
        <f>IF(E15=0,D15+K15,E15+K15)</f>
        <v>0</v>
      </c>
      <c r="M15" s="76">
        <f>IF(F15=0,E15+L15,F15+L15)</f>
        <v>0</v>
      </c>
    </row>
    <row r="16" spans="1:13" ht="12.75" customHeight="1" x14ac:dyDescent="0.25">
      <c r="A16" s="817" t="s">
        <v>453</v>
      </c>
      <c r="B16" s="313"/>
      <c r="C16" s="130"/>
      <c r="D16" s="109"/>
      <c r="E16" s="109"/>
      <c r="F16" s="109"/>
      <c r="G16" s="109"/>
      <c r="H16" s="109"/>
      <c r="I16" s="109"/>
      <c r="J16" s="75"/>
      <c r="K16" s="75"/>
      <c r="L16" s="75"/>
      <c r="M16" s="76"/>
    </row>
    <row r="17" spans="1:13" ht="12.75" customHeight="1" x14ac:dyDescent="0.25">
      <c r="A17" s="818" t="s">
        <v>450</v>
      </c>
      <c r="B17" s="314"/>
      <c r="C17" s="130"/>
      <c r="D17" s="109"/>
      <c r="E17" s="109"/>
      <c r="F17" s="109"/>
      <c r="G17" s="109"/>
      <c r="H17" s="109"/>
      <c r="I17" s="109"/>
      <c r="J17" s="75"/>
      <c r="K17" s="75"/>
      <c r="L17" s="75"/>
      <c r="M17" s="76"/>
    </row>
    <row r="18" spans="1:13" ht="12.75" customHeight="1" x14ac:dyDescent="0.25">
      <c r="A18" s="819" t="s">
        <v>5</v>
      </c>
      <c r="B18" s="314"/>
      <c r="C18" s="130"/>
      <c r="D18" s="109"/>
      <c r="E18" s="109"/>
      <c r="F18" s="109"/>
      <c r="G18" s="109"/>
      <c r="H18" s="109"/>
      <c r="I18" s="109"/>
      <c r="J18" s="75"/>
      <c r="K18" s="75"/>
      <c r="L18" s="75"/>
      <c r="M18" s="76"/>
    </row>
    <row r="19" spans="1:13" ht="12.75" customHeight="1" x14ac:dyDescent="0.25">
      <c r="A19" s="820"/>
      <c r="B19" s="314"/>
      <c r="C19" s="130"/>
      <c r="D19" s="109"/>
      <c r="E19" s="109"/>
      <c r="F19" s="109"/>
      <c r="G19" s="109"/>
      <c r="H19" s="109"/>
      <c r="I19" s="109"/>
      <c r="J19" s="75">
        <f>SUM(E19:I19)</f>
        <v>0</v>
      </c>
      <c r="K19" s="75">
        <f>IF(D19=0,C19+J19,D19+J19)</f>
        <v>0</v>
      </c>
      <c r="L19" s="75">
        <f>IF(E19=0,D19+K19,E19+K19)</f>
        <v>0</v>
      </c>
      <c r="M19" s="76">
        <f>IF(F19=0,E19+L19,F19+L19)</f>
        <v>0</v>
      </c>
    </row>
    <row r="20" spans="1:13" ht="12.75" customHeight="1" x14ac:dyDescent="0.25">
      <c r="A20" s="818" t="s">
        <v>451</v>
      </c>
      <c r="B20" s="314"/>
      <c r="C20" s="130"/>
      <c r="D20" s="109"/>
      <c r="E20" s="109"/>
      <c r="F20" s="109"/>
      <c r="G20" s="109"/>
      <c r="H20" s="109"/>
      <c r="I20" s="109"/>
      <c r="J20" s="75"/>
      <c r="K20" s="75"/>
      <c r="L20" s="75"/>
      <c r="M20" s="76"/>
    </row>
    <row r="21" spans="1:13" ht="12.75" customHeight="1" x14ac:dyDescent="0.25">
      <c r="A21" s="819" t="s">
        <v>5</v>
      </c>
      <c r="B21" s="314"/>
      <c r="C21" s="130"/>
      <c r="D21" s="109"/>
      <c r="E21" s="109"/>
      <c r="F21" s="109"/>
      <c r="G21" s="109"/>
      <c r="H21" s="109"/>
      <c r="I21" s="109"/>
      <c r="J21" s="75">
        <f>SUM(E21:I21)</f>
        <v>0</v>
      </c>
      <c r="K21" s="75">
        <f>IF(D21=0,C21+J21,D21+J21)</f>
        <v>0</v>
      </c>
      <c r="L21" s="75">
        <f>IF(E21=0,D21+K21,E21+K21)</f>
        <v>0</v>
      </c>
      <c r="M21" s="76">
        <f>IF(F21=0,E21+L21,F21+L21)</f>
        <v>0</v>
      </c>
    </row>
    <row r="22" spans="1:13" ht="12.75" customHeight="1" x14ac:dyDescent="0.25">
      <c r="A22" s="820"/>
      <c r="B22" s="314"/>
      <c r="C22" s="130"/>
      <c r="D22" s="109"/>
      <c r="E22" s="109"/>
      <c r="F22" s="109"/>
      <c r="G22" s="109"/>
      <c r="H22" s="109"/>
      <c r="I22" s="109"/>
      <c r="J22" s="75"/>
      <c r="K22" s="75"/>
      <c r="L22" s="75"/>
      <c r="M22" s="76"/>
    </row>
    <row r="23" spans="1:13" ht="12.75" customHeight="1" x14ac:dyDescent="0.25">
      <c r="A23" s="818" t="s">
        <v>452</v>
      </c>
      <c r="B23" s="314"/>
      <c r="C23" s="130"/>
      <c r="D23" s="109"/>
      <c r="E23" s="109"/>
      <c r="F23" s="109"/>
      <c r="G23" s="109"/>
      <c r="H23" s="109"/>
      <c r="I23" s="109"/>
      <c r="J23" s="75">
        <f>SUM(E23:I23)</f>
        <v>0</v>
      </c>
      <c r="K23" s="75">
        <f>IF(D23=0,C23+J23,D23+J23)</f>
        <v>0</v>
      </c>
      <c r="L23" s="75">
        <f>IF(E23=0,D23+K23,E23+K23)</f>
        <v>0</v>
      </c>
      <c r="M23" s="76">
        <f>IF(F23=0,E23+L23,F23+L23)</f>
        <v>0</v>
      </c>
    </row>
    <row r="24" spans="1:13" ht="12.75" customHeight="1" x14ac:dyDescent="0.25">
      <c r="A24" s="819" t="s">
        <v>5</v>
      </c>
      <c r="B24" s="314"/>
      <c r="C24" s="130"/>
      <c r="D24" s="109"/>
      <c r="E24" s="109"/>
      <c r="F24" s="109"/>
      <c r="G24" s="109"/>
      <c r="H24" s="109"/>
      <c r="I24" s="109"/>
      <c r="J24" s="75"/>
      <c r="K24" s="75"/>
      <c r="L24" s="75"/>
      <c r="M24" s="76"/>
    </row>
    <row r="25" spans="1:13" ht="12.75" customHeight="1" x14ac:dyDescent="0.25">
      <c r="A25" s="821"/>
      <c r="B25" s="314"/>
      <c r="C25" s="130"/>
      <c r="D25" s="109"/>
      <c r="E25" s="109"/>
      <c r="F25" s="109"/>
      <c r="G25" s="109"/>
      <c r="H25" s="109"/>
      <c r="I25" s="109"/>
      <c r="J25" s="75">
        <f>SUM(E25:I25)</f>
        <v>0</v>
      </c>
      <c r="K25" s="75">
        <f>IF(D25=0,C25+J25,D25+J25)</f>
        <v>0</v>
      </c>
      <c r="L25" s="75">
        <f>IF(E25=0,D25+K25,E25+K25)</f>
        <v>0</v>
      </c>
      <c r="M25" s="76">
        <f>IF(F25=0,E25+L25,F25+L25)</f>
        <v>0</v>
      </c>
    </row>
    <row r="26" spans="1:13" ht="12.75" customHeight="1" x14ac:dyDescent="0.25">
      <c r="A26" s="816" t="s">
        <v>454</v>
      </c>
      <c r="B26" s="314"/>
      <c r="C26" s="130"/>
      <c r="D26" s="109"/>
      <c r="E26" s="109"/>
      <c r="F26" s="109"/>
      <c r="G26" s="109"/>
      <c r="H26" s="109"/>
      <c r="I26" s="109"/>
      <c r="J26" s="75"/>
      <c r="K26" s="75"/>
      <c r="L26" s="75"/>
      <c r="M26" s="76"/>
    </row>
    <row r="27" spans="1:13" ht="12.75" customHeight="1" x14ac:dyDescent="0.25">
      <c r="A27" s="817" t="s">
        <v>449</v>
      </c>
      <c r="B27" s="314"/>
      <c r="C27" s="130"/>
      <c r="D27" s="109"/>
      <c r="E27" s="109"/>
      <c r="F27" s="109"/>
      <c r="G27" s="109"/>
      <c r="H27" s="109"/>
      <c r="I27" s="109"/>
      <c r="J27" s="75"/>
      <c r="K27" s="75"/>
      <c r="L27" s="75"/>
      <c r="M27" s="76"/>
    </row>
    <row r="28" spans="1:13" ht="12.75" customHeight="1" x14ac:dyDescent="0.25">
      <c r="A28" s="818" t="s">
        <v>450</v>
      </c>
      <c r="B28" s="314"/>
      <c r="C28" s="130"/>
      <c r="D28" s="109"/>
      <c r="E28" s="109"/>
      <c r="F28" s="109"/>
      <c r="G28" s="109"/>
      <c r="H28" s="109"/>
      <c r="I28" s="109"/>
      <c r="J28" s="75"/>
      <c r="K28" s="75"/>
      <c r="L28" s="75"/>
      <c r="M28" s="76"/>
    </row>
    <row r="29" spans="1:13" ht="12.75" customHeight="1" x14ac:dyDescent="0.25">
      <c r="A29" s="819" t="s">
        <v>5</v>
      </c>
      <c r="B29" s="314"/>
      <c r="C29" s="130"/>
      <c r="D29" s="109"/>
      <c r="E29" s="109"/>
      <c r="F29" s="109"/>
      <c r="G29" s="109"/>
      <c r="H29" s="109"/>
      <c r="I29" s="109"/>
      <c r="J29" s="75">
        <f>SUM(E29:I29)</f>
        <v>0</v>
      </c>
      <c r="K29" s="75">
        <f>IF(D29=0,C29+J29,D29+J29)</f>
        <v>0</v>
      </c>
      <c r="L29" s="75">
        <f>IF(E29=0,D29+K29,E29+K29)</f>
        <v>0</v>
      </c>
      <c r="M29" s="76">
        <f>IF(F29=0,E29+L29,F29+L29)</f>
        <v>0</v>
      </c>
    </row>
    <row r="30" spans="1:13" ht="12.75" customHeight="1" x14ac:dyDescent="0.25">
      <c r="A30" s="820"/>
      <c r="B30" s="314"/>
      <c r="C30" s="130"/>
      <c r="D30" s="109"/>
      <c r="E30" s="109"/>
      <c r="F30" s="109"/>
      <c r="G30" s="109"/>
      <c r="H30" s="109"/>
      <c r="I30" s="109"/>
      <c r="J30" s="75"/>
      <c r="K30" s="75"/>
      <c r="L30" s="75"/>
      <c r="M30" s="76"/>
    </row>
    <row r="31" spans="1:13" ht="12.75" customHeight="1" x14ac:dyDescent="0.25">
      <c r="A31" s="818" t="s">
        <v>451</v>
      </c>
      <c r="B31" s="314"/>
      <c r="C31" s="130"/>
      <c r="D31" s="109"/>
      <c r="E31" s="109"/>
      <c r="F31" s="109"/>
      <c r="G31" s="109"/>
      <c r="H31" s="109"/>
      <c r="I31" s="109"/>
      <c r="J31" s="75">
        <f>SUM(E31:I31)</f>
        <v>0</v>
      </c>
      <c r="K31" s="75">
        <f>IF(D31=0,C31+J31,D31+J31)</f>
        <v>0</v>
      </c>
      <c r="L31" s="75">
        <f>IF(E31=0,D31+K31,E31+K31)</f>
        <v>0</v>
      </c>
      <c r="M31" s="76">
        <f>IF(F31=0,E31+L31,F31+L31)</f>
        <v>0</v>
      </c>
    </row>
    <row r="32" spans="1:13" ht="12.75" customHeight="1" x14ac:dyDescent="0.25">
      <c r="A32" s="819" t="s">
        <v>5</v>
      </c>
      <c r="B32" s="314"/>
      <c r="C32" s="130"/>
      <c r="D32" s="109"/>
      <c r="E32" s="109"/>
      <c r="F32" s="109"/>
      <c r="G32" s="109"/>
      <c r="H32" s="109"/>
      <c r="I32" s="109"/>
      <c r="J32" s="75"/>
      <c r="K32" s="75"/>
      <c r="L32" s="75"/>
      <c r="M32" s="76"/>
    </row>
    <row r="33" spans="1:13" ht="12.75" customHeight="1" x14ac:dyDescent="0.25">
      <c r="A33" s="820"/>
      <c r="B33" s="314"/>
      <c r="C33" s="130"/>
      <c r="D33" s="109"/>
      <c r="E33" s="109"/>
      <c r="F33" s="109"/>
      <c r="G33" s="109"/>
      <c r="H33" s="109"/>
      <c r="I33" s="109"/>
      <c r="J33" s="75">
        <f>SUM(E33:I33)</f>
        <v>0</v>
      </c>
      <c r="K33" s="75">
        <f>IF(D33=0,C33+J33,D33+J33)</f>
        <v>0</v>
      </c>
      <c r="L33" s="75">
        <f>IF(E33=0,D33+K33,E33+K33)</f>
        <v>0</v>
      </c>
      <c r="M33" s="76">
        <f>IF(F33=0,E33+L33,F33+L33)</f>
        <v>0</v>
      </c>
    </row>
    <row r="34" spans="1:13" ht="12.75" customHeight="1" x14ac:dyDescent="0.25">
      <c r="A34" s="818" t="s">
        <v>452</v>
      </c>
      <c r="B34" s="314"/>
      <c r="C34" s="130"/>
      <c r="D34" s="109"/>
      <c r="E34" s="109"/>
      <c r="F34" s="109"/>
      <c r="G34" s="109"/>
      <c r="H34" s="109"/>
      <c r="I34" s="109"/>
      <c r="J34" s="75"/>
      <c r="K34" s="75"/>
      <c r="L34" s="75"/>
      <c r="M34" s="76"/>
    </row>
    <row r="35" spans="1:13" ht="12.75" customHeight="1" x14ac:dyDescent="0.25">
      <c r="A35" s="819" t="s">
        <v>5</v>
      </c>
      <c r="B35" s="314"/>
      <c r="C35" s="130"/>
      <c r="D35" s="109"/>
      <c r="E35" s="109"/>
      <c r="F35" s="109"/>
      <c r="G35" s="109"/>
      <c r="H35" s="109"/>
      <c r="I35" s="109"/>
      <c r="J35" s="75">
        <f>SUM(E35:I35)</f>
        <v>0</v>
      </c>
      <c r="K35" s="75">
        <f>IF(D35=0,C35+J35,D35+J35)</f>
        <v>0</v>
      </c>
      <c r="L35" s="75">
        <f>IF(E35=0,D35+K35,E35+K35)</f>
        <v>0</v>
      </c>
      <c r="M35" s="76">
        <f>IF(F35=0,E35+L35,F35+L35)</f>
        <v>0</v>
      </c>
    </row>
    <row r="36" spans="1:13" ht="12.75" customHeight="1" x14ac:dyDescent="0.25">
      <c r="A36" s="820"/>
      <c r="B36" s="314"/>
      <c r="C36" s="130"/>
      <c r="D36" s="109"/>
      <c r="E36" s="109"/>
      <c r="F36" s="109"/>
      <c r="G36" s="109"/>
      <c r="H36" s="109"/>
      <c r="I36" s="109"/>
      <c r="J36" s="75"/>
      <c r="K36" s="75"/>
      <c r="L36" s="75"/>
      <c r="M36" s="76"/>
    </row>
    <row r="37" spans="1:13" ht="12.75" customHeight="1" x14ac:dyDescent="0.25">
      <c r="A37" s="817" t="s">
        <v>453</v>
      </c>
      <c r="B37" s="314"/>
      <c r="C37" s="130"/>
      <c r="D37" s="109"/>
      <c r="E37" s="109"/>
      <c r="F37" s="109"/>
      <c r="G37" s="109"/>
      <c r="H37" s="109"/>
      <c r="I37" s="109"/>
      <c r="J37" s="75"/>
      <c r="K37" s="75"/>
      <c r="L37" s="75"/>
      <c r="M37" s="76"/>
    </row>
    <row r="38" spans="1:13" ht="12.75" customHeight="1" x14ac:dyDescent="0.25">
      <c r="A38" s="818" t="s">
        <v>450</v>
      </c>
      <c r="B38" s="314"/>
      <c r="C38" s="130"/>
      <c r="D38" s="109"/>
      <c r="E38" s="109"/>
      <c r="F38" s="109"/>
      <c r="G38" s="109"/>
      <c r="H38" s="109"/>
      <c r="I38" s="109"/>
      <c r="J38" s="75">
        <f>SUM(E38:I38)</f>
        <v>0</v>
      </c>
      <c r="K38" s="75">
        <f>IF(D38=0,C38+J38,D38+J38)</f>
        <v>0</v>
      </c>
      <c r="L38" s="75">
        <f>IF(E38=0,D38+K38,E38+K38)</f>
        <v>0</v>
      </c>
      <c r="M38" s="76">
        <f>IF(F38=0,E38+L38,F38+L38)</f>
        <v>0</v>
      </c>
    </row>
    <row r="39" spans="1:13" ht="12.75" customHeight="1" x14ac:dyDescent="0.25">
      <c r="A39" s="819" t="s">
        <v>5</v>
      </c>
      <c r="B39" s="314"/>
      <c r="C39" s="130"/>
      <c r="D39" s="109"/>
      <c r="E39" s="109"/>
      <c r="F39" s="109"/>
      <c r="G39" s="109"/>
      <c r="H39" s="109"/>
      <c r="I39" s="109"/>
      <c r="J39" s="75"/>
      <c r="K39" s="75"/>
      <c r="L39" s="75"/>
      <c r="M39" s="76"/>
    </row>
    <row r="40" spans="1:13" ht="12.75" customHeight="1" x14ac:dyDescent="0.25">
      <c r="A40" s="820"/>
      <c r="B40" s="314"/>
      <c r="C40" s="130"/>
      <c r="D40" s="109"/>
      <c r="E40" s="109"/>
      <c r="F40" s="109"/>
      <c r="G40" s="109"/>
      <c r="H40" s="109"/>
      <c r="I40" s="109"/>
      <c r="J40" s="75">
        <f>SUM(E40:I40)</f>
        <v>0</v>
      </c>
      <c r="K40" s="75">
        <f>IF(D40=0,C40+J40,D40+J40)</f>
        <v>0</v>
      </c>
      <c r="L40" s="75">
        <f>IF(E40=0,D40+K40,E40+K40)</f>
        <v>0</v>
      </c>
      <c r="M40" s="76">
        <f>IF(F40=0,E40+L40,F40+L40)</f>
        <v>0</v>
      </c>
    </row>
    <row r="41" spans="1:13" ht="12.75" customHeight="1" x14ac:dyDescent="0.25">
      <c r="A41" s="818" t="s">
        <v>451</v>
      </c>
      <c r="B41" s="314"/>
      <c r="C41" s="130"/>
      <c r="D41" s="109"/>
      <c r="E41" s="109"/>
      <c r="F41" s="109"/>
      <c r="G41" s="109"/>
      <c r="H41" s="109"/>
      <c r="I41" s="109"/>
      <c r="J41" s="75"/>
      <c r="K41" s="75"/>
      <c r="L41" s="75"/>
      <c r="M41" s="76"/>
    </row>
    <row r="42" spans="1:13" ht="12.75" customHeight="1" x14ac:dyDescent="0.25">
      <c r="A42" s="819" t="s">
        <v>5</v>
      </c>
      <c r="B42" s="314"/>
      <c r="C42" s="130"/>
      <c r="D42" s="109"/>
      <c r="E42" s="109"/>
      <c r="F42" s="109"/>
      <c r="G42" s="109"/>
      <c r="H42" s="109"/>
      <c r="I42" s="109"/>
      <c r="J42" s="75">
        <f>SUM(E42:I42)</f>
        <v>0</v>
      </c>
      <c r="K42" s="75">
        <f>IF(D42=0,C42+J42,D42+J42)</f>
        <v>0</v>
      </c>
      <c r="L42" s="75">
        <f>IF(E42=0,D42+K42,E42+K42)</f>
        <v>0</v>
      </c>
      <c r="M42" s="76">
        <f>IF(F42=0,E42+L42,F42+L42)</f>
        <v>0</v>
      </c>
    </row>
    <row r="43" spans="1:13" ht="12.75" customHeight="1" x14ac:dyDescent="0.25">
      <c r="A43" s="820"/>
      <c r="B43" s="314"/>
      <c r="C43" s="130"/>
      <c r="D43" s="109"/>
      <c r="E43" s="109"/>
      <c r="F43" s="109"/>
      <c r="G43" s="109"/>
      <c r="H43" s="109"/>
      <c r="I43" s="109"/>
      <c r="J43" s="75"/>
      <c r="K43" s="75"/>
      <c r="L43" s="75"/>
      <c r="M43" s="76"/>
    </row>
    <row r="44" spans="1:13" ht="12.75" customHeight="1" x14ac:dyDescent="0.25">
      <c r="A44" s="818" t="s">
        <v>452</v>
      </c>
      <c r="B44" s="314"/>
      <c r="C44" s="130"/>
      <c r="D44" s="109"/>
      <c r="E44" s="109"/>
      <c r="F44" s="109"/>
      <c r="G44" s="109"/>
      <c r="H44" s="109"/>
      <c r="I44" s="109"/>
      <c r="J44" s="75"/>
      <c r="K44" s="75"/>
      <c r="L44" s="75"/>
      <c r="M44" s="76"/>
    </row>
    <row r="45" spans="1:13" ht="12.75" customHeight="1" x14ac:dyDescent="0.25">
      <c r="A45" s="819" t="s">
        <v>5</v>
      </c>
      <c r="B45" s="314"/>
      <c r="C45" s="130"/>
      <c r="D45" s="109"/>
      <c r="E45" s="109"/>
      <c r="F45" s="109"/>
      <c r="G45" s="109"/>
      <c r="H45" s="109"/>
      <c r="I45" s="109"/>
      <c r="J45" s="75"/>
      <c r="K45" s="75"/>
      <c r="L45" s="75"/>
      <c r="M45" s="76"/>
    </row>
    <row r="46" spans="1:13" ht="12.75" customHeight="1" x14ac:dyDescent="0.25">
      <c r="A46" s="819"/>
      <c r="B46" s="314"/>
      <c r="C46" s="130"/>
      <c r="D46" s="109"/>
      <c r="E46" s="109"/>
      <c r="F46" s="109"/>
      <c r="G46" s="109"/>
      <c r="H46" s="109"/>
      <c r="I46" s="109"/>
      <c r="J46" s="75">
        <f>SUM(E46:I46)</f>
        <v>0</v>
      </c>
      <c r="K46" s="75">
        <f>IF(D46=0,C46+J46,D46+J46)</f>
        <v>0</v>
      </c>
      <c r="L46" s="75">
        <f>IF(E46=0,D46+K46,E46+K46)</f>
        <v>0</v>
      </c>
      <c r="M46" s="76">
        <f>IF(F46=0,E46+L46,F46+L46)</f>
        <v>0</v>
      </c>
    </row>
    <row r="47" spans="1:13" ht="12.75" customHeight="1" x14ac:dyDescent="0.25">
      <c r="A47" s="816" t="s">
        <v>455</v>
      </c>
      <c r="B47" s="314"/>
      <c r="C47" s="130"/>
      <c r="D47" s="109"/>
      <c r="E47" s="109"/>
      <c r="F47" s="109"/>
      <c r="G47" s="109"/>
      <c r="H47" s="109"/>
      <c r="I47" s="109"/>
      <c r="J47" s="75"/>
      <c r="K47" s="75"/>
      <c r="L47" s="75"/>
      <c r="M47" s="76"/>
    </row>
    <row r="48" spans="1:13" ht="12.75" customHeight="1" x14ac:dyDescent="0.25">
      <c r="A48" s="817" t="s">
        <v>449</v>
      </c>
      <c r="B48" s="314"/>
      <c r="C48" s="130"/>
      <c r="D48" s="109"/>
      <c r="E48" s="109"/>
      <c r="F48" s="109"/>
      <c r="G48" s="109"/>
      <c r="H48" s="109"/>
      <c r="I48" s="109"/>
      <c r="J48" s="75">
        <f>SUM(E48:I48)</f>
        <v>0</v>
      </c>
      <c r="K48" s="75">
        <f>IF(D48=0,C48+J48,D48+J48)</f>
        <v>0</v>
      </c>
      <c r="L48" s="75">
        <f>IF(E48=0,D48+K48,E48+K48)</f>
        <v>0</v>
      </c>
      <c r="M48" s="76">
        <f>IF(F48=0,E48+L48,F48+L48)</f>
        <v>0</v>
      </c>
    </row>
    <row r="49" spans="1:13" ht="12.75" customHeight="1" x14ac:dyDescent="0.25">
      <c r="A49" s="818" t="s">
        <v>450</v>
      </c>
      <c r="B49" s="314"/>
      <c r="C49" s="130"/>
      <c r="D49" s="109"/>
      <c r="E49" s="109"/>
      <c r="F49" s="109"/>
      <c r="G49" s="109"/>
      <c r="H49" s="109"/>
      <c r="I49" s="109"/>
      <c r="J49" s="75"/>
      <c r="K49" s="75"/>
      <c r="L49" s="75"/>
      <c r="M49" s="76"/>
    </row>
    <row r="50" spans="1:13" ht="12.75" customHeight="1" x14ac:dyDescent="0.25">
      <c r="A50" s="819" t="s">
        <v>5</v>
      </c>
      <c r="B50" s="315"/>
      <c r="C50" s="130"/>
      <c r="D50" s="109"/>
      <c r="E50" s="109"/>
      <c r="F50" s="109"/>
      <c r="G50" s="109"/>
      <c r="H50" s="109"/>
      <c r="I50" s="109"/>
      <c r="J50" s="75"/>
      <c r="K50" s="75"/>
      <c r="L50" s="75"/>
      <c r="M50" s="76"/>
    </row>
    <row r="51" spans="1:13" ht="12.75" customHeight="1" x14ac:dyDescent="0.25">
      <c r="A51" s="820"/>
      <c r="B51" s="315"/>
      <c r="C51" s="130"/>
      <c r="D51" s="109"/>
      <c r="E51" s="109"/>
      <c r="F51" s="109"/>
      <c r="G51" s="109"/>
      <c r="H51" s="109"/>
      <c r="I51" s="109"/>
      <c r="J51" s="75">
        <f>SUM(E51:I51)</f>
        <v>0</v>
      </c>
      <c r="K51" s="75">
        <f>IF(D51=0,C51+J51,D51+J51)</f>
        <v>0</v>
      </c>
      <c r="L51" s="75">
        <f>IF(E51=0,D51+K51,E51+K51)</f>
        <v>0</v>
      </c>
      <c r="M51" s="76">
        <f>IF(F51=0,E51+L51,F51+L51)</f>
        <v>0</v>
      </c>
    </row>
    <row r="52" spans="1:13" ht="12.75" customHeight="1" x14ac:dyDescent="0.25">
      <c r="A52" s="818" t="s">
        <v>451</v>
      </c>
      <c r="B52" s="315"/>
      <c r="C52" s="130"/>
      <c r="D52" s="109"/>
      <c r="E52" s="109"/>
      <c r="F52" s="109"/>
      <c r="G52" s="109"/>
      <c r="H52" s="109"/>
      <c r="I52" s="109"/>
      <c r="J52" s="75"/>
      <c r="K52" s="75"/>
      <c r="L52" s="75"/>
      <c r="M52" s="76"/>
    </row>
    <row r="53" spans="1:13" ht="12.75" customHeight="1" x14ac:dyDescent="0.25">
      <c r="A53" s="819" t="s">
        <v>5</v>
      </c>
      <c r="B53" s="315"/>
      <c r="C53" s="130"/>
      <c r="D53" s="109"/>
      <c r="E53" s="109"/>
      <c r="F53" s="109"/>
      <c r="G53" s="109"/>
      <c r="H53" s="109"/>
      <c r="I53" s="109"/>
      <c r="J53" s="75">
        <f>SUM(E53:I53)</f>
        <v>0</v>
      </c>
      <c r="K53" s="75">
        <f>IF(D53=0,C53+J53,D53+J53)</f>
        <v>0</v>
      </c>
      <c r="L53" s="75">
        <f>IF(E53=0,D53+K53,E53+K53)</f>
        <v>0</v>
      </c>
      <c r="M53" s="76">
        <f>IF(F53=0,E53+L53,F53+L53)</f>
        <v>0</v>
      </c>
    </row>
    <row r="54" spans="1:13" ht="12.75" customHeight="1" x14ac:dyDescent="0.25">
      <c r="A54" s="820"/>
      <c r="B54" s="315"/>
      <c r="C54" s="130"/>
      <c r="D54" s="109"/>
      <c r="E54" s="109"/>
      <c r="F54" s="109"/>
      <c r="G54" s="109"/>
      <c r="H54" s="109"/>
      <c r="I54" s="109"/>
      <c r="J54" s="75"/>
      <c r="K54" s="75"/>
      <c r="L54" s="75"/>
      <c r="M54" s="76"/>
    </row>
    <row r="55" spans="1:13" ht="12.75" customHeight="1" x14ac:dyDescent="0.25">
      <c r="A55" s="818" t="s">
        <v>452</v>
      </c>
      <c r="B55" s="315"/>
      <c r="C55" s="130"/>
      <c r="D55" s="109"/>
      <c r="E55" s="109"/>
      <c r="F55" s="109"/>
      <c r="G55" s="109"/>
      <c r="H55" s="109"/>
      <c r="I55" s="109"/>
      <c r="J55" s="75">
        <f>SUM(E55:I55)</f>
        <v>0</v>
      </c>
      <c r="K55" s="75">
        <f>IF(D55=0,C55+J55,D55+J55)</f>
        <v>0</v>
      </c>
      <c r="L55" s="75">
        <f>IF(E55=0,D55+K55,E55+K55)</f>
        <v>0</v>
      </c>
      <c r="M55" s="76">
        <f>IF(F55=0,E55+L55,F55+L55)</f>
        <v>0</v>
      </c>
    </row>
    <row r="56" spans="1:13" ht="12.75" customHeight="1" x14ac:dyDescent="0.25">
      <c r="A56" s="819" t="s">
        <v>5</v>
      </c>
      <c r="B56" s="911"/>
      <c r="C56" s="130"/>
      <c r="D56" s="109"/>
      <c r="E56" s="109"/>
      <c r="F56" s="109"/>
      <c r="G56" s="109"/>
      <c r="H56" s="109"/>
      <c r="I56" s="109"/>
      <c r="J56" s="75"/>
      <c r="K56" s="75"/>
      <c r="L56" s="75"/>
      <c r="M56" s="76"/>
    </row>
    <row r="57" spans="1:13" ht="12.75" customHeight="1" x14ac:dyDescent="0.25">
      <c r="A57" s="820"/>
      <c r="B57" s="315"/>
      <c r="C57" s="130"/>
      <c r="D57" s="109"/>
      <c r="E57" s="109"/>
      <c r="F57" s="109"/>
      <c r="G57" s="109"/>
      <c r="H57" s="109"/>
      <c r="I57" s="109"/>
      <c r="J57" s="75"/>
      <c r="K57" s="75"/>
      <c r="L57" s="75"/>
      <c r="M57" s="76"/>
    </row>
    <row r="58" spans="1:13" ht="12.75" customHeight="1" x14ac:dyDescent="0.25">
      <c r="A58" s="817" t="s">
        <v>453</v>
      </c>
      <c r="B58" s="315"/>
      <c r="C58" s="130"/>
      <c r="D58" s="109"/>
      <c r="E58" s="109"/>
      <c r="F58" s="109"/>
      <c r="G58" s="109"/>
      <c r="H58" s="109"/>
      <c r="I58" s="109"/>
      <c r="J58" s="75">
        <f>SUM(E58:I58)</f>
        <v>0</v>
      </c>
      <c r="K58" s="75">
        <f>IF(D58=0,C58+J58,D58+J58)</f>
        <v>0</v>
      </c>
      <c r="L58" s="75">
        <f>IF(E58=0,D58+K58,E58+K58)</f>
        <v>0</v>
      </c>
      <c r="M58" s="76">
        <f>IF(F58=0,E58+L58,F58+L58)</f>
        <v>0</v>
      </c>
    </row>
    <row r="59" spans="1:13" ht="12.75" customHeight="1" x14ac:dyDescent="0.25">
      <c r="A59" s="818" t="s">
        <v>450</v>
      </c>
      <c r="B59" s="315"/>
      <c r="C59" s="130"/>
      <c r="D59" s="109"/>
      <c r="E59" s="109"/>
      <c r="F59" s="109"/>
      <c r="G59" s="109"/>
      <c r="H59" s="109"/>
      <c r="I59" s="109"/>
      <c r="J59" s="75"/>
      <c r="K59" s="75"/>
      <c r="L59" s="75"/>
      <c r="M59" s="76"/>
    </row>
    <row r="60" spans="1:13" ht="12.75" customHeight="1" x14ac:dyDescent="0.25">
      <c r="A60" s="819" t="s">
        <v>5</v>
      </c>
      <c r="B60" s="315"/>
      <c r="C60" s="130"/>
      <c r="D60" s="109"/>
      <c r="E60" s="109"/>
      <c r="F60" s="109"/>
      <c r="G60" s="109"/>
      <c r="H60" s="109"/>
      <c r="I60" s="109"/>
      <c r="J60" s="75">
        <f>SUM(E60:I60)</f>
        <v>0</v>
      </c>
      <c r="K60" s="75">
        <f>IF(D60=0,C60+J60,D60+J60)</f>
        <v>0</v>
      </c>
      <c r="L60" s="75">
        <f>IF(E60=0,D60+K60,E60+K60)</f>
        <v>0</v>
      </c>
      <c r="M60" s="76">
        <f>IF(F60=0,E60+L60,F60+L60)</f>
        <v>0</v>
      </c>
    </row>
    <row r="61" spans="1:13" ht="12.75" customHeight="1" x14ac:dyDescent="0.25">
      <c r="A61" s="820"/>
      <c r="B61" s="315"/>
      <c r="C61" s="130"/>
      <c r="D61" s="109"/>
      <c r="E61" s="109"/>
      <c r="F61" s="109"/>
      <c r="G61" s="109"/>
      <c r="H61" s="109"/>
      <c r="I61" s="109"/>
      <c r="J61" s="75"/>
      <c r="K61" s="75"/>
      <c r="L61" s="75"/>
      <c r="M61" s="76"/>
    </row>
    <row r="62" spans="1:13" ht="12.75" customHeight="1" x14ac:dyDescent="0.25">
      <c r="A62" s="818" t="s">
        <v>451</v>
      </c>
      <c r="B62" s="315"/>
      <c r="C62" s="130"/>
      <c r="D62" s="109"/>
      <c r="E62" s="109"/>
      <c r="F62" s="109"/>
      <c r="G62" s="109"/>
      <c r="H62" s="109"/>
      <c r="I62" s="109"/>
      <c r="J62" s="75">
        <f>SUM(E62:I62)</f>
        <v>0</v>
      </c>
      <c r="K62" s="75">
        <f>IF(D62=0,C62+J62,D62+J62)</f>
        <v>0</v>
      </c>
      <c r="L62" s="75">
        <f>IF(E62=0,D62+K62,E62+K62)</f>
        <v>0</v>
      </c>
      <c r="M62" s="76">
        <f>IF(F62=0,E62+L62,F62+L62)</f>
        <v>0</v>
      </c>
    </row>
    <row r="63" spans="1:13" ht="12.75" customHeight="1" x14ac:dyDescent="0.25">
      <c r="A63" s="819" t="s">
        <v>5</v>
      </c>
      <c r="B63" s="315"/>
      <c r="C63" s="130"/>
      <c r="D63" s="109"/>
      <c r="E63" s="109"/>
      <c r="F63" s="109"/>
      <c r="G63" s="109"/>
      <c r="H63" s="109"/>
      <c r="I63" s="109"/>
      <c r="J63" s="75"/>
      <c r="K63" s="75"/>
      <c r="L63" s="75"/>
      <c r="M63" s="76"/>
    </row>
    <row r="64" spans="1:13" ht="12.75" customHeight="1" x14ac:dyDescent="0.25">
      <c r="A64" s="820"/>
      <c r="B64" s="315"/>
      <c r="C64" s="130"/>
      <c r="D64" s="109"/>
      <c r="E64" s="109"/>
      <c r="F64" s="109"/>
      <c r="G64" s="109"/>
      <c r="H64" s="109"/>
      <c r="I64" s="109"/>
      <c r="J64" s="75">
        <f>SUM(E64:I64)</f>
        <v>0</v>
      </c>
      <c r="K64" s="75">
        <f>IF(D64=0,C64+J64,D64+J64)</f>
        <v>0</v>
      </c>
      <c r="L64" s="75">
        <f>IF(E64=0,D64+K64,E64+K64)</f>
        <v>0</v>
      </c>
      <c r="M64" s="76">
        <f>IF(F64=0,E64+L64,F64+L64)</f>
        <v>0</v>
      </c>
    </row>
    <row r="65" spans="1:13" ht="12.75" customHeight="1" x14ac:dyDescent="0.25">
      <c r="A65" s="818" t="s">
        <v>452</v>
      </c>
      <c r="B65" s="315"/>
      <c r="C65" s="130"/>
      <c r="D65" s="109"/>
      <c r="E65" s="109"/>
      <c r="F65" s="109"/>
      <c r="G65" s="109"/>
      <c r="H65" s="109"/>
      <c r="I65" s="109"/>
      <c r="J65" s="75"/>
      <c r="K65" s="75"/>
      <c r="L65" s="75"/>
      <c r="M65" s="76"/>
    </row>
    <row r="66" spans="1:13" ht="12.75" customHeight="1" x14ac:dyDescent="0.25">
      <c r="A66" s="819" t="s">
        <v>5</v>
      </c>
      <c r="B66" s="315"/>
      <c r="C66" s="130"/>
      <c r="D66" s="109"/>
      <c r="E66" s="109"/>
      <c r="F66" s="109"/>
      <c r="G66" s="109"/>
      <c r="H66" s="109"/>
      <c r="I66" s="109"/>
      <c r="J66" s="75">
        <f>SUM(E66:I66)</f>
        <v>0</v>
      </c>
      <c r="K66" s="75">
        <f>IF(D66=0,C66+J66,D66+J66)</f>
        <v>0</v>
      </c>
      <c r="L66" s="75">
        <f>IF(E66=0,D66+K66,E66+K66)</f>
        <v>0</v>
      </c>
      <c r="M66" s="76">
        <f>IF(F66=0,E66+L66,F66+L66)</f>
        <v>0</v>
      </c>
    </row>
    <row r="67" spans="1:13" ht="12.75" customHeight="1" x14ac:dyDescent="0.25">
      <c r="A67" s="819"/>
      <c r="B67" s="315"/>
      <c r="C67" s="130"/>
      <c r="D67" s="109"/>
      <c r="E67" s="109"/>
      <c r="F67" s="109"/>
      <c r="G67" s="109"/>
      <c r="H67" s="109"/>
      <c r="I67" s="109"/>
      <c r="J67" s="75"/>
      <c r="K67" s="75"/>
      <c r="L67" s="75"/>
      <c r="M67" s="76"/>
    </row>
    <row r="68" spans="1:13" ht="12.75" customHeight="1" x14ac:dyDescent="0.25">
      <c r="A68" s="822" t="s">
        <v>456</v>
      </c>
      <c r="B68" s="823"/>
      <c r="C68" s="316"/>
      <c r="D68" s="309"/>
      <c r="E68" s="309"/>
      <c r="F68" s="309"/>
      <c r="G68" s="309"/>
      <c r="H68" s="309"/>
      <c r="I68" s="309"/>
      <c r="J68" s="177">
        <f>SUM(E68:I68)</f>
        <v>0</v>
      </c>
      <c r="K68" s="177">
        <f>IF(D68=0,C68+J68,D68+J68)</f>
        <v>0</v>
      </c>
      <c r="L68" s="177">
        <f>IF(E68=0,D68+K68,E68+K68)</f>
        <v>0</v>
      </c>
      <c r="M68" s="178">
        <f>IF(F68=0,E68+L68,F68+L68)</f>
        <v>0</v>
      </c>
    </row>
    <row r="69" spans="1:13" ht="12.75" customHeight="1" x14ac:dyDescent="0.25">
      <c r="A69" s="158" t="str">
        <f>head27a</f>
        <v>References</v>
      </c>
      <c r="B69" s="98"/>
      <c r="C69" s="179"/>
      <c r="D69" s="179"/>
      <c r="E69" s="179"/>
      <c r="F69" s="179"/>
      <c r="G69" s="179"/>
      <c r="H69" s="179"/>
      <c r="I69" s="179"/>
      <c r="J69" s="179"/>
      <c r="K69" s="179"/>
      <c r="L69" s="179"/>
      <c r="M69" s="179"/>
    </row>
    <row r="70" spans="1:13" ht="12.75" customHeight="1" x14ac:dyDescent="0.25">
      <c r="A70" s="1402" t="s">
        <v>13</v>
      </c>
      <c r="B70" s="1402"/>
      <c r="C70" s="1402"/>
      <c r="D70" s="1402"/>
      <c r="E70" s="1402"/>
      <c r="F70" s="1402"/>
      <c r="G70" s="1402"/>
      <c r="H70" s="1402"/>
      <c r="I70" s="1402"/>
      <c r="J70" s="1402"/>
      <c r="K70" s="1402"/>
      <c r="L70" s="1402"/>
      <c r="M70" s="1402"/>
    </row>
    <row r="71" spans="1:13" ht="12.75" customHeight="1" x14ac:dyDescent="0.25">
      <c r="A71" s="99" t="s">
        <v>14</v>
      </c>
      <c r="B71" s="98"/>
      <c r="C71" s="317"/>
      <c r="D71" s="317"/>
      <c r="E71" s="317"/>
      <c r="F71" s="317"/>
      <c r="G71" s="317"/>
      <c r="H71" s="317"/>
      <c r="I71" s="317"/>
      <c r="J71" s="317"/>
      <c r="K71" s="317"/>
      <c r="L71" s="317"/>
      <c r="M71" s="317"/>
    </row>
    <row r="72" spans="1:13" ht="12.75" customHeight="1" x14ac:dyDescent="0.25">
      <c r="A72" s="99" t="s">
        <v>457</v>
      </c>
      <c r="B72" s="98"/>
      <c r="C72" s="317"/>
      <c r="D72" s="317"/>
      <c r="E72" s="317"/>
      <c r="F72" s="317"/>
      <c r="G72" s="317"/>
      <c r="H72" s="317"/>
      <c r="I72" s="317"/>
      <c r="J72" s="317"/>
      <c r="K72" s="317"/>
      <c r="L72" s="317"/>
      <c r="M72" s="317"/>
    </row>
    <row r="73" spans="1:13" ht="12.75" customHeight="1" x14ac:dyDescent="0.25">
      <c r="A73" s="99" t="s">
        <v>15</v>
      </c>
      <c r="B73" s="93"/>
      <c r="C73" s="96"/>
      <c r="D73" s="96"/>
      <c r="E73" s="96"/>
      <c r="F73" s="96"/>
      <c r="G73" s="96"/>
      <c r="H73" s="96"/>
      <c r="I73" s="96"/>
      <c r="J73" s="96"/>
      <c r="K73" s="96"/>
      <c r="L73" s="96"/>
      <c r="M73" s="96"/>
    </row>
    <row r="74" spans="1:13" ht="12.75" customHeight="1" x14ac:dyDescent="0.25">
      <c r="A74" s="1402" t="s">
        <v>16</v>
      </c>
      <c r="B74" s="1402"/>
      <c r="C74" s="1402"/>
      <c r="D74" s="1402"/>
      <c r="E74" s="1402"/>
      <c r="F74" s="1402"/>
      <c r="G74" s="1402"/>
      <c r="H74" s="1402"/>
      <c r="I74" s="1402"/>
      <c r="J74" s="1402"/>
      <c r="K74" s="1402"/>
      <c r="L74" s="1402"/>
      <c r="M74" s="1402"/>
    </row>
    <row r="75" spans="1:13" ht="12.75" customHeight="1" x14ac:dyDescent="0.25">
      <c r="A75" s="1441" t="s">
        <v>17</v>
      </c>
      <c r="B75" s="1402"/>
      <c r="C75" s="1402"/>
      <c r="D75" s="1402"/>
      <c r="E75" s="1402"/>
      <c r="F75" s="1402"/>
      <c r="G75" s="1402"/>
      <c r="H75" s="1402"/>
      <c r="I75" s="1402"/>
      <c r="J75" s="1402"/>
      <c r="K75" s="1402"/>
      <c r="L75" s="1402"/>
      <c r="M75" s="1402"/>
    </row>
  </sheetData>
  <sheetProtection sheet="1" objects="1" scenarios="1"/>
  <mergeCells count="6">
    <mergeCell ref="A75:M75"/>
    <mergeCell ref="A70:M70"/>
    <mergeCell ref="A2:A4"/>
    <mergeCell ref="B2:B4"/>
    <mergeCell ref="C2:K2"/>
    <mergeCell ref="A74:M74"/>
  </mergeCells>
  <phoneticPr fontId="4" type="noConversion"/>
  <printOptions horizontalCentered="1"/>
  <pageMargins left="0.35433070866141736" right="0.15748031496062992" top="0.59055118110236227" bottom="0.59055118110236227" header="0.51181102362204722" footer="0.39370078740157483"/>
  <pageSetup paperSize="9" scale="71" fitToHeight="2"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4">
    <tabColor indexed="42"/>
    <pageSetUpPr fitToPage="1"/>
  </sheetPr>
  <dimension ref="A1:L65"/>
  <sheetViews>
    <sheetView showGridLines="0" zoomScaleNormal="100" workbookViewId="0">
      <pane xSplit="1" ySplit="3" topLeftCell="B13" activePane="bottomRight" state="frozen"/>
      <selection activeCell="C6" sqref="C6"/>
      <selection pane="topRight" activeCell="C6" sqref="C6"/>
      <selection pane="bottomLeft" activeCell="C6" sqref="C6"/>
      <selection pane="bottomRight" activeCell="F27" sqref="F27"/>
    </sheetView>
  </sheetViews>
  <sheetFormatPr defaultColWidth="9.140625" defaultRowHeight="12.75" x14ac:dyDescent="0.25"/>
  <cols>
    <col min="1" max="1" width="30.140625" style="5" customWidth="1"/>
    <col min="2" max="2" width="24.7109375" style="5" customWidth="1"/>
    <col min="3" max="10" width="8.7109375" style="5" customWidth="1"/>
    <col min="11" max="16384" width="9.140625" style="5"/>
  </cols>
  <sheetData>
    <row r="1" spans="1:10" ht="13.5" x14ac:dyDescent="0.25">
      <c r="A1" s="57" t="str">
        <f>muni&amp;" - "&amp;ADJB4&amp;" - "&amp;Date</f>
        <v>LIM354 Polokwane - Supporting Table SB4 Adjustments to budgeted performance indicators and benchmarks - 2020</v>
      </c>
      <c r="C1" s="58"/>
    </row>
    <row r="2" spans="1:10" ht="38.25" x14ac:dyDescent="0.25">
      <c r="A2" s="1409" t="str">
        <f>desc&amp;" of financial indicator"</f>
        <v>Description of financial indicator</v>
      </c>
      <c r="B2" s="1406" t="s">
        <v>18</v>
      </c>
      <c r="C2" s="318" t="str">
        <f>Head1B</f>
        <v>2017/18</v>
      </c>
      <c r="D2" s="319" t="str">
        <f>Head1A</f>
        <v>2018/19</v>
      </c>
      <c r="E2" s="319" t="str">
        <f>Head1</f>
        <v>2019/20</v>
      </c>
      <c r="F2" s="1438" t="str">
        <f>Head2</f>
        <v>Budget Year 2020/21</v>
      </c>
      <c r="G2" s="1404"/>
      <c r="H2" s="1405"/>
      <c r="I2" s="169" t="str">
        <f>Head10</f>
        <v>Budget Year +1 2021/22</v>
      </c>
      <c r="J2" s="170" t="str">
        <f>Head11</f>
        <v>Budget Year +2 2022/23</v>
      </c>
    </row>
    <row r="3" spans="1:10" ht="25.5" x14ac:dyDescent="0.25">
      <c r="A3" s="1442"/>
      <c r="B3" s="1415"/>
      <c r="C3" s="320" t="str">
        <f>Head5</f>
        <v>Audited Outcome</v>
      </c>
      <c r="D3" s="320" t="str">
        <f>Head5</f>
        <v>Audited Outcome</v>
      </c>
      <c r="E3" s="320" t="str">
        <f>Head5</f>
        <v>Audited Outcome</v>
      </c>
      <c r="F3" s="320" t="str">
        <f>Head6</f>
        <v>Original Budget</v>
      </c>
      <c r="G3" s="320" t="str">
        <f>Head54</f>
        <v>Prior Adjusted</v>
      </c>
      <c r="H3" s="320" t="str">
        <f>Head7</f>
        <v>Adjusted Budget</v>
      </c>
      <c r="I3" s="321" t="str">
        <f>Head7</f>
        <v>Adjusted Budget</v>
      </c>
      <c r="J3" s="322" t="str">
        <f>Head7</f>
        <v>Adjusted Budget</v>
      </c>
    </row>
    <row r="4" spans="1:10" x14ac:dyDescent="0.25">
      <c r="A4" s="323" t="s">
        <v>19</v>
      </c>
      <c r="B4" s="324"/>
      <c r="C4" s="242"/>
      <c r="D4" s="1036"/>
      <c r="E4" s="1036"/>
      <c r="F4" s="243"/>
      <c r="G4" s="243"/>
      <c r="H4" s="243"/>
      <c r="I4" s="325"/>
      <c r="J4" s="245"/>
    </row>
    <row r="5" spans="1:10" ht="3" customHeight="1" x14ac:dyDescent="0.25">
      <c r="A5" s="326"/>
      <c r="B5" s="324"/>
      <c r="C5" s="128"/>
      <c r="D5" s="1035"/>
      <c r="E5" s="1035"/>
      <c r="F5" s="328"/>
      <c r="G5" s="328"/>
      <c r="H5" s="328"/>
      <c r="I5" s="329"/>
      <c r="J5" s="330"/>
    </row>
    <row r="6" spans="1:10" x14ac:dyDescent="0.25">
      <c r="A6" s="326" t="s">
        <v>20</v>
      </c>
      <c r="B6" s="324" t="s">
        <v>21</v>
      </c>
      <c r="C6" s="331">
        <v>0</v>
      </c>
      <c r="D6" s="327">
        <v>0</v>
      </c>
      <c r="E6" s="327">
        <v>-1.553292020058753E-3</v>
      </c>
      <c r="F6" s="327">
        <v>0</v>
      </c>
      <c r="G6" s="327">
        <v>0</v>
      </c>
      <c r="H6" s="327">
        <v>0</v>
      </c>
      <c r="I6" s="332"/>
      <c r="J6" s="333"/>
    </row>
    <row r="7" spans="1:10" ht="24" customHeight="1" x14ac:dyDescent="0.25">
      <c r="A7" s="326" t="s">
        <v>22</v>
      </c>
      <c r="B7" s="324" t="s">
        <v>23</v>
      </c>
      <c r="C7" s="331">
        <v>3.1925735167269619E-2</v>
      </c>
      <c r="D7" s="327">
        <v>3.4640846469149354E-2</v>
      </c>
      <c r="E7" s="327">
        <v>4.0880242709011166E-2</v>
      </c>
      <c r="F7" s="328">
        <f>IF(ISERROR(('B4-FinPerf RE'!C30-'B7-CFlow'!C37)/'B4-FinPerf RE'!C37),0,(('B4-FinPerf RE'!C30-'B7-CFlow'!C37)/'B4-FinPerf RE'!C37))</f>
        <v>4.4080422790872292E-2</v>
      </c>
      <c r="G7" s="328">
        <f>IF(ISERROR(('B4-FinPerf RE'!D30-'B7-CFlow'!D37)/'B4-FinPerf RE'!D37),0,(('B4-FinPerf RE'!D30-'B7-CFlow'!D37)/'B4-FinPerf RE'!D37))</f>
        <v>4.3788851532617919E-2</v>
      </c>
      <c r="H7" s="328">
        <f>IF(ISERROR(('B4-FinPerf RE'!K30-'B7-CFlow'!K37)/'B4-FinPerf RE'!K37),0,(('B4-FinPerf RE'!K30-'B7-CFlow'!K37)/'B4-FinPerf RE'!K37))</f>
        <v>3.7608887289959245E-2</v>
      </c>
      <c r="I7" s="329">
        <f>IF(ISERROR(('B4-FinPerf RE'!L30-'B7-CFlow'!L37)/'B4-FinPerf RE'!L37),0,(('B4-FinPerf RE'!L30-'B7-CFlow'!L37)/'B4-FinPerf RE'!L37))</f>
        <v>4.5993707069678744E-2</v>
      </c>
      <c r="J7" s="330">
        <f>IF(ISERROR(('B4-FinPerf RE'!M30-'B7-CFlow'!M37)/'B4-FinPerf RE'!M37),0,(('B4-FinPerf RE'!M30-'B7-CFlow'!M37)/'B4-FinPerf RE'!M37))</f>
        <v>6.7168976603286648E-2</v>
      </c>
    </row>
    <row r="8" spans="1:10" ht="24" customHeight="1" x14ac:dyDescent="0.25">
      <c r="A8" s="326" t="s">
        <v>1438</v>
      </c>
      <c r="B8" s="1084" t="s">
        <v>1439</v>
      </c>
      <c r="C8" s="331">
        <v>5.8919433550332821E-2</v>
      </c>
      <c r="D8" s="327">
        <v>6.7084713044747946E-2</v>
      </c>
      <c r="E8" s="327">
        <v>5.2648706420390788E-2</v>
      </c>
      <c r="F8" s="328">
        <f>IF(ISERROR(('B4-FinPerf RE'!C31-'B7-CFlow'!C38)/'B4-FinPerf RE'!C38),0,(('B4-FinPerf RE'!C31-'B7-CFlow'!C38)/'B4-FinPerf RE'!C38))</f>
        <v>0</v>
      </c>
      <c r="G8" s="328">
        <f>IF(ISERROR(('B4-FinPerf RE'!D31-'B7-CFlow'!D38)/'B4-FinPerf RE'!D38),0,(('B4-FinPerf RE'!D31-'B7-CFlow'!D38)/'B4-FinPerf RE'!D38))</f>
        <v>0</v>
      </c>
      <c r="H8" s="328">
        <f>IF(ISERROR(('B4-FinPerf RE'!K31-'B7-CFlow'!K38)/'B4-FinPerf RE'!K38),0,(('B4-FinPerf RE'!K31-'B7-CFlow'!K38)/'B4-FinPerf RE'!K38))</f>
        <v>0</v>
      </c>
      <c r="I8" s="329">
        <f>IF(ISERROR(('B4-FinPerf RE'!L31-'B7-CFlow'!L38)/'B4-FinPerf RE'!L38),0,(('B4-FinPerf RE'!L31-'B7-CFlow'!L38)/'B4-FinPerf RE'!L38))</f>
        <v>0</v>
      </c>
      <c r="J8" s="330">
        <f>IF(ISERROR(('B4-FinPerf RE'!M31-'B7-CFlow'!M38)/'B4-FinPerf RE'!M38),0,(('B4-FinPerf RE'!M31-'B7-CFlow'!M38)/'B4-FinPerf RE'!M38))</f>
        <v>0</v>
      </c>
    </row>
    <row r="9" spans="1:10" ht="24" customHeight="1" x14ac:dyDescent="0.25">
      <c r="A9" s="326" t="s">
        <v>1114</v>
      </c>
      <c r="B9" s="324" t="s">
        <v>1115</v>
      </c>
      <c r="C9" s="331">
        <v>0.46471770469133972</v>
      </c>
      <c r="D9" s="327">
        <v>0</v>
      </c>
      <c r="E9" s="327">
        <v>0.49338047939047852</v>
      </c>
      <c r="F9" s="328">
        <f>IF(ISERROR('B5-Capex'!C74/('B5-Capex'!C65-'B5-Capex'!C72)),0,('B5-Capex'!C74/('B5-Capex'!C65-'B5-Capex'!C72)))</f>
        <v>0.72074543506011179</v>
      </c>
      <c r="G9" s="328">
        <f>IF(ISERROR('B5-Capex'!D74/('B5-Capex'!D65-'B5-Capex'!D72)),0,('B5-Capex'!D74/('B5-Capex'!D65-'B5-Capex'!D72)))</f>
        <v>0.51468003844118104</v>
      </c>
      <c r="H9" s="328">
        <f>IF(ISERROR('B5-Capex'!K74/('B5-Capex'!K65-'B5-Capex'!L72)),0,('B5-Capex'!K74/('B5-Capex'!K65-'B5-Capex'!L72)))</f>
        <v>0</v>
      </c>
      <c r="I9" s="329">
        <f>IF(ISERROR('B5-Capex'!L74/('B5-Capex'!L65-'B5-Capex'!M72)),0,('B5-Capex'!L74/('B5-Capex'!L65-'B5-Capex'!M72)))</f>
        <v>0</v>
      </c>
      <c r="J9" s="330">
        <f>IF(ISERROR('B5-Capex'!M74/('B5-Capex'!M65-'B5-Capex'!N72)),0,('B5-Capex'!M74/('B5-Capex'!M65-'B5-Capex'!N72)))</f>
        <v>0</v>
      </c>
    </row>
    <row r="10" spans="1:10" x14ac:dyDescent="0.25">
      <c r="A10" s="323" t="s">
        <v>25</v>
      </c>
      <c r="B10" s="324"/>
      <c r="C10" s="331"/>
      <c r="D10" s="327"/>
      <c r="E10" s="327"/>
      <c r="F10" s="328"/>
      <c r="G10" s="328"/>
      <c r="H10" s="328"/>
      <c r="I10" s="329"/>
      <c r="J10" s="330"/>
    </row>
    <row r="11" spans="1:10" ht="24.75" customHeight="1" x14ac:dyDescent="0.25">
      <c r="A11" s="326" t="s">
        <v>26</v>
      </c>
      <c r="B11" s="324" t="s">
        <v>27</v>
      </c>
      <c r="C11" s="331">
        <v>6.8909878265233551E-2</v>
      </c>
      <c r="D11" s="327">
        <v>6.6596631909858928E-2</v>
      </c>
      <c r="E11" s="327">
        <v>0.10441842939533037</v>
      </c>
      <c r="F11" s="328">
        <f>IF(ISERROR('B6-FinPos'!C39/'B6-FinPos'!C48),0,('B6-FinPos'!C39/'B6-FinPos'!C48))</f>
        <v>9.498957317904122E-2</v>
      </c>
      <c r="G11" s="328">
        <f>IF(ISERROR('B6-FinPos'!D39/'B6-FinPos'!D48),0,('B6-FinPos'!D39/'B6-FinPos'!D48))</f>
        <v>9.498957317904122E-2</v>
      </c>
      <c r="H11" s="328">
        <f>IF(ISERROR('B6-FinPos'!K39/'B6-FinPos'!K48),0,('B6-FinPos'!K39/'B6-FinPos'!K48))</f>
        <v>6.3673558370453909E-2</v>
      </c>
      <c r="I11" s="329">
        <f>IF(ISERROR('B6-FinPos'!L39/'B6-FinPos'!L48),0,('B6-FinPos'!L39/'B6-FinPos'!L48))</f>
        <v>9.9640958423657874E-2</v>
      </c>
      <c r="J11" s="330">
        <f>IF(ISERROR('B6-FinPos'!M39/'B6-FinPos'!M48),0,('B6-FinPos'!M39/'B6-FinPos'!M48))</f>
        <v>9.502972172275348E-2</v>
      </c>
    </row>
    <row r="12" spans="1:10" x14ac:dyDescent="0.25">
      <c r="A12" s="323" t="s">
        <v>28</v>
      </c>
      <c r="B12" s="324"/>
      <c r="C12" s="331"/>
      <c r="D12" s="327"/>
      <c r="E12" s="327"/>
      <c r="F12" s="328"/>
      <c r="G12" s="328"/>
      <c r="H12" s="328"/>
      <c r="I12" s="329"/>
      <c r="J12" s="330"/>
    </row>
    <row r="13" spans="1:10" x14ac:dyDescent="0.25">
      <c r="A13" s="326" t="s">
        <v>29</v>
      </c>
      <c r="B13" s="324" t="s">
        <v>30</v>
      </c>
      <c r="C13" s="331">
        <v>1.1879978384481775</v>
      </c>
      <c r="D13" s="327">
        <v>0.84353321185438257</v>
      </c>
      <c r="E13" s="327">
        <v>1.517394640183062</v>
      </c>
      <c r="F13" s="328">
        <f>IF(ISERROR('B6-FinPos'!C14/'B6-FinPos'!C36),0,('B6-FinPos'!C14/'B6-FinPos'!C36))</f>
        <v>1.2477965886024951</v>
      </c>
      <c r="G13" s="328">
        <f>IF(ISERROR('B6-FinPos'!D14/'B6-FinPos'!D36),0,('B6-FinPos'!D14/'B6-FinPos'!D36))</f>
        <v>1.3777633241488603</v>
      </c>
      <c r="H13" s="328">
        <f>IF(ISERROR('B6-FinPos'!K14/'B6-FinPos'!K36),0,('B6-FinPos'!K14/'B6-FinPos'!K36))</f>
        <v>1.0656627382785238</v>
      </c>
      <c r="I13" s="329">
        <f>IF(ISERROR('B6-FinPos'!L14/'B6-FinPos'!L36),0,('B6-FinPos'!L14/'B6-FinPos'!L36))</f>
        <v>1.6056498960248289</v>
      </c>
      <c r="J13" s="330">
        <f>IF(ISERROR('B6-FinPos'!M14/'B6-FinPos'!M36),0,('B6-FinPos'!M14/'B6-FinPos'!M36))</f>
        <v>1.8506761957960121</v>
      </c>
    </row>
    <row r="14" spans="1:10" ht="25.5" x14ac:dyDescent="0.25">
      <c r="A14" s="326" t="s">
        <v>31</v>
      </c>
      <c r="B14" s="324" t="s">
        <v>1116</v>
      </c>
      <c r="C14" s="331">
        <v>1.1879978384481775</v>
      </c>
      <c r="D14" s="327">
        <v>0.84353321185438257</v>
      </c>
      <c r="E14" s="327">
        <v>1.517394640183062</v>
      </c>
      <c r="F14" s="328">
        <f>IF(ISERROR(('B6-FinPos'!C14-'SB4'!F44)/'B6-FinPos'!C36),0,(('B6-FinPos'!C14-'SB4'!F44)/'B6-FinPos'!C36))</f>
        <v>1.2477965886024951</v>
      </c>
      <c r="G14" s="328">
        <f>IF(ISERROR(('B6-FinPos'!D14-'SB4'!G44)/'B6-FinPos'!D36),0,(('B6-FinPos'!D14-'SB4'!G44)/'B6-FinPos'!D36))</f>
        <v>1.3777633241488603</v>
      </c>
      <c r="H14" s="328">
        <f>IF(ISERROR(('B6-FinPos'!E14-'SB4'!H44)/'B6-FinPos'!E36),0,(('B6-FinPos'!E14-'SB4'!H44)/'B6-FinPos'!E36))</f>
        <v>0</v>
      </c>
      <c r="I14" s="328">
        <f>IF(ISERROR(('B6-FinPos'!F14-'SB4'!I44)/'B6-FinPos'!F36),0,(('B6-FinPos'!F14-'SB4'!I44)/'B6-FinPos'!F36))</f>
        <v>0</v>
      </c>
      <c r="J14" s="328">
        <f>IF(ISERROR(('B6-FinPos'!G14-'SB4'!J44)/'B6-FinPos'!G36),0,(('B6-FinPos'!G14-'SB4'!J44)/'B6-FinPos'!G36))</f>
        <v>0</v>
      </c>
    </row>
    <row r="15" spans="1:10" x14ac:dyDescent="0.25">
      <c r="A15" s="326" t="s">
        <v>32</v>
      </c>
      <c r="B15" s="324" t="s">
        <v>33</v>
      </c>
      <c r="C15" s="331">
        <v>0.13053082998466312</v>
      </c>
      <c r="D15" s="327">
        <v>0.16528594530631574</v>
      </c>
      <c r="E15" s="327">
        <v>0.46317904864575282</v>
      </c>
      <c r="F15" s="880">
        <f>IF(ISERROR(('B6-FinPos'!C8+'B6-FinPos'!C9)/'B6-FinPos'!C36),0,(('B6-FinPos'!C8+'B6-FinPos'!C9)/'B6-FinPos'!C36))</f>
        <v>0.29123333311914434</v>
      </c>
      <c r="G15" s="880">
        <f>IF(ISERROR(('B6-FinPos'!D8+'B6-FinPos'!D9)/'B6-FinPos'!D36),0,(('B6-FinPos'!D8+'B6-FinPos'!D9)/'B6-FinPos'!D36))</f>
        <v>0.42120006866550952</v>
      </c>
      <c r="H15" s="880">
        <f>IF(ISERROR(('B6-FinPos'!K8+'B6-FinPos'!K9)/'B6-FinPos'!K36),0,(('B6-FinPos'!K8+'B6-FinPos'!K9)/'B6-FinPos'!K36))</f>
        <v>0.10909948279517317</v>
      </c>
      <c r="I15" s="881">
        <f>IF(ISERROR(('B6-FinPos'!L8+'B6-FinPos'!L9)/'B6-FinPos'!L36),0,(('B6-FinPos'!L8+'B6-FinPos'!L9)/'B6-FinPos'!L36))</f>
        <v>0.57717230452642332</v>
      </c>
      <c r="J15" s="882">
        <f>IF(ISERROR(('B6-FinPos'!M8+'B6-FinPos'!M9)/'B6-FinPos'!M36),0,(('B6-FinPos'!M8+'B6-FinPos'!M9)/'B6-FinPos'!M36))</f>
        <v>0.92114331753909162</v>
      </c>
    </row>
    <row r="16" spans="1:10" x14ac:dyDescent="0.25">
      <c r="A16" s="323" t="s">
        <v>34</v>
      </c>
      <c r="B16" s="324"/>
      <c r="C16" s="331"/>
      <c r="D16" s="327"/>
      <c r="E16" s="327"/>
      <c r="F16" s="328"/>
      <c r="G16" s="328"/>
      <c r="H16" s="328"/>
      <c r="I16" s="329"/>
      <c r="J16" s="330"/>
    </row>
    <row r="17" spans="1:10" ht="24.75" customHeight="1" x14ac:dyDescent="0.25">
      <c r="A17" s="326" t="s">
        <v>35</v>
      </c>
      <c r="B17" s="324" t="s">
        <v>36</v>
      </c>
      <c r="C17" s="331">
        <v>1.0109509691881748</v>
      </c>
      <c r="D17" s="327">
        <v>0.82523140718681376</v>
      </c>
      <c r="E17" s="327">
        <v>0.9088536407828125</v>
      </c>
      <c r="F17" s="327">
        <v>0.95</v>
      </c>
      <c r="G17" s="327">
        <v>0.95</v>
      </c>
      <c r="H17" s="327">
        <v>0.95</v>
      </c>
      <c r="I17" s="334">
        <v>1</v>
      </c>
      <c r="J17" s="335">
        <v>1</v>
      </c>
    </row>
    <row r="18" spans="1:10" ht="24.75" customHeight="1" x14ac:dyDescent="0.25">
      <c r="A18" s="326" t="s">
        <v>1440</v>
      </c>
      <c r="B18" s="324"/>
      <c r="C18" s="331">
        <v>0.82438208108556332</v>
      </c>
      <c r="D18" s="327">
        <v>0.9088536407828125</v>
      </c>
      <c r="E18" s="327">
        <v>0.90358880462817071</v>
      </c>
      <c r="F18" s="327">
        <v>0.88</v>
      </c>
      <c r="G18" s="327">
        <v>0.88</v>
      </c>
      <c r="H18" s="327">
        <v>0.88</v>
      </c>
      <c r="I18" s="334">
        <v>0.88</v>
      </c>
      <c r="J18" s="335">
        <v>0.88</v>
      </c>
    </row>
    <row r="19" spans="1:10" ht="24.75" customHeight="1" x14ac:dyDescent="0.25">
      <c r="A19" s="326" t="s">
        <v>37</v>
      </c>
      <c r="B19" s="324" t="s">
        <v>38</v>
      </c>
      <c r="C19" s="331">
        <v>0.25868711748241097</v>
      </c>
      <c r="D19" s="327">
        <v>0.24275706206303604</v>
      </c>
      <c r="E19" s="327">
        <v>0.15281814216178566</v>
      </c>
      <c r="F19" s="328">
        <f>IF(ISERROR((SUM('B6-FinPos'!C10:C12)+'B6-FinPos'!C17)/'B4-FinPerf RE'!C23),0,((SUM('B6-FinPos'!C10:C12)+'B6-FinPos'!C17)/'B4-FinPerf RE'!C23))</f>
        <v>0.14369896345127933</v>
      </c>
      <c r="G19" s="328">
        <f>IF(ISERROR((SUM('B6-FinPos'!D10:D12)+'B6-FinPos'!D17)/'B4-FinPerf RE'!D23),0,((SUM('B6-FinPos'!D10:D12)+'B6-FinPos'!D17)/'B4-FinPerf RE'!D23))</f>
        <v>0.13807725481857408</v>
      </c>
      <c r="H19" s="328">
        <f>IF(ISERROR((SUM('B6-FinPos'!K10:K12)+'B6-FinPos'!K17)/'B4-FinPerf RE'!K23),0,((SUM('B6-FinPos'!K10:K12)+'B6-FinPos'!K17)/'B4-FinPerf RE'!K23))</f>
        <v>0.13834202913070892</v>
      </c>
      <c r="I19" s="329">
        <f>IF(ISERROR((SUM('B6-FinPos'!L10:L12)+'B6-FinPos'!L17)/'B4-FinPerf RE'!L23),0,((SUM('B6-FinPos'!L10:L12)+'B6-FinPos'!L17)/'B4-FinPerf RE'!L23))</f>
        <v>0.14096351434991103</v>
      </c>
      <c r="J19" s="330">
        <f>IF(ISERROR((SUM('B6-FinPos'!M10:M12)+'B6-FinPos'!M17)/'B4-FinPerf RE'!M23),0,((SUM('B6-FinPos'!M10:M12)+'B6-FinPos'!M17)/'B4-FinPerf RE'!M23))</f>
        <v>0.11920233870990629</v>
      </c>
    </row>
    <row r="20" spans="1:10" ht="25.5" x14ac:dyDescent="0.25">
      <c r="A20" s="326" t="s">
        <v>39</v>
      </c>
      <c r="B20" s="324" t="s">
        <v>40</v>
      </c>
      <c r="C20" s="331">
        <v>0</v>
      </c>
      <c r="D20" s="327">
        <v>0</v>
      </c>
      <c r="E20" s="327">
        <v>0</v>
      </c>
      <c r="F20" s="328">
        <f>IF(ISERROR(F45/'B6-FinPos'!C17),0,(F45/'B6-FinPos'!C17))</f>
        <v>0</v>
      </c>
      <c r="G20" s="328">
        <f>IF(ISERROR(G45/'B6-FinPos'!D17),0,(G45/'B6-FinPos'!D17))</f>
        <v>0</v>
      </c>
      <c r="H20" s="328">
        <f>IF(ISERROR(H45/'B6-FinPos'!K17),0,(H45/'B6-FinPos'!K17))</f>
        <v>0</v>
      </c>
      <c r="I20" s="329">
        <f>IF(ISERROR(I45/'B6-FinPos'!L17),0,(I45/'B6-FinPos'!L17))</f>
        <v>0</v>
      </c>
      <c r="J20" s="330">
        <f>IF(ISERROR(J45/'B6-FinPos'!M17),0,(J45/'B6-FinPos'!M17))</f>
        <v>0</v>
      </c>
    </row>
    <row r="21" spans="1:10" x14ac:dyDescent="0.25">
      <c r="A21" s="323" t="s">
        <v>41</v>
      </c>
      <c r="B21" s="324"/>
      <c r="C21" s="331">
        <v>0</v>
      </c>
      <c r="D21" s="327">
        <v>0</v>
      </c>
      <c r="E21" s="327">
        <v>0</v>
      </c>
      <c r="F21" s="328"/>
      <c r="G21" s="328"/>
      <c r="H21" s="328"/>
      <c r="I21" s="329"/>
      <c r="J21" s="330"/>
    </row>
    <row r="22" spans="1:10" ht="25.5" x14ac:dyDescent="0.25">
      <c r="A22" s="326" t="s">
        <v>42</v>
      </c>
      <c r="B22" s="324" t="s">
        <v>43</v>
      </c>
      <c r="C22" s="331">
        <v>0</v>
      </c>
      <c r="D22" s="327">
        <v>0</v>
      </c>
      <c r="E22" s="327">
        <v>0.8</v>
      </c>
      <c r="F22" s="327">
        <v>0.95</v>
      </c>
      <c r="G22" s="327">
        <v>0.95</v>
      </c>
      <c r="H22" s="327">
        <v>0.95</v>
      </c>
      <c r="I22" s="334">
        <v>0.95</v>
      </c>
      <c r="J22" s="335">
        <v>0.95</v>
      </c>
    </row>
    <row r="23" spans="1:10" x14ac:dyDescent="0.25">
      <c r="A23" s="326" t="s">
        <v>1441</v>
      </c>
      <c r="B23" s="324"/>
      <c r="C23" s="331">
        <v>0</v>
      </c>
      <c r="D23" s="327">
        <v>0</v>
      </c>
      <c r="E23" s="327">
        <v>0</v>
      </c>
      <c r="F23" s="328">
        <f>IF(ISERROR('SB2'!C36/'B7-CFlow'!C42), 0, ('SB2'!C36/'B7-CFlow'!C42))</f>
        <v>2.7484029937715118</v>
      </c>
      <c r="G23" s="328">
        <f>IF(ISERROR('SB2'!D36/'B7-CFlow'!D42), 0, ('SB2'!D36/'B7-CFlow'!D42))</f>
        <v>1.900347659407341</v>
      </c>
      <c r="H23" s="328">
        <f>IF(ISERROR('SB2'!K36/'B7-CFlow'!K42), 0, ('SB2'!K36/'B7-CFlow'!K42))</f>
        <v>7.3366664736783216</v>
      </c>
      <c r="I23" s="328">
        <f>IF(ISERROR('SB2'!L36/'B7-CFlow'!L42), 0, ('SB2'!L36/'B7-CFlow'!L42))</f>
        <v>2.0532333289628926</v>
      </c>
      <c r="J23" s="330">
        <f>IF(ISERROR('SB2'!M36/'B7-CFlow'!M42), 0, ('SB2'!M36/'B7-CFlow'!M42))</f>
        <v>0.99129480291950378</v>
      </c>
    </row>
    <row r="24" spans="1:10" ht="5.25" customHeight="1" x14ac:dyDescent="0.25">
      <c r="A24" s="326"/>
      <c r="B24" s="324"/>
      <c r="C24" s="331"/>
      <c r="D24" s="327"/>
      <c r="E24" s="327"/>
      <c r="F24" s="327"/>
      <c r="G24" s="327"/>
      <c r="H24" s="327"/>
      <c r="I24" s="334"/>
      <c r="J24" s="335"/>
    </row>
    <row r="25" spans="1:10" x14ac:dyDescent="0.25">
      <c r="A25" s="323" t="s">
        <v>44</v>
      </c>
      <c r="B25" s="324"/>
      <c r="C25" s="331"/>
      <c r="D25" s="327"/>
      <c r="E25" s="327"/>
      <c r="F25" s="328"/>
      <c r="G25" s="328"/>
      <c r="H25" s="328"/>
      <c r="I25" s="329"/>
      <c r="J25" s="330"/>
    </row>
    <row r="26" spans="1:10" ht="18.75" customHeight="1" x14ac:dyDescent="0.25">
      <c r="A26" s="1443" t="s">
        <v>45</v>
      </c>
      <c r="B26" s="683" t="s">
        <v>1420</v>
      </c>
      <c r="C26" s="734">
        <v>119669669</v>
      </c>
      <c r="D26" s="734">
        <v>62294114</v>
      </c>
      <c r="E26" s="734">
        <v>103514580</v>
      </c>
      <c r="F26" s="734">
        <v>80923177</v>
      </c>
      <c r="G26" s="734">
        <v>80923177</v>
      </c>
      <c r="H26" s="734">
        <v>80923177</v>
      </c>
      <c r="I26" s="734">
        <v>72830859</v>
      </c>
      <c r="J26" s="734">
        <v>69189316.049999997</v>
      </c>
    </row>
    <row r="27" spans="1:10" ht="18.75" customHeight="1" x14ac:dyDescent="0.25">
      <c r="A27" s="1443"/>
      <c r="B27" s="683" t="s">
        <v>1421</v>
      </c>
      <c r="C27" s="735">
        <v>99905157</v>
      </c>
      <c r="D27" s="734">
        <v>55249012</v>
      </c>
      <c r="E27" s="734">
        <v>107822221</v>
      </c>
      <c r="F27" s="734">
        <v>12.96</v>
      </c>
      <c r="G27" s="734">
        <v>12.96</v>
      </c>
      <c r="H27" s="734">
        <v>12.96</v>
      </c>
      <c r="I27" s="734">
        <v>11.66</v>
      </c>
      <c r="J27" s="1051">
        <v>11.077</v>
      </c>
    </row>
    <row r="28" spans="1:10" ht="39.75" customHeight="1" x14ac:dyDescent="0.25">
      <c r="A28" s="1070"/>
      <c r="B28" s="1085" t="s">
        <v>1442</v>
      </c>
      <c r="C28" s="331">
        <v>0.16</v>
      </c>
      <c r="D28" s="327">
        <v>0.09</v>
      </c>
      <c r="E28" s="327">
        <v>0.15</v>
      </c>
      <c r="F28" s="327">
        <v>0.08</v>
      </c>
      <c r="G28" s="327">
        <v>0.08</v>
      </c>
      <c r="H28" s="327">
        <v>0.08</v>
      </c>
      <c r="I28" s="334">
        <v>0.08</v>
      </c>
      <c r="J28" s="335">
        <v>0.08</v>
      </c>
    </row>
    <row r="29" spans="1:10" ht="18.75" customHeight="1" x14ac:dyDescent="0.25">
      <c r="A29" s="1443" t="s">
        <v>46</v>
      </c>
      <c r="B29" s="683" t="s">
        <v>1422</v>
      </c>
      <c r="C29" s="734">
        <v>5248544</v>
      </c>
      <c r="D29" s="734">
        <v>6776956</v>
      </c>
      <c r="E29" s="734">
        <v>6994771</v>
      </c>
      <c r="F29" s="734">
        <v>20919339</v>
      </c>
      <c r="G29" s="734">
        <v>20919339</v>
      </c>
      <c r="H29" s="734">
        <v>20919339</v>
      </c>
      <c r="I29" s="734">
        <v>18827405</v>
      </c>
      <c r="J29" s="734">
        <v>17886034.75</v>
      </c>
    </row>
    <row r="30" spans="1:10" ht="18.75" customHeight="1" x14ac:dyDescent="0.25">
      <c r="A30" s="1443"/>
      <c r="B30" s="683" t="s">
        <v>1421</v>
      </c>
      <c r="C30" s="735">
        <v>28826344</v>
      </c>
      <c r="D30" s="734">
        <v>34862765</v>
      </c>
      <c r="E30" s="734">
        <v>36722548</v>
      </c>
      <c r="F30" s="734">
        <v>30152805.448500004</v>
      </c>
      <c r="G30" s="734">
        <v>30152805.448500004</v>
      </c>
      <c r="H30" s="734">
        <v>30152805.448500004</v>
      </c>
      <c r="I30" s="734">
        <v>28042109.067105006</v>
      </c>
      <c r="J30" s="1051">
        <v>26079161.432407659</v>
      </c>
    </row>
    <row r="31" spans="1:10" ht="40.5" customHeight="1" x14ac:dyDescent="0.25">
      <c r="A31" s="1086"/>
      <c r="B31" s="1085" t="s">
        <v>1442</v>
      </c>
      <c r="C31" s="331">
        <v>0.14000000000000001</v>
      </c>
      <c r="D31" s="327">
        <v>0.18</v>
      </c>
      <c r="E31" s="327">
        <v>0.22</v>
      </c>
      <c r="F31" s="327">
        <v>0.16</v>
      </c>
      <c r="G31" s="327">
        <v>0.16</v>
      </c>
      <c r="H31" s="327">
        <v>0.16</v>
      </c>
      <c r="I31" s="334">
        <v>0.15</v>
      </c>
      <c r="J31" s="335">
        <v>0.14000000000000001</v>
      </c>
    </row>
    <row r="32" spans="1:10" ht="25.5" x14ac:dyDescent="0.25">
      <c r="A32" s="326" t="s">
        <v>562</v>
      </c>
      <c r="B32" s="324" t="s">
        <v>47</v>
      </c>
      <c r="C32" s="331">
        <f>IF(ISERROR('[8]A4-FinPerf RE'!C24/'[8]A4-FinPerf RE'!C21),0,('[8]A4-FinPerf RE'!C24/'[8]A4-FinPerf RE'!C21))</f>
        <v>0.18510867422107732</v>
      </c>
      <c r="D32" s="327">
        <f>IF(ISERROR('[8]A4-FinPerf RE'!D24/'[8]A4-FinPerf RE'!D21),0,('[8]A4-FinPerf RE'!D24/'[8]A4-FinPerf RE'!D21))</f>
        <v>0.25309287017104704</v>
      </c>
      <c r="E32" s="327">
        <f>IF(ISERROR('[8]A4-FinPerf RE'!E24/'[8]A4-FinPerf RE'!E21),0,('[8]A4-FinPerf RE'!E24/'[8]A4-FinPerf RE'!E21))</f>
        <v>0.29705835630279287</v>
      </c>
      <c r="F32" s="328">
        <f>IF(ISERROR('B4-FinPerf RE'!C26/'B4-FinPerf RE'!C23),0,('B4-FinPerf RE'!C26/'B4-FinPerf RE'!C23))</f>
        <v>0.26005963110162678</v>
      </c>
      <c r="G32" s="328">
        <f>IF(ISERROR('B4-FinPerf RE'!D26/'B4-FinPerf RE'!D23),0,('B4-FinPerf RE'!D26/'B4-FinPerf RE'!D23))</f>
        <v>0.24988572700330083</v>
      </c>
      <c r="H32" s="328">
        <f>IF(ISERROR('B4-FinPerf RE'!K26/'B4-FinPerf RE'!K23),0,('B4-FinPerf RE'!K26/'B4-FinPerf RE'!K23))</f>
        <v>0.26113631416481597</v>
      </c>
      <c r="I32" s="328">
        <f>IF(ISERROR('B4-FinPerf RE'!L26/'B4-FinPerf RE'!L23),0,('B4-FinPerf RE'!L26/'B4-FinPerf RE'!L23))</f>
        <v>0.25425810745522581</v>
      </c>
      <c r="J32" s="330">
        <f>IF(ISERROR('B4-FinPerf RE'!M26/'B4-FinPerf RE'!M23),0,('B4-FinPerf RE'!M26/'B4-FinPerf RE'!M23))</f>
        <v>0.24895446829612058</v>
      </c>
    </row>
    <row r="33" spans="1:12" ht="25.5" x14ac:dyDescent="0.25">
      <c r="A33" s="326" t="s">
        <v>1443</v>
      </c>
      <c r="B33" s="1084" t="s">
        <v>1444</v>
      </c>
      <c r="C33" s="331">
        <f>IF(ISERROR([8]SA22!C102/'[8]A4-FinPerf RE'!C21),0,([8]SA22!C102/'[8]A4-FinPerf RE'!C21))</f>
        <v>0.15213604538241637</v>
      </c>
      <c r="D33" s="327">
        <f>IF(ISERROR([8]SA22!D102/'[8]A4-FinPerf RE'!D21),0,([8]SA22!D102/'[8]A4-FinPerf RE'!D21))</f>
        <v>0</v>
      </c>
      <c r="E33" s="327">
        <f>IF(ISERROR([8]SA22!E102/'[8]A4-FinPerf RE'!E21),0,([8]SA22!E102/'[8]A4-FinPerf RE'!E21))</f>
        <v>0.30709234783348643</v>
      </c>
      <c r="F33" s="328"/>
      <c r="G33" s="328"/>
      <c r="H33" s="328"/>
      <c r="I33" s="328"/>
      <c r="J33" s="330"/>
    </row>
    <row r="34" spans="1:12" ht="25.5" x14ac:dyDescent="0.25">
      <c r="A34" s="326" t="s">
        <v>48</v>
      </c>
      <c r="B34" s="324" t="s">
        <v>49</v>
      </c>
      <c r="C34" s="331">
        <f>IF(ISERROR('[8]A9-Asset'!C169/'[8]A4-FinPerf RE'!C21),0,('[8]A9-Asset'!C169/'[8]A4-FinPerf RE'!C21))</f>
        <v>6.869706345071161E-2</v>
      </c>
      <c r="D34" s="327">
        <f>IF(ISERROR('[8]A9-Asset'!D169/'[8]A4-FinPerf RE'!D21),0,('[8]A9-Asset'!D169/'[8]A4-FinPerf RE'!D21))</f>
        <v>9.5219149180866589E-2</v>
      </c>
      <c r="E34" s="327">
        <f>IF(ISERROR('[8]A9-Asset'!E169/'[8]A4-FinPerf RE'!E21),0,('[8]A9-Asset'!E169/'[8]A4-FinPerf RE'!E21))</f>
        <v>0.17575908614422292</v>
      </c>
      <c r="F34" s="328">
        <f>IF(ISERROR('B9-Asset'!C171/'B4-FinPerf RE'!C23),0,('B9-Asset'!C171/'B4-FinPerf RE'!C23))</f>
        <v>0.14513849977379584</v>
      </c>
      <c r="G34" s="328">
        <f>IF(ISERROR('B9-Asset'!D171/'B4-FinPerf RE'!D23),0,('B9-Asset'!D171/'B4-FinPerf RE'!D23))</f>
        <v>0.1394604744246925</v>
      </c>
      <c r="H34" s="328">
        <f>IF(ISERROR('B9-Asset'!K171/'B4-FinPerf RE'!K23),0,('B9-Asset'!K171/'B4-FinPerf RE'!K23))</f>
        <v>0.1762746085917592</v>
      </c>
      <c r="I34" s="328">
        <f>IF(ISERROR('B9-Asset'!L171/'B4-FinPerf RE'!L23),0,('B9-Asset'!L171/'B4-FinPerf RE'!L23))</f>
        <v>0.14350419247161506</v>
      </c>
      <c r="J34" s="330">
        <f>IF(ISERROR('B9-Asset'!M171/'B4-FinPerf RE'!M23),0,('B9-Asset'!M171/'B4-FinPerf RE'!M23))</f>
        <v>0.13548664337270563</v>
      </c>
    </row>
    <row r="35" spans="1:12" ht="25.5" x14ac:dyDescent="0.25">
      <c r="A35" s="326" t="s">
        <v>50</v>
      </c>
      <c r="B35" s="324" t="s">
        <v>51</v>
      </c>
      <c r="C35" s="331">
        <f>IF(ISERROR(('[8]A4-FinPerf RE'!C28+'[8]A4-FinPerf RE'!C27)/'[8]A4-FinPerf RE'!C21),0,(('[8]A4-FinPerf RE'!C28+'[8]A4-FinPerf RE'!C27)/'[8]A4-FinPerf RE'!C21))</f>
        <v>0.22256748187748293</v>
      </c>
      <c r="D35" s="327">
        <f>IF(ISERROR(('[8]A4-FinPerf RE'!D28+'[8]A4-FinPerf RE'!D27)/'[8]A4-FinPerf RE'!D21),0,(('[8]A4-FinPerf RE'!D28+'[8]A4-FinPerf RE'!D27)/'[8]A4-FinPerf RE'!D21))</f>
        <v>0.31279744848466562</v>
      </c>
      <c r="E35" s="327">
        <f>IF(ISERROR(('[8]A4-FinPerf RE'!E28+'[8]A4-FinPerf RE'!E27)/'[8]A4-FinPerf RE'!E21),0,(('[8]A4-FinPerf RE'!E28+'[8]A4-FinPerf RE'!E27)/'[8]A4-FinPerf RE'!E21))</f>
        <v>0.25966856390229309</v>
      </c>
      <c r="F35" s="328">
        <f>IF(ISERROR(('B4-FinPerf RE'!C29+'B4-FinPerf RE'!C30)/'B4-FinPerf RE'!C23),0,(('B4-FinPerf RE'!C29+'B4-FinPerf RE'!C30)/'B4-FinPerf RE'!C23))</f>
        <v>9.2720075465936025E-2</v>
      </c>
      <c r="G35" s="328">
        <f>IF(ISERROR(('B4-FinPerf RE'!D29+'B4-FinPerf RE'!D30)/'B4-FinPerf RE'!D23),0,(('B4-FinPerf RE'!D29+'B4-FinPerf RE'!D30)/'B4-FinPerf RE'!D23))</f>
        <v>8.909273372210598E-2</v>
      </c>
      <c r="H35" s="328">
        <f>IF(ISERROR(('B4-FinPerf RE'!K29+'B4-FinPerf RE'!K30)/'B4-FinPerf RE'!K23),0,(('B4-FinPerf RE'!K29+'B4-FinPerf RE'!K30)/'B4-FinPerf RE'!K23))</f>
        <v>8.5470371763004663E-2</v>
      </c>
      <c r="I35" s="329">
        <f>IF(ISERROR(('B4-FinPerf RE'!L29+'B4-FinPerf RE'!L30)/'B4-FinPerf RE'!L23),0,(('B4-FinPerf RE'!L29+'B4-FinPerf RE'!L30)/'B4-FinPerf RE'!L23))</f>
        <v>9.8031004332709032E-2</v>
      </c>
      <c r="J35" s="330">
        <f>IF(ISERROR(('B4-FinPerf RE'!M29+'B4-FinPerf RE'!M30)/'B4-FinPerf RE'!M23),0,(('B4-FinPerf RE'!M29+'B4-FinPerf RE'!M30)/'B4-FinPerf RE'!M23))</f>
        <v>9.4100436658884498E-2</v>
      </c>
    </row>
    <row r="36" spans="1:12" x14ac:dyDescent="0.25">
      <c r="A36" s="323" t="s">
        <v>52</v>
      </c>
      <c r="B36" s="324"/>
      <c r="C36" s="331"/>
      <c r="D36" s="327"/>
      <c r="E36" s="327"/>
      <c r="F36" s="328"/>
      <c r="G36" s="328"/>
      <c r="H36" s="328"/>
      <c r="I36" s="329"/>
      <c r="J36" s="330"/>
    </row>
    <row r="37" spans="1:12" ht="39.75" customHeight="1" x14ac:dyDescent="0.25">
      <c r="A37" s="326" t="s">
        <v>53</v>
      </c>
      <c r="B37" s="324" t="s">
        <v>54</v>
      </c>
      <c r="C37" s="336">
        <f>IF(ISERROR(('[8]A4-FinPerf RE'!C21-'[8]A4-FinPerf RE'!C18)/('[8]A7-CFlow'!D11-'[8]A7-CFlow'!D35)),0,(('[8]A4-FinPerf RE'!C21-'[8]A4-FinPerf RE'!C18)/('[8]A7-CFlow'!D11-'[8]A7-CFlow'!D35)))</f>
        <v>30.914764036186938</v>
      </c>
      <c r="D37" s="327">
        <f>IF(ISERROR(('[8]A4-FinPerf RE'!D21-'[8]A4-FinPerf RE'!D18)/('[8]A7-CFlow'!E11-'[8]A7-CFlow'!E35)),0,(('[8]A4-FinPerf RE'!D21-'[8]A4-FinPerf RE'!D18)/('[8]A7-CFlow'!E11-'[8]A7-CFlow'!E35)))</f>
        <v>25.064687480326089</v>
      </c>
      <c r="E37" s="327">
        <f>IF(ISERROR(('[8]A4-FinPerf RE'!E21-'[8]A4-FinPerf RE'!E18)/('[8]A7-CFlow'!F11-'[8]A7-CFlow'!F35)),0,(('[8]A4-FinPerf RE'!E21-'[8]A4-FinPerf RE'!E18)/('[8]A7-CFlow'!F11-'[8]A7-CFlow'!F35)))</f>
        <v>11.840622498064519</v>
      </c>
      <c r="F37" s="328">
        <f>IF(ISERROR(('B4-FinPerf RE'!C23-'B4-FinPerf RE'!C20)/('B4-FinPerf RE'!L30-'B7-CFlow'!L37)),0,(('B4-FinPerf RE'!C23-'B4-FinPerf RE'!C20)/('B4-FinPerf RE'!L30-'B7-CFlow'!L37)))</f>
        <v>14.486941116608865</v>
      </c>
      <c r="G37" s="328">
        <f>IF(ISERROR(('B4-FinPerf RE'!D23-'B4-FinPerf RE'!D20)/('B4-FinPerf RE'!L30-'B7-CFlow'!L37)),0,(('B4-FinPerf RE'!D23-'B4-FinPerf RE'!D20)/('B4-FinPerf RE'!L30-'B7-CFlow'!L37)))</f>
        <v>14.486941116608865</v>
      </c>
      <c r="H37" s="328">
        <f>IF(ISERROR(('B4-FinPerf RE'!K23-'B4-FinPerf RE'!K20)/('B4-FinPerf RE'!L30-'B7-CFlow'!L37)),0,(('B4-FinPerf RE'!K23-'B4-FinPerf RE'!K20)/('B4-FinPerf RE'!L30-'B7-CFlow'!L37)))</f>
        <v>14.189492603914472</v>
      </c>
      <c r="I37" s="329">
        <f>IF(ISERROR(('B4-FinPerf RE'!L23-'B4-FinPerf RE'!L20)/('B4-FinPerf RE'!M30-'B7-CFlow'!M37)),0,(('B4-FinPerf RE'!L23-'B4-FinPerf RE'!L20)/('B4-FinPerf RE'!M30-'B7-CFlow'!M37)))</f>
        <v>10.061251888019013</v>
      </c>
      <c r="J37" s="330">
        <f>IF(ISERROR(('B4-FinPerf RE'!M23-'B4-FinPerf RE'!M20)/('B4-FinPerf RE'!M30-'B7-CFlow'!M37)),0,(('B4-FinPerf RE'!M23-'B4-FinPerf RE'!M20)/('B4-FinPerf RE'!M30-'B7-CFlow'!M37)))</f>
        <v>10.846742893667647</v>
      </c>
    </row>
    <row r="38" spans="1:12" ht="38.25" x14ac:dyDescent="0.25">
      <c r="A38" s="326" t="s">
        <v>55</v>
      </c>
      <c r="B38" s="324" t="s">
        <v>56</v>
      </c>
      <c r="C38" s="336">
        <f>IF(ISERROR(('[8]A6-FinPos'!C8+'[8]A6-FinPos'!C9+'[8]A6-FinPos'!C10)/SUM('[8]A4-FinPerf RE'!C5:C11)),0,(('[8]A6-FinPos'!C8+'[8]A6-FinPos'!C9+'[8]A6-FinPos'!C10)/SUM('[8]A4-FinPerf RE'!C5:C11)))</f>
        <v>0.34981324189529511</v>
      </c>
      <c r="D38" s="327">
        <f>IF(ISERROR(('[8]A6-FinPos'!D8+'[8]A6-FinPos'!D9+'[8]A6-FinPos'!D10)/SUM('[8]A4-FinPerf RE'!D5:D11)),0,(('[8]A6-FinPos'!D8+'[8]A6-FinPos'!D9+'[8]A6-FinPos'!D10)/SUM('[8]A4-FinPerf RE'!D5:D11)))</f>
        <v>0.45438698244038722</v>
      </c>
      <c r="E38" s="327">
        <f>IF(ISERROR(('[8]A6-FinPos'!E8+'[8]A6-FinPos'!E9+'[8]A6-FinPos'!E10)/SUM('[8]A4-FinPerf RE'!E5:E11)),0,(('[8]A6-FinPos'!E8+'[8]A6-FinPos'!E9+'[8]A6-FinPos'!E10)/SUM('[8]A4-FinPerf RE'!E5:E11)))</f>
        <v>0.40442770253193777</v>
      </c>
      <c r="F38" s="328">
        <f>IF(ISERROR('B6-FinPos'!C10/'B4-FinPerf RE'!C23),0,('B6-FinPos'!C10/'B4-FinPerf RE'!C23))</f>
        <v>0.13174736791856856</v>
      </c>
      <c r="G38" s="328">
        <f>IF(ISERROR('B6-FinPos'!D10/'B4-FinPerf RE'!D23),0,('B6-FinPos'!D10/'B4-FinPerf RE'!D23))</f>
        <v>0.12659322276834886</v>
      </c>
      <c r="H38" s="328">
        <f>IF(ISERROR('B6-FinPos'!K10/'B4-FinPerf RE'!K23),0,('B6-FinPos'!K10/'B4-FinPerf RE'!K23))</f>
        <v>0.1268359755195059</v>
      </c>
      <c r="I38" s="329">
        <f>IF(ISERROR('B6-FinPos'!L10/'B4-FinPerf RE'!L23),0,('B6-FinPos'!L10/'B4-FinPerf RE'!L23))</f>
        <v>0.12989727085694966</v>
      </c>
      <c r="J38" s="330">
        <f>IF(ISERROR('B6-FinPos'!M10/'B4-FinPerf RE'!M23),0,('B6-FinPos'!M10/'B4-FinPerf RE'!M23))</f>
        <v>0.10896093067215645</v>
      </c>
    </row>
    <row r="39" spans="1:12" ht="38.25" x14ac:dyDescent="0.25">
      <c r="A39" s="1087" t="s">
        <v>57</v>
      </c>
      <c r="B39" s="1088" t="s">
        <v>58</v>
      </c>
      <c r="C39" s="1089">
        <f>IF(ISERROR('[8]A7-CFlow'!C40/[8]SA8!C46),0,('[8]A7-CFlow'!C40/[8]SA8!C46))</f>
        <v>0.64387728400260391</v>
      </c>
      <c r="D39" s="464">
        <f>IF(ISERROR('[8]A7-CFlow'!D40/[8]SA8!D46),0,('[8]A7-CFlow'!D40/[8]SA8!D46))</f>
        <v>1.3748158397419139E-2</v>
      </c>
      <c r="E39" s="464">
        <f>IF(ISERROR('[8]A7-CFlow'!E40/[8]SA8!E46),0,('[8]A7-CFlow'!E40/[8]SA8!E46))</f>
        <v>0.36086765432827478</v>
      </c>
      <c r="F39" s="1090">
        <f>IF(ISERROR('B7-CFlow'!C42/'SB4'!F46),0,('B7-CFlow'!C42/'SB4'!F46))</f>
        <v>0</v>
      </c>
      <c r="G39" s="1090">
        <f>IF(ISERROR('B7-CFlow'!D42/'SB4'!G46),0,('B7-CFlow'!D42/'SB4'!G46))</f>
        <v>0</v>
      </c>
      <c r="H39" s="1090">
        <f>IF(ISERROR('B7-CFlow'!K42/'SB4'!H46),0,('B7-CFlow'!K42/'SB4'!H46))</f>
        <v>0</v>
      </c>
      <c r="I39" s="1091">
        <f>IF(ISERROR('B7-CFlow'!L42/'SB4'!I46),0,('B7-CFlow'!L42/'SB4'!I46))</f>
        <v>0</v>
      </c>
      <c r="J39" s="1092">
        <f>IF(ISERROR('B7-CFlow'!M42/'SB4'!J46),0,('B7-CFlow'!M42/'SB4'!J46))</f>
        <v>0</v>
      </c>
    </row>
    <row r="40" spans="1:12" x14ac:dyDescent="0.25">
      <c r="A40" s="158" t="str">
        <f>head27a</f>
        <v>References</v>
      </c>
      <c r="B40" s="48"/>
      <c r="C40" s="48"/>
      <c r="D40" s="48"/>
      <c r="E40" s="48"/>
      <c r="F40" s="48"/>
      <c r="G40" s="48"/>
      <c r="H40" s="48"/>
      <c r="I40" s="48"/>
      <c r="J40" s="48"/>
    </row>
    <row r="41" spans="1:12" x14ac:dyDescent="0.25">
      <c r="A41" s="99" t="s">
        <v>59</v>
      </c>
      <c r="B41" s="48"/>
      <c r="C41" s="48"/>
      <c r="D41" s="48"/>
      <c r="E41" s="48"/>
      <c r="F41" s="48"/>
      <c r="G41" s="48"/>
      <c r="H41" s="48"/>
      <c r="I41" s="48"/>
      <c r="J41" s="48"/>
    </row>
    <row r="42" spans="1:12" x14ac:dyDescent="0.25">
      <c r="A42" s="287" t="s">
        <v>1419</v>
      </c>
      <c r="B42" s="48"/>
      <c r="C42" s="48"/>
      <c r="D42" s="48"/>
      <c r="E42" s="48"/>
      <c r="F42" s="48"/>
      <c r="G42" s="48"/>
      <c r="H42" s="48"/>
      <c r="I42" s="48"/>
      <c r="J42" s="48"/>
    </row>
    <row r="43" spans="1:12" x14ac:dyDescent="0.25">
      <c r="A43" s="337" t="s">
        <v>60</v>
      </c>
      <c r="B43" s="338"/>
      <c r="C43" s="338"/>
      <c r="D43" s="338"/>
      <c r="E43" s="338"/>
      <c r="F43" s="338"/>
      <c r="G43" s="338"/>
      <c r="H43" s="338"/>
      <c r="I43" s="338"/>
      <c r="J43" s="338"/>
    </row>
    <row r="44" spans="1:12" x14ac:dyDescent="0.25">
      <c r="A44" s="338" t="s">
        <v>61</v>
      </c>
      <c r="B44" s="338"/>
      <c r="C44" s="230"/>
      <c r="D44" s="230"/>
      <c r="E44" s="230"/>
      <c r="F44" s="230"/>
      <c r="G44" s="230"/>
      <c r="H44" s="230"/>
      <c r="I44" s="230"/>
      <c r="J44" s="230"/>
      <c r="K44" s="48"/>
      <c r="L44" s="48"/>
    </row>
    <row r="45" spans="1:12" x14ac:dyDescent="0.25">
      <c r="A45" s="338" t="s">
        <v>62</v>
      </c>
      <c r="B45" s="338"/>
      <c r="C45" s="230"/>
      <c r="D45" s="230"/>
      <c r="E45" s="230"/>
      <c r="F45" s="230"/>
      <c r="G45" s="230"/>
      <c r="H45" s="230"/>
      <c r="I45" s="230"/>
      <c r="J45" s="230"/>
      <c r="K45" s="48"/>
      <c r="L45" s="48"/>
    </row>
    <row r="46" spans="1:12" x14ac:dyDescent="0.25">
      <c r="A46" s="338" t="s">
        <v>63</v>
      </c>
      <c r="B46" s="338"/>
      <c r="C46" s="230"/>
      <c r="D46" s="230"/>
      <c r="E46" s="230"/>
      <c r="F46" s="230"/>
      <c r="G46" s="230"/>
      <c r="H46" s="230"/>
      <c r="I46" s="230"/>
      <c r="J46" s="230"/>
      <c r="K46" s="48"/>
      <c r="L46" s="48"/>
    </row>
    <row r="47" spans="1:12" x14ac:dyDescent="0.25">
      <c r="A47" s="338" t="s">
        <v>64</v>
      </c>
      <c r="B47" s="338"/>
      <c r="E47" s="86"/>
      <c r="F47" s="797">
        <v>0.4</v>
      </c>
      <c r="G47" s="339">
        <f>$F$47</f>
        <v>0.4</v>
      </c>
      <c r="H47" s="339">
        <f>$F$47</f>
        <v>0.4</v>
      </c>
      <c r="I47" s="339">
        <f>$F$47</f>
        <v>0.4</v>
      </c>
      <c r="J47" s="339">
        <f>$F$47</f>
        <v>0.4</v>
      </c>
      <c r="K47" s="338" t="s">
        <v>1173</v>
      </c>
      <c r="L47" s="48"/>
    </row>
    <row r="48" spans="1:12" x14ac:dyDescent="0.25">
      <c r="A48" s="5" t="s">
        <v>1445</v>
      </c>
      <c r="B48" s="338"/>
      <c r="C48" s="230"/>
      <c r="D48" s="230"/>
      <c r="E48" s="230"/>
      <c r="F48" s="230"/>
      <c r="G48" s="230"/>
      <c r="H48" s="230"/>
      <c r="I48" s="230"/>
      <c r="J48" s="230"/>
      <c r="K48" s="48"/>
      <c r="L48" s="48"/>
    </row>
    <row r="49" spans="1:12" x14ac:dyDescent="0.25">
      <c r="A49" s="5" t="s">
        <v>576</v>
      </c>
      <c r="B49" s="338"/>
      <c r="C49" s="230"/>
      <c r="D49" s="230"/>
      <c r="E49" s="230"/>
      <c r="F49" s="230"/>
      <c r="G49" s="230"/>
      <c r="H49" s="230"/>
      <c r="I49" s="230"/>
      <c r="J49" s="230"/>
      <c r="K49" s="48"/>
      <c r="L49" s="48"/>
    </row>
    <row r="50" spans="1:12" x14ac:dyDescent="0.25">
      <c r="A50" s="338"/>
      <c r="B50" s="338"/>
      <c r="C50" s="340"/>
      <c r="D50" s="340"/>
      <c r="E50" s="340"/>
      <c r="F50" s="340"/>
      <c r="G50" s="340"/>
      <c r="H50" s="340"/>
      <c r="I50" s="340"/>
      <c r="J50" s="340"/>
      <c r="K50" s="48"/>
      <c r="L50" s="48"/>
    </row>
    <row r="51" spans="1:12" x14ac:dyDescent="0.25">
      <c r="A51" s="338"/>
      <c r="B51" s="338"/>
      <c r="C51" s="341"/>
      <c r="D51" s="341"/>
      <c r="E51" s="341"/>
      <c r="F51" s="341"/>
      <c r="G51" s="341"/>
      <c r="H51" s="341"/>
      <c r="I51" s="341"/>
      <c r="J51" s="341"/>
      <c r="K51" s="48"/>
      <c r="L51" s="48"/>
    </row>
    <row r="52" spans="1:12" x14ac:dyDescent="0.25">
      <c r="A52" s="338"/>
      <c r="B52" s="338"/>
      <c r="C52" s="342"/>
      <c r="D52" s="342"/>
      <c r="E52" s="342"/>
      <c r="F52" s="342"/>
      <c r="G52" s="342"/>
      <c r="H52" s="342"/>
      <c r="I52" s="342"/>
      <c r="J52" s="342"/>
      <c r="K52" s="48"/>
      <c r="L52" s="48"/>
    </row>
    <row r="53" spans="1:12" x14ac:dyDescent="0.25">
      <c r="A53" s="48"/>
      <c r="B53" s="48"/>
      <c r="C53" s="343"/>
      <c r="D53" s="343"/>
      <c r="E53" s="343"/>
      <c r="F53" s="84"/>
      <c r="G53" s="84"/>
      <c r="H53" s="84"/>
      <c r="I53" s="84"/>
      <c r="J53" s="84"/>
      <c r="K53" s="48"/>
      <c r="L53" s="48"/>
    </row>
    <row r="54" spans="1:12" x14ac:dyDescent="0.25">
      <c r="A54" s="48"/>
      <c r="B54" s="48"/>
      <c r="C54" s="48"/>
      <c r="D54" s="48"/>
      <c r="E54" s="48"/>
      <c r="F54" s="48"/>
      <c r="G54" s="48"/>
      <c r="H54" s="48"/>
      <c r="I54" s="48"/>
      <c r="J54" s="48"/>
      <c r="K54" s="48"/>
      <c r="L54" s="48"/>
    </row>
    <row r="55" spans="1:12" x14ac:dyDescent="0.25">
      <c r="A55" s="48"/>
      <c r="B55" s="48"/>
      <c r="C55" s="48"/>
      <c r="D55" s="48"/>
      <c r="E55" s="48"/>
      <c r="F55" s="48"/>
      <c r="G55" s="48"/>
      <c r="H55" s="48"/>
      <c r="I55" s="48"/>
      <c r="J55" s="48"/>
    </row>
    <row r="56" spans="1:12" x14ac:dyDescent="0.25">
      <c r="A56" s="48"/>
      <c r="B56" s="48"/>
      <c r="C56" s="48"/>
      <c r="D56" s="48"/>
      <c r="E56" s="48"/>
      <c r="F56" s="48"/>
      <c r="G56" s="48"/>
      <c r="H56" s="48"/>
      <c r="I56" s="48"/>
      <c r="J56" s="48"/>
    </row>
    <row r="57" spans="1:12" x14ac:dyDescent="0.25">
      <c r="A57" s="48"/>
      <c r="B57" s="48"/>
      <c r="C57" s="48"/>
      <c r="D57" s="48"/>
      <c r="E57" s="48"/>
      <c r="F57" s="48"/>
      <c r="G57" s="48"/>
      <c r="H57" s="48"/>
      <c r="I57" s="48"/>
      <c r="J57" s="48"/>
    </row>
    <row r="58" spans="1:12" x14ac:dyDescent="0.25">
      <c r="A58" s="48"/>
      <c r="B58" s="48"/>
      <c r="C58" s="48"/>
      <c r="D58" s="48"/>
      <c r="E58" s="48"/>
      <c r="F58" s="48"/>
      <c r="G58" s="48"/>
      <c r="H58" s="48"/>
      <c r="I58" s="48"/>
      <c r="J58" s="48"/>
    </row>
    <row r="59" spans="1:12" x14ac:dyDescent="0.25">
      <c r="A59" s="48"/>
      <c r="B59" s="48"/>
      <c r="C59" s="48"/>
      <c r="D59" s="48"/>
      <c r="E59" s="48"/>
      <c r="F59" s="48"/>
      <c r="G59" s="48"/>
      <c r="H59" s="48"/>
      <c r="I59" s="48"/>
      <c r="J59" s="48"/>
    </row>
    <row r="60" spans="1:12" x14ac:dyDescent="0.25">
      <c r="A60" s="48"/>
      <c r="B60" s="48"/>
      <c r="C60" s="48"/>
      <c r="D60" s="48"/>
      <c r="E60" s="48"/>
      <c r="F60" s="48"/>
      <c r="G60" s="48"/>
      <c r="H60" s="48"/>
      <c r="I60" s="48"/>
      <c r="J60" s="48"/>
    </row>
    <row r="61" spans="1:12" x14ac:dyDescent="0.25">
      <c r="A61" s="48"/>
      <c r="B61" s="338"/>
      <c r="C61" s="48"/>
      <c r="D61" s="48"/>
      <c r="E61" s="48"/>
      <c r="F61" s="48"/>
      <c r="G61" s="48"/>
      <c r="H61" s="48"/>
      <c r="I61" s="48"/>
      <c r="J61" s="48"/>
    </row>
    <row r="62" spans="1:12" x14ac:dyDescent="0.25">
      <c r="A62" s="48"/>
      <c r="B62" s="48"/>
      <c r="C62" s="48"/>
      <c r="D62" s="48"/>
      <c r="E62" s="48"/>
      <c r="F62" s="48"/>
      <c r="G62" s="48"/>
      <c r="H62" s="48"/>
      <c r="I62" s="48"/>
      <c r="J62" s="48"/>
    </row>
    <row r="63" spans="1:12" x14ac:dyDescent="0.25">
      <c r="A63" s="48"/>
      <c r="B63" s="48"/>
      <c r="C63" s="48"/>
      <c r="D63" s="48"/>
      <c r="E63" s="48"/>
      <c r="F63" s="48"/>
      <c r="G63" s="48"/>
      <c r="H63" s="48"/>
      <c r="I63" s="48"/>
      <c r="J63" s="48"/>
    </row>
    <row r="64" spans="1:12" x14ac:dyDescent="0.25">
      <c r="A64" s="48"/>
      <c r="B64" s="48"/>
      <c r="C64" s="48"/>
      <c r="D64" s="48"/>
      <c r="E64" s="48"/>
      <c r="F64" s="48"/>
      <c r="G64" s="48"/>
      <c r="H64" s="48"/>
      <c r="I64" s="48"/>
      <c r="J64" s="48"/>
    </row>
    <row r="65" spans="1:10" x14ac:dyDescent="0.25">
      <c r="A65" s="48"/>
      <c r="B65" s="48"/>
      <c r="C65" s="48"/>
      <c r="D65" s="48"/>
      <c r="E65" s="48"/>
      <c r="F65" s="48"/>
      <c r="G65" s="48"/>
      <c r="H65" s="48"/>
      <c r="I65" s="48"/>
      <c r="J65" s="48"/>
    </row>
  </sheetData>
  <sheetProtection sheet="1" objects="1" scenarios="1"/>
  <mergeCells count="5">
    <mergeCell ref="A2:A3"/>
    <mergeCell ref="B2:B3"/>
    <mergeCell ref="F2:H2"/>
    <mergeCell ref="A29:A30"/>
    <mergeCell ref="A26:A27"/>
  </mergeCells>
  <phoneticPr fontId="4" type="noConversion"/>
  <printOptions horizontalCentered="1"/>
  <pageMargins left="0.39370078740157483" right="0.15748031496062992" top="0.51181102362204722" bottom="0.43307086614173229" header="0.51181102362204722" footer="0.39370078740157483"/>
  <pageSetup paperSize="9" scale="80"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42"/>
    <pageSetUpPr fitToPage="1"/>
  </sheetPr>
  <dimension ref="A1:O311"/>
  <sheetViews>
    <sheetView showGridLines="0" topLeftCell="B1" zoomScaleNormal="100" workbookViewId="0">
      <selection activeCell="I2" sqref="I2"/>
    </sheetView>
  </sheetViews>
  <sheetFormatPr defaultColWidth="9.140625" defaultRowHeight="11.25" customHeight="1" x14ac:dyDescent="0.25"/>
  <cols>
    <col min="1" max="1" width="37.28515625" style="184" customWidth="1"/>
    <col min="2" max="2" width="5.7109375" style="184" customWidth="1"/>
    <col min="3" max="3" width="45.85546875" style="184" customWidth="1"/>
    <col min="4" max="4" width="11.28515625" style="184" customWidth="1"/>
    <col min="5" max="11" width="9.28515625" style="184" customWidth="1"/>
    <col min="12" max="16384" width="9.140625" style="184"/>
  </cols>
  <sheetData>
    <row r="1" spans="1:13" s="254" customFormat="1" ht="12.75" x14ac:dyDescent="0.2">
      <c r="A1" s="253" t="str">
        <f>muni&amp;" - "&amp;ADJB5&amp;" - "&amp;Date</f>
        <v>LIM354 Polokwane - Supporting Table SB5 Adjustments Budget - social, economic and demographic statistics and assumptions - 2020</v>
      </c>
      <c r="B1" s="253"/>
      <c r="C1" s="253"/>
      <c r="D1" s="253"/>
      <c r="E1" s="253"/>
      <c r="F1" s="253"/>
      <c r="G1" s="253"/>
      <c r="H1" s="253"/>
      <c r="I1" s="253"/>
      <c r="J1" s="253"/>
      <c r="K1" s="253"/>
    </row>
    <row r="2" spans="1:13" ht="51.75" customHeight="1" x14ac:dyDescent="0.25">
      <c r="A2" s="1450" t="s">
        <v>65</v>
      </c>
      <c r="B2" s="1452" t="s">
        <v>1344</v>
      </c>
      <c r="C2" s="1450" t="s">
        <v>18</v>
      </c>
      <c r="D2" s="1450" t="str">
        <f>Head44</f>
        <v>2001 Census</v>
      </c>
      <c r="E2" s="1450" t="s">
        <v>66</v>
      </c>
      <c r="F2" s="1450" t="str">
        <f>Head45</f>
        <v>2011 Census</v>
      </c>
      <c r="G2" s="1171" t="str">
        <f>Head1B</f>
        <v>2017/18</v>
      </c>
      <c r="H2" s="1172" t="str">
        <f>Head1A</f>
        <v>2018/19</v>
      </c>
      <c r="I2" s="1173" t="str">
        <f>Head1</f>
        <v>2019/20</v>
      </c>
      <c r="J2" s="1174" t="str">
        <f>Head2</f>
        <v>Budget Year 2020/21</v>
      </c>
      <c r="K2" s="1448" t="str">
        <f>Head3</f>
        <v>2020/21 Medium Term Revenue &amp; Expenditure Framework</v>
      </c>
      <c r="L2" s="1448"/>
      <c r="M2" s="1449"/>
    </row>
    <row r="3" spans="1:13" ht="27" customHeight="1" x14ac:dyDescent="0.25">
      <c r="A3" s="1451"/>
      <c r="B3" s="1453"/>
      <c r="C3" s="1451"/>
      <c r="D3" s="1451"/>
      <c r="E3" s="1451"/>
      <c r="F3" s="1451"/>
      <c r="G3" s="1175" t="str">
        <f t="shared" ref="G3:M3" si="0">Head5A</f>
        <v>Outcome</v>
      </c>
      <c r="H3" s="1176" t="str">
        <f t="shared" si="0"/>
        <v>Outcome</v>
      </c>
      <c r="I3" s="1177" t="str">
        <f t="shared" si="0"/>
        <v>Outcome</v>
      </c>
      <c r="J3" s="1178" t="str">
        <f>Head6</f>
        <v>Original Budget</v>
      </c>
      <c r="K3" s="1179" t="str">
        <f t="shared" si="0"/>
        <v>Outcome</v>
      </c>
      <c r="L3" s="1176" t="str">
        <f t="shared" si="0"/>
        <v>Outcome</v>
      </c>
      <c r="M3" s="1180" t="str">
        <f t="shared" si="0"/>
        <v>Outcome</v>
      </c>
    </row>
    <row r="4" spans="1:13" ht="11.25" customHeight="1" x14ac:dyDescent="0.25">
      <c r="A4" s="344" t="s">
        <v>67</v>
      </c>
      <c r="B4" s="1001"/>
      <c r="C4" s="345"/>
      <c r="D4" s="346"/>
      <c r="E4" s="346"/>
      <c r="F4" s="347"/>
      <c r="G4" s="347"/>
      <c r="H4" s="348"/>
      <c r="I4" s="1041"/>
      <c r="J4" s="347"/>
      <c r="K4" s="348"/>
    </row>
    <row r="5" spans="1:13" ht="11.25" customHeight="1" x14ac:dyDescent="0.25">
      <c r="A5" s="349" t="s">
        <v>68</v>
      </c>
      <c r="B5" s="1002"/>
      <c r="C5" s="359" t="s">
        <v>2005</v>
      </c>
      <c r="D5" s="360"/>
      <c r="E5" s="360"/>
      <c r="F5" s="360"/>
      <c r="G5" s="360">
        <v>651105.78</v>
      </c>
      <c r="H5" s="1000">
        <v>664127.89560000005</v>
      </c>
      <c r="I5" s="997">
        <v>628999</v>
      </c>
      <c r="J5" s="360">
        <v>671710.72469847056</v>
      </c>
      <c r="K5" s="360">
        <v>691200.2343548733</v>
      </c>
    </row>
    <row r="6" spans="1:13" ht="11.25" customHeight="1" x14ac:dyDescent="0.25">
      <c r="A6" s="350" t="s">
        <v>69</v>
      </c>
      <c r="B6" s="1002"/>
      <c r="C6" s="359" t="s">
        <v>2005</v>
      </c>
      <c r="D6" s="360"/>
      <c r="E6" s="360"/>
      <c r="F6" s="360"/>
      <c r="G6" s="360">
        <v>60552.3</v>
      </c>
      <c r="H6" s="1000">
        <v>61763.346000000005</v>
      </c>
      <c r="I6" s="997">
        <v>58496.906999999999</v>
      </c>
      <c r="J6" s="360">
        <v>62469.097396957754</v>
      </c>
      <c r="K6" s="360">
        <v>64281.621795003208</v>
      </c>
    </row>
    <row r="7" spans="1:13" ht="11.25" customHeight="1" x14ac:dyDescent="0.25">
      <c r="A7" s="350" t="s">
        <v>70</v>
      </c>
      <c r="B7" s="1002"/>
      <c r="C7" s="359" t="s">
        <v>2005</v>
      </c>
      <c r="D7" s="360"/>
      <c r="E7" s="360"/>
      <c r="F7" s="360"/>
      <c r="G7" s="360">
        <v>61854.840000000004</v>
      </c>
      <c r="H7" s="1000">
        <v>63091.936800000003</v>
      </c>
      <c r="I7" s="997">
        <v>58496.906999999999</v>
      </c>
      <c r="J7" s="360">
        <v>62469.097396957754</v>
      </c>
      <c r="K7" s="360">
        <v>64281.621795003208</v>
      </c>
    </row>
    <row r="8" spans="1:13" ht="11.25" customHeight="1" x14ac:dyDescent="0.25">
      <c r="A8" s="350" t="s">
        <v>71</v>
      </c>
      <c r="B8" s="1002"/>
      <c r="C8" s="359" t="s">
        <v>2005</v>
      </c>
      <c r="D8" s="360"/>
      <c r="E8" s="360"/>
      <c r="F8" s="360"/>
      <c r="G8" s="360">
        <v>127616.28</v>
      </c>
      <c r="H8" s="1000">
        <v>130168.6056</v>
      </c>
      <c r="I8" s="997">
        <v>628999.196</v>
      </c>
      <c r="J8" s="360">
        <v>671710.9340077095</v>
      </c>
      <c r="K8" s="360">
        <v>691200.44973716466</v>
      </c>
    </row>
    <row r="9" spans="1:13" ht="11.25" customHeight="1" x14ac:dyDescent="0.25">
      <c r="A9" s="350" t="s">
        <v>72</v>
      </c>
      <c r="B9" s="1002"/>
      <c r="C9" s="359" t="s">
        <v>2005</v>
      </c>
      <c r="D9" s="360"/>
      <c r="E9" s="360"/>
      <c r="F9" s="360"/>
      <c r="G9" s="360">
        <v>127616.28</v>
      </c>
      <c r="H9" s="1000">
        <v>130168.6056</v>
      </c>
      <c r="I9" s="997">
        <v>123283.804</v>
      </c>
      <c r="J9" s="360">
        <v>131655.30204090022</v>
      </c>
      <c r="K9" s="360">
        <v>135475.24593355515</v>
      </c>
    </row>
    <row r="10" spans="1:13" ht="11.25" customHeight="1" x14ac:dyDescent="0.25">
      <c r="A10" s="351" t="s">
        <v>73</v>
      </c>
      <c r="B10" s="1003"/>
      <c r="C10" s="1039" t="s">
        <v>2005</v>
      </c>
      <c r="D10" s="1040"/>
      <c r="E10" s="1040"/>
      <c r="F10" s="1040"/>
      <c r="G10" s="1040">
        <v>210958.27272000001</v>
      </c>
      <c r="H10" s="1043">
        <v>215177.43817440001</v>
      </c>
      <c r="I10" s="1042">
        <v>203795.67600000001</v>
      </c>
      <c r="J10" s="1040">
        <v>217634.27480230446</v>
      </c>
      <c r="K10" s="1040">
        <v>223948.87593097895</v>
      </c>
    </row>
    <row r="11" spans="1:13" ht="5.0999999999999996" customHeight="1" x14ac:dyDescent="0.25">
      <c r="A11" s="350"/>
      <c r="B11" s="1004"/>
      <c r="C11" s="352"/>
      <c r="D11" s="353"/>
      <c r="E11" s="353"/>
      <c r="F11" s="354"/>
      <c r="G11" s="354"/>
      <c r="H11" s="355"/>
      <c r="I11" s="356"/>
      <c r="J11" s="354"/>
      <c r="K11" s="357"/>
    </row>
    <row r="12" spans="1:13" ht="11.25" customHeight="1" x14ac:dyDescent="0.25">
      <c r="A12" s="358" t="s">
        <v>1365</v>
      </c>
      <c r="B12" s="1004" t="s">
        <v>1351</v>
      </c>
      <c r="C12" s="352"/>
      <c r="D12" s="353"/>
      <c r="E12" s="353"/>
      <c r="F12" s="354"/>
      <c r="G12" s="354"/>
      <c r="H12" s="355"/>
      <c r="I12" s="356"/>
      <c r="J12" s="354"/>
      <c r="K12" s="357"/>
    </row>
    <row r="13" spans="1:13" ht="11.25" customHeight="1" x14ac:dyDescent="0.25">
      <c r="A13" s="350" t="s">
        <v>81</v>
      </c>
      <c r="B13" s="1002"/>
      <c r="C13" s="359" t="s">
        <v>2006</v>
      </c>
      <c r="D13" s="360"/>
      <c r="E13" s="360"/>
      <c r="F13" s="361"/>
      <c r="G13" s="361">
        <v>24585</v>
      </c>
      <c r="H13" s="362">
        <v>25076.7</v>
      </c>
      <c r="I13" s="363">
        <v>32998.008000000002</v>
      </c>
      <c r="J13" s="361">
        <v>35238.714</v>
      </c>
      <c r="K13" s="364">
        <v>36261.156000000003</v>
      </c>
    </row>
    <row r="14" spans="1:13" ht="11.25" customHeight="1" x14ac:dyDescent="0.25">
      <c r="A14" s="993" t="s">
        <v>1333</v>
      </c>
      <c r="B14" s="1002"/>
      <c r="C14" s="359" t="s">
        <v>2006</v>
      </c>
      <c r="D14" s="360"/>
      <c r="E14" s="360"/>
      <c r="F14" s="361"/>
      <c r="G14" s="361">
        <v>8551</v>
      </c>
      <c r="H14" s="362">
        <v>8722.02</v>
      </c>
      <c r="I14" s="363">
        <v>11477.568000000001</v>
      </c>
      <c r="J14" s="361">
        <v>12256.944</v>
      </c>
      <c r="K14" s="364">
        <v>12612.576000000001</v>
      </c>
    </row>
    <row r="15" spans="1:13" ht="11.25" customHeight="1" x14ac:dyDescent="0.25">
      <c r="A15" s="993" t="s">
        <v>1334</v>
      </c>
      <c r="B15" s="1002"/>
      <c r="C15" s="359" t="s">
        <v>2006</v>
      </c>
      <c r="D15" s="360"/>
      <c r="E15" s="360"/>
      <c r="F15" s="361"/>
      <c r="G15" s="361">
        <v>15051</v>
      </c>
      <c r="H15" s="362">
        <v>15352.02</v>
      </c>
      <c r="I15" s="363">
        <v>20324.86</v>
      </c>
      <c r="J15" s="361">
        <v>21705.005000000001</v>
      </c>
      <c r="K15" s="364">
        <v>22334.77</v>
      </c>
    </row>
    <row r="16" spans="1:13" ht="11.25" customHeight="1" x14ac:dyDescent="0.25">
      <c r="A16" s="993" t="s">
        <v>1335</v>
      </c>
      <c r="B16" s="1002"/>
      <c r="C16" s="359" t="s">
        <v>2006</v>
      </c>
      <c r="D16" s="360"/>
      <c r="E16" s="360"/>
      <c r="F16" s="361"/>
      <c r="G16" s="361">
        <v>34367</v>
      </c>
      <c r="H16" s="362">
        <v>35054.340000000004</v>
      </c>
      <c r="I16" s="363">
        <v>46149.387999999999</v>
      </c>
      <c r="J16" s="361">
        <v>49283.129000000001</v>
      </c>
      <c r="K16" s="364">
        <v>50713.065999999999</v>
      </c>
    </row>
    <row r="17" spans="1:11" ht="11.25" customHeight="1" x14ac:dyDescent="0.25">
      <c r="A17" s="993" t="s">
        <v>1336</v>
      </c>
      <c r="B17" s="1002"/>
      <c r="C17" s="359" t="s">
        <v>2006</v>
      </c>
      <c r="D17" s="360"/>
      <c r="E17" s="360"/>
      <c r="F17" s="361"/>
      <c r="G17" s="361">
        <v>35053</v>
      </c>
      <c r="H17" s="362">
        <v>35754.06</v>
      </c>
      <c r="I17" s="363">
        <v>47105.851999999999</v>
      </c>
      <c r="J17" s="361">
        <v>50304.541000000005</v>
      </c>
      <c r="K17" s="364">
        <v>51764.114000000001</v>
      </c>
    </row>
    <row r="18" spans="1:11" ht="11.25" customHeight="1" x14ac:dyDescent="0.25">
      <c r="A18" s="993" t="s">
        <v>1337</v>
      </c>
      <c r="B18" s="1002"/>
      <c r="C18" s="359" t="s">
        <v>2006</v>
      </c>
      <c r="D18" s="360"/>
      <c r="E18" s="360"/>
      <c r="F18" s="361"/>
      <c r="G18" s="361">
        <v>20794</v>
      </c>
      <c r="H18" s="362">
        <v>21209.88</v>
      </c>
      <c r="I18" s="363">
        <v>27976.572</v>
      </c>
      <c r="J18" s="361">
        <v>29876.301000000003</v>
      </c>
      <c r="K18" s="364">
        <v>30743.154000000002</v>
      </c>
    </row>
    <row r="19" spans="1:11" ht="11.25" customHeight="1" x14ac:dyDescent="0.25">
      <c r="A19" s="993" t="s">
        <v>1338</v>
      </c>
      <c r="B19" s="1002"/>
      <c r="C19" s="359" t="s">
        <v>2006</v>
      </c>
      <c r="D19" s="360"/>
      <c r="E19" s="360"/>
      <c r="F19" s="361"/>
      <c r="G19" s="361">
        <v>14454</v>
      </c>
      <c r="H19" s="362">
        <v>14743.08</v>
      </c>
      <c r="I19" s="363">
        <v>19368.396000000001</v>
      </c>
      <c r="J19" s="361">
        <v>20683.593000000001</v>
      </c>
      <c r="K19" s="364">
        <v>21283.722000000002</v>
      </c>
    </row>
    <row r="20" spans="1:11" ht="11.25" customHeight="1" x14ac:dyDescent="0.25">
      <c r="A20" s="993" t="s">
        <v>1339</v>
      </c>
      <c r="B20" s="1002"/>
      <c r="C20" s="359" t="s">
        <v>2006</v>
      </c>
      <c r="D20" s="360"/>
      <c r="E20" s="360"/>
      <c r="F20" s="361"/>
      <c r="G20" s="361">
        <v>12900</v>
      </c>
      <c r="H20" s="362">
        <v>13158</v>
      </c>
      <c r="I20" s="363">
        <v>17216.351999999999</v>
      </c>
      <c r="J20" s="361">
        <v>18385.415999999997</v>
      </c>
      <c r="K20" s="364">
        <v>18918.863999999998</v>
      </c>
    </row>
    <row r="21" spans="1:11" ht="11.25" customHeight="1" x14ac:dyDescent="0.25">
      <c r="A21" s="993" t="s">
        <v>1340</v>
      </c>
      <c r="B21" s="1002"/>
      <c r="C21" s="359" t="s">
        <v>2006</v>
      </c>
      <c r="D21" s="360"/>
      <c r="E21" s="360"/>
      <c r="F21" s="361"/>
      <c r="G21" s="361">
        <v>8201</v>
      </c>
      <c r="H21" s="362">
        <v>8365.02</v>
      </c>
      <c r="I21" s="363">
        <v>10999.335999999999</v>
      </c>
      <c r="J21" s="361">
        <v>11746.237999999999</v>
      </c>
      <c r="K21" s="364">
        <v>12087.052</v>
      </c>
    </row>
    <row r="22" spans="1:11" ht="11.25" customHeight="1" x14ac:dyDescent="0.25">
      <c r="A22" s="993" t="s">
        <v>1341</v>
      </c>
      <c r="B22" s="1002"/>
      <c r="C22" s="359" t="s">
        <v>2006</v>
      </c>
      <c r="D22" s="360"/>
      <c r="E22" s="360"/>
      <c r="F22" s="361"/>
      <c r="G22" s="361">
        <v>2834</v>
      </c>
      <c r="H22" s="364">
        <v>2890.68</v>
      </c>
      <c r="I22" s="999">
        <v>382.5856</v>
      </c>
      <c r="J22" s="361">
        <v>408.56480000000005</v>
      </c>
      <c r="K22" s="364">
        <v>420.41920000000005</v>
      </c>
    </row>
    <row r="23" spans="1:11" ht="11.25" customHeight="1" x14ac:dyDescent="0.25">
      <c r="A23" s="993" t="s">
        <v>1342</v>
      </c>
      <c r="B23" s="1002"/>
      <c r="C23" s="997" t="s">
        <v>2006</v>
      </c>
      <c r="D23" s="360"/>
      <c r="E23" s="360"/>
      <c r="F23" s="360"/>
      <c r="G23" s="360">
        <v>691</v>
      </c>
      <c r="H23" s="1000">
        <v>704.82</v>
      </c>
      <c r="I23" s="997">
        <v>95.6464</v>
      </c>
      <c r="J23" s="360">
        <v>102.14120000000001</v>
      </c>
      <c r="K23" s="1000">
        <v>105.10480000000001</v>
      </c>
    </row>
    <row r="24" spans="1:11" ht="11.25" customHeight="1" x14ac:dyDescent="0.25">
      <c r="A24" s="993" t="s">
        <v>1343</v>
      </c>
      <c r="B24" s="1002"/>
      <c r="C24" s="997" t="s">
        <v>2006</v>
      </c>
      <c r="D24" s="360"/>
      <c r="E24" s="360"/>
      <c r="F24" s="360"/>
      <c r="G24" s="360">
        <v>510</v>
      </c>
      <c r="H24" s="1000">
        <v>520.20000000000005</v>
      </c>
      <c r="I24" s="997">
        <v>71.734799999999993</v>
      </c>
      <c r="J24" s="360">
        <v>76.605899999999991</v>
      </c>
      <c r="K24" s="1000">
        <v>78.828599999999994</v>
      </c>
    </row>
    <row r="25" spans="1:11" ht="6" customHeight="1" x14ac:dyDescent="0.25">
      <c r="A25" s="993"/>
      <c r="B25" s="1002"/>
      <c r="C25" s="998"/>
      <c r="D25" s="366"/>
      <c r="E25" s="366"/>
      <c r="F25" s="367"/>
      <c r="G25" s="367"/>
      <c r="H25" s="368"/>
      <c r="I25" s="369"/>
      <c r="J25" s="367"/>
      <c r="K25" s="370"/>
    </row>
    <row r="26" spans="1:11" ht="12.75" customHeight="1" x14ac:dyDescent="0.25">
      <c r="A26" s="993"/>
      <c r="B26" s="1002"/>
      <c r="C26" s="998"/>
      <c r="D26" s="366"/>
      <c r="E26" s="366"/>
      <c r="F26" s="367"/>
      <c r="G26" s="367"/>
      <c r="H26" s="368"/>
      <c r="I26" s="369"/>
      <c r="J26" s="367"/>
      <c r="K26" s="370"/>
    </row>
    <row r="27" spans="1:11" ht="11.25" customHeight="1" x14ac:dyDescent="0.25">
      <c r="A27" s="358" t="s">
        <v>1366</v>
      </c>
      <c r="B27" s="1002"/>
      <c r="C27" s="365"/>
      <c r="D27" s="366"/>
      <c r="E27" s="366"/>
      <c r="F27" s="367"/>
      <c r="G27" s="367"/>
      <c r="H27" s="368"/>
      <c r="I27" s="369"/>
      <c r="J27" s="367"/>
      <c r="K27" s="370"/>
    </row>
    <row r="28" spans="1:11" ht="11.25" customHeight="1" x14ac:dyDescent="0.25">
      <c r="A28" s="993" t="s">
        <v>1345</v>
      </c>
      <c r="B28" s="1002">
        <v>13</v>
      </c>
      <c r="C28" s="371"/>
      <c r="D28" s="372"/>
      <c r="E28" s="372"/>
      <c r="F28" s="372"/>
      <c r="G28" s="372"/>
      <c r="H28" s="996"/>
      <c r="I28" s="994"/>
      <c r="J28" s="372"/>
      <c r="K28" s="996"/>
    </row>
    <row r="29" spans="1:11" ht="11.25" customHeight="1" x14ac:dyDescent="0.25">
      <c r="A29" s="798" t="s">
        <v>2007</v>
      </c>
      <c r="B29" s="1005">
        <v>2</v>
      </c>
      <c r="C29" s="371"/>
      <c r="D29" s="372"/>
      <c r="E29" s="372"/>
      <c r="F29" s="373"/>
      <c r="G29" s="373"/>
      <c r="H29" s="374">
        <v>4630</v>
      </c>
      <c r="I29" s="995">
        <v>4630</v>
      </c>
      <c r="J29" s="373">
        <v>4630</v>
      </c>
      <c r="K29" s="374">
        <v>4630</v>
      </c>
    </row>
    <row r="30" spans="1:11" ht="5.0999999999999996" customHeight="1" x14ac:dyDescent="0.25">
      <c r="A30" s="351"/>
      <c r="B30" s="1003"/>
      <c r="C30" s="375"/>
      <c r="D30" s="376"/>
      <c r="E30" s="376"/>
      <c r="F30" s="377"/>
      <c r="G30" s="377"/>
      <c r="H30" s="378"/>
      <c r="I30" s="379"/>
      <c r="J30" s="377"/>
      <c r="K30" s="380"/>
    </row>
    <row r="31" spans="1:11" ht="11.25" customHeight="1" x14ac:dyDescent="0.25">
      <c r="A31" s="358" t="s">
        <v>82</v>
      </c>
      <c r="B31" s="1002"/>
      <c r="C31" s="365"/>
      <c r="D31" s="366"/>
      <c r="E31" s="366"/>
      <c r="F31" s="367"/>
      <c r="G31" s="367"/>
      <c r="H31" s="368"/>
      <c r="I31" s="369"/>
      <c r="J31" s="367"/>
      <c r="K31" s="370"/>
    </row>
    <row r="32" spans="1:11" ht="11.25" customHeight="1" x14ac:dyDescent="0.25">
      <c r="A32" s="798" t="s">
        <v>83</v>
      </c>
      <c r="B32" s="1005"/>
      <c r="C32" s="371"/>
      <c r="D32" s="372"/>
      <c r="E32" s="372"/>
      <c r="F32" s="109"/>
      <c r="G32" s="109">
        <v>628999</v>
      </c>
      <c r="H32" s="381">
        <v>641578.98</v>
      </c>
      <c r="I32" s="382">
        <v>628999</v>
      </c>
      <c r="J32" s="109">
        <v>644723.97499999998</v>
      </c>
      <c r="K32" s="110">
        <v>660842.07437499997</v>
      </c>
    </row>
    <row r="33" spans="1:11" ht="11.25" customHeight="1" x14ac:dyDescent="0.25">
      <c r="A33" s="798" t="s">
        <v>84</v>
      </c>
      <c r="B33" s="1005"/>
      <c r="C33" s="371"/>
      <c r="D33" s="372"/>
      <c r="E33" s="372"/>
      <c r="F33" s="109"/>
      <c r="G33" s="109"/>
      <c r="H33" s="381">
        <v>0</v>
      </c>
      <c r="I33" s="382">
        <v>0</v>
      </c>
      <c r="J33" s="109">
        <v>0</v>
      </c>
      <c r="K33" s="110">
        <v>0</v>
      </c>
    </row>
    <row r="34" spans="1:11" ht="11.25" customHeight="1" x14ac:dyDescent="0.25">
      <c r="A34" s="798" t="s">
        <v>85</v>
      </c>
      <c r="B34" s="1005"/>
      <c r="C34" s="371"/>
      <c r="D34" s="372"/>
      <c r="E34" s="372"/>
      <c r="F34" s="109"/>
      <c r="G34" s="109">
        <v>178001</v>
      </c>
      <c r="H34" s="381">
        <v>181561.02</v>
      </c>
      <c r="I34" s="382">
        <v>239116</v>
      </c>
      <c r="J34" s="109">
        <v>255353</v>
      </c>
      <c r="K34" s="110">
        <v>262762</v>
      </c>
    </row>
    <row r="35" spans="1:11" ht="11.25" customHeight="1" x14ac:dyDescent="0.25">
      <c r="A35" s="798" t="s">
        <v>86</v>
      </c>
      <c r="B35" s="1005"/>
      <c r="C35" s="371"/>
      <c r="D35" s="372"/>
      <c r="E35" s="372"/>
      <c r="F35" s="109"/>
      <c r="G35" s="109"/>
      <c r="H35" s="381">
        <v>0</v>
      </c>
      <c r="I35" s="382">
        <v>8400</v>
      </c>
      <c r="J35" s="109">
        <v>160501.91774062222</v>
      </c>
      <c r="K35" s="110">
        <v>165158.37325065763</v>
      </c>
    </row>
    <row r="36" spans="1:11" ht="11.25" customHeight="1" x14ac:dyDescent="0.25">
      <c r="A36" s="798" t="s">
        <v>87</v>
      </c>
      <c r="B36" s="1006"/>
      <c r="C36" s="383"/>
      <c r="D36" s="384"/>
      <c r="E36" s="384"/>
      <c r="F36" s="385"/>
      <c r="G36" s="385"/>
      <c r="H36" s="386">
        <v>0</v>
      </c>
      <c r="I36" s="387">
        <v>4630</v>
      </c>
      <c r="J36" s="385">
        <v>4630</v>
      </c>
      <c r="K36" s="388">
        <v>4630</v>
      </c>
    </row>
    <row r="37" spans="1:11" ht="5.0999999999999996" customHeight="1" x14ac:dyDescent="0.25">
      <c r="A37" s="358"/>
      <c r="B37" s="1002"/>
      <c r="C37" s="365"/>
      <c r="D37" s="366"/>
      <c r="E37" s="366"/>
      <c r="F37" s="367"/>
      <c r="G37" s="367"/>
      <c r="H37" s="368"/>
      <c r="I37" s="369"/>
      <c r="J37" s="367"/>
      <c r="K37" s="370"/>
    </row>
    <row r="38" spans="1:11" ht="11.25" customHeight="1" x14ac:dyDescent="0.25">
      <c r="A38" s="358" t="s">
        <v>1346</v>
      </c>
      <c r="B38" s="1002">
        <v>3</v>
      </c>
      <c r="C38" s="365"/>
      <c r="D38" s="366"/>
      <c r="E38" s="366"/>
      <c r="F38" s="367"/>
      <c r="G38" s="367"/>
      <c r="H38" s="368"/>
      <c r="I38" s="369"/>
      <c r="J38" s="367"/>
      <c r="K38" s="370"/>
    </row>
    <row r="39" spans="1:11" ht="11.25" customHeight="1" x14ac:dyDescent="0.25">
      <c r="A39" s="798" t="s">
        <v>88</v>
      </c>
      <c r="B39" s="1005"/>
      <c r="C39" s="371"/>
      <c r="D39" s="372"/>
      <c r="E39" s="372"/>
      <c r="F39" s="389"/>
      <c r="G39" s="389">
        <v>138401.76</v>
      </c>
      <c r="H39" s="390">
        <v>141169.79520000002</v>
      </c>
      <c r="I39" s="391">
        <v>213769.704</v>
      </c>
      <c r="J39" s="389">
        <v>229373.04660000009</v>
      </c>
      <c r="K39" s="392">
        <v>236132.547765</v>
      </c>
    </row>
    <row r="40" spans="1:11" ht="11.25" customHeight="1" x14ac:dyDescent="0.25">
      <c r="A40" s="798" t="s">
        <v>89</v>
      </c>
      <c r="B40" s="1005"/>
      <c r="C40" s="383"/>
      <c r="D40" s="384"/>
      <c r="E40" s="384"/>
      <c r="F40" s="393"/>
      <c r="G40" s="393">
        <v>21295.56</v>
      </c>
      <c r="H40" s="394">
        <v>21721.4712</v>
      </c>
      <c r="I40" s="395">
        <v>25346.296000000002</v>
      </c>
      <c r="J40" s="393">
        <v>25979.9533999999</v>
      </c>
      <c r="K40" s="396">
        <v>26629.452234999997</v>
      </c>
    </row>
    <row r="41" spans="1:11" ht="11.25" customHeight="1" x14ac:dyDescent="0.25">
      <c r="A41" s="397" t="s">
        <v>1061</v>
      </c>
      <c r="B41" s="1002"/>
      <c r="C41" s="352">
        <f t="shared" ref="C41:K41" si="1">SUM(C39:C40)</f>
        <v>0</v>
      </c>
      <c r="D41" s="353">
        <f t="shared" si="1"/>
        <v>0</v>
      </c>
      <c r="E41" s="353">
        <f t="shared" si="1"/>
        <v>0</v>
      </c>
      <c r="F41" s="398">
        <f t="shared" si="1"/>
        <v>0</v>
      </c>
      <c r="G41" s="398">
        <f t="shared" si="1"/>
        <v>159697.32</v>
      </c>
      <c r="H41" s="399">
        <f t="shared" si="1"/>
        <v>162891.26640000002</v>
      </c>
      <c r="I41" s="400">
        <f t="shared" si="1"/>
        <v>239116</v>
      </c>
      <c r="J41" s="398">
        <f t="shared" si="1"/>
        <v>255353</v>
      </c>
      <c r="K41" s="401">
        <f t="shared" si="1"/>
        <v>262762</v>
      </c>
    </row>
    <row r="42" spans="1:11" ht="11.25" customHeight="1" x14ac:dyDescent="0.25">
      <c r="A42" s="798" t="s">
        <v>1347</v>
      </c>
      <c r="B42" s="1005">
        <v>4</v>
      </c>
      <c r="C42" s="371"/>
      <c r="D42" s="372"/>
      <c r="E42" s="372"/>
      <c r="F42" s="389"/>
      <c r="G42" s="389"/>
      <c r="H42" s="390"/>
      <c r="I42" s="391"/>
      <c r="J42" s="389"/>
      <c r="K42" s="392"/>
    </row>
    <row r="43" spans="1:11" ht="11.25" customHeight="1" x14ac:dyDescent="0.25">
      <c r="A43" s="798" t="s">
        <v>90</v>
      </c>
      <c r="B43" s="1005"/>
      <c r="C43" s="371"/>
      <c r="D43" s="372"/>
      <c r="E43" s="372"/>
      <c r="F43" s="389"/>
      <c r="G43" s="389"/>
      <c r="H43" s="390"/>
      <c r="I43" s="391"/>
      <c r="J43" s="389"/>
      <c r="K43" s="392"/>
    </row>
    <row r="44" spans="1:11" ht="11.25" customHeight="1" x14ac:dyDescent="0.25">
      <c r="A44" s="798" t="s">
        <v>1348</v>
      </c>
      <c r="B44" s="1005">
        <v>5</v>
      </c>
      <c r="C44" s="371"/>
      <c r="D44" s="372"/>
      <c r="E44" s="372"/>
      <c r="F44" s="389"/>
      <c r="G44" s="389"/>
      <c r="H44" s="390"/>
      <c r="I44" s="391"/>
      <c r="J44" s="389"/>
      <c r="K44" s="392"/>
    </row>
    <row r="45" spans="1:11" ht="11.25" customHeight="1" x14ac:dyDescent="0.25">
      <c r="A45" s="402" t="s">
        <v>91</v>
      </c>
      <c r="B45" s="1003"/>
      <c r="C45" s="403">
        <f t="shared" ref="C45:K45" si="2">SUM(C42:C44)</f>
        <v>0</v>
      </c>
      <c r="D45" s="404">
        <f t="shared" si="2"/>
        <v>0</v>
      </c>
      <c r="E45" s="404">
        <f t="shared" si="2"/>
        <v>0</v>
      </c>
      <c r="F45" s="405">
        <f t="shared" si="2"/>
        <v>0</v>
      </c>
      <c r="G45" s="405">
        <f t="shared" si="2"/>
        <v>0</v>
      </c>
      <c r="H45" s="406">
        <f t="shared" si="2"/>
        <v>0</v>
      </c>
      <c r="I45" s="407">
        <f t="shared" si="2"/>
        <v>0</v>
      </c>
      <c r="J45" s="405">
        <f t="shared" si="2"/>
        <v>0</v>
      </c>
      <c r="K45" s="408">
        <f t="shared" si="2"/>
        <v>0</v>
      </c>
    </row>
    <row r="46" spans="1:11" ht="5.0999999999999996" customHeight="1" x14ac:dyDescent="0.25">
      <c r="A46" s="409"/>
      <c r="B46" s="1002"/>
      <c r="C46" s="352"/>
      <c r="D46" s="353"/>
      <c r="E46" s="353"/>
      <c r="F46" s="410"/>
      <c r="G46" s="410"/>
      <c r="H46" s="411"/>
      <c r="I46" s="412"/>
      <c r="J46" s="410"/>
      <c r="K46" s="413"/>
    </row>
    <row r="47" spans="1:11" ht="11.25" customHeight="1" x14ac:dyDescent="0.25">
      <c r="A47" s="414" t="s">
        <v>1349</v>
      </c>
      <c r="B47" s="1002">
        <v>6</v>
      </c>
      <c r="C47" s="415"/>
      <c r="D47" s="416"/>
      <c r="E47" s="416"/>
      <c r="F47" s="417"/>
      <c r="G47" s="417"/>
      <c r="H47" s="418"/>
      <c r="I47" s="419"/>
      <c r="J47" s="420"/>
      <c r="K47" s="421"/>
    </row>
    <row r="48" spans="1:11" ht="11.25" customHeight="1" x14ac:dyDescent="0.25">
      <c r="A48" s="409" t="s">
        <v>92</v>
      </c>
      <c r="B48" s="1005"/>
      <c r="C48" s="422"/>
      <c r="D48" s="423"/>
      <c r="E48" s="423"/>
      <c r="F48" s="424"/>
      <c r="G48" s="424"/>
      <c r="H48" s="425"/>
      <c r="I48" s="426"/>
      <c r="J48" s="424"/>
      <c r="K48" s="427"/>
    </row>
    <row r="49" spans="1:13" ht="11.25" customHeight="1" x14ac:dyDescent="0.25">
      <c r="A49" s="409" t="s">
        <v>93</v>
      </c>
      <c r="B49" s="1005"/>
      <c r="C49" s="422"/>
      <c r="D49" s="423"/>
      <c r="E49" s="423"/>
      <c r="F49" s="424"/>
      <c r="G49" s="424"/>
      <c r="H49" s="425"/>
      <c r="I49" s="426"/>
      <c r="J49" s="424"/>
      <c r="K49" s="427"/>
    </row>
    <row r="50" spans="1:13" ht="11.25" customHeight="1" x14ac:dyDescent="0.25">
      <c r="A50" s="409" t="s">
        <v>94</v>
      </c>
      <c r="B50" s="1005"/>
      <c r="C50" s="428"/>
      <c r="D50" s="429"/>
      <c r="E50" s="429"/>
      <c r="F50" s="424"/>
      <c r="G50" s="424"/>
      <c r="H50" s="425"/>
      <c r="I50" s="426"/>
      <c r="J50" s="424"/>
      <c r="K50" s="427"/>
    </row>
    <row r="51" spans="1:13" ht="11.25" customHeight="1" x14ac:dyDescent="0.25">
      <c r="A51" s="409" t="s">
        <v>95</v>
      </c>
      <c r="B51" s="1005"/>
      <c r="C51" s="422"/>
      <c r="D51" s="423"/>
      <c r="E51" s="423"/>
      <c r="F51" s="430"/>
      <c r="G51" s="430"/>
      <c r="H51" s="431"/>
      <c r="I51" s="432"/>
      <c r="J51" s="430"/>
      <c r="K51" s="433"/>
    </row>
    <row r="52" spans="1:13" ht="11.25" customHeight="1" x14ac:dyDescent="0.25">
      <c r="A52" s="409" t="s">
        <v>96</v>
      </c>
      <c r="B52" s="1005"/>
      <c r="C52" s="422"/>
      <c r="D52" s="423"/>
      <c r="E52" s="423"/>
      <c r="F52" s="430"/>
      <c r="G52" s="430"/>
      <c r="H52" s="431"/>
      <c r="I52" s="432"/>
      <c r="J52" s="430"/>
      <c r="K52" s="433"/>
    </row>
    <row r="53" spans="1:13" ht="11.25" customHeight="1" x14ac:dyDescent="0.25">
      <c r="A53" s="409" t="s">
        <v>97</v>
      </c>
      <c r="B53" s="1005"/>
      <c r="C53" s="422"/>
      <c r="D53" s="423"/>
      <c r="E53" s="423"/>
      <c r="F53" s="430"/>
      <c r="G53" s="430"/>
      <c r="H53" s="431"/>
      <c r="I53" s="432"/>
      <c r="J53" s="430"/>
      <c r="K53" s="433"/>
    </row>
    <row r="54" spans="1:13" ht="13.5" customHeight="1" x14ac:dyDescent="0.25">
      <c r="A54" s="434"/>
      <c r="B54" s="1002"/>
      <c r="C54" s="352"/>
      <c r="D54" s="353"/>
      <c r="E54" s="353"/>
      <c r="F54" s="417"/>
      <c r="G54" s="417"/>
      <c r="H54" s="435"/>
      <c r="I54" s="436"/>
      <c r="J54" s="417"/>
      <c r="K54" s="437"/>
    </row>
    <row r="55" spans="1:13" ht="13.5" customHeight="1" x14ac:dyDescent="0.25">
      <c r="A55" s="414" t="s">
        <v>1350</v>
      </c>
      <c r="B55" s="1002">
        <v>7</v>
      </c>
      <c r="C55" s="352"/>
      <c r="D55" s="353"/>
      <c r="E55" s="353"/>
      <c r="F55" s="417"/>
      <c r="G55" s="417"/>
      <c r="H55" s="435"/>
      <c r="I55" s="436"/>
      <c r="J55" s="417"/>
      <c r="K55" s="437"/>
    </row>
    <row r="56" spans="1:13" ht="11.25" customHeight="1" x14ac:dyDescent="0.25">
      <c r="A56" s="409" t="s">
        <v>98</v>
      </c>
      <c r="B56" s="1005"/>
      <c r="C56" s="422"/>
      <c r="D56" s="423"/>
      <c r="E56" s="423"/>
      <c r="F56" s="424" t="s">
        <v>99</v>
      </c>
      <c r="G56" s="424" t="s">
        <v>99</v>
      </c>
      <c r="H56" s="425" t="s">
        <v>99</v>
      </c>
      <c r="I56" s="426" t="s">
        <v>99</v>
      </c>
      <c r="J56" s="424" t="s">
        <v>99</v>
      </c>
      <c r="K56" s="427" t="s">
        <v>99</v>
      </c>
    </row>
    <row r="57" spans="1:13" ht="11.25" customHeight="1" x14ac:dyDescent="0.25">
      <c r="A57" s="409" t="s">
        <v>100</v>
      </c>
      <c r="B57" s="1005"/>
      <c r="C57" s="422"/>
      <c r="D57" s="423"/>
      <c r="E57" s="423"/>
      <c r="F57" s="424" t="s">
        <v>99</v>
      </c>
      <c r="G57" s="424" t="s">
        <v>99</v>
      </c>
      <c r="H57" s="425" t="s">
        <v>99</v>
      </c>
      <c r="I57" s="426" t="s">
        <v>99</v>
      </c>
      <c r="J57" s="424" t="s">
        <v>99</v>
      </c>
      <c r="K57" s="427" t="s">
        <v>99</v>
      </c>
    </row>
    <row r="58" spans="1:13" ht="11.25" customHeight="1" x14ac:dyDescent="0.25">
      <c r="A58" s="409" t="s">
        <v>101</v>
      </c>
      <c r="B58" s="1005"/>
      <c r="C58" s="422"/>
      <c r="D58" s="423"/>
      <c r="E58" s="423"/>
      <c r="F58" s="424" t="s">
        <v>99</v>
      </c>
      <c r="G58" s="424" t="s">
        <v>99</v>
      </c>
      <c r="H58" s="425" t="s">
        <v>99</v>
      </c>
      <c r="I58" s="426" t="s">
        <v>99</v>
      </c>
      <c r="J58" s="424" t="s">
        <v>99</v>
      </c>
      <c r="K58" s="427" t="s">
        <v>99</v>
      </c>
    </row>
    <row r="59" spans="1:13" ht="11.25" customHeight="1" x14ac:dyDescent="0.25">
      <c r="A59" s="409" t="s">
        <v>102</v>
      </c>
      <c r="B59" s="1005"/>
      <c r="C59" s="422"/>
      <c r="D59" s="423"/>
      <c r="E59" s="423"/>
      <c r="F59" s="424" t="s">
        <v>99</v>
      </c>
      <c r="G59" s="424" t="s">
        <v>99</v>
      </c>
      <c r="H59" s="425" t="s">
        <v>99</v>
      </c>
      <c r="I59" s="426" t="s">
        <v>99</v>
      </c>
      <c r="J59" s="424" t="s">
        <v>99</v>
      </c>
      <c r="K59" s="427" t="s">
        <v>99</v>
      </c>
    </row>
    <row r="60" spans="1:13" ht="11.25" customHeight="1" x14ac:dyDescent="0.25">
      <c r="A60" s="409" t="s">
        <v>103</v>
      </c>
      <c r="B60" s="1005"/>
      <c r="C60" s="422"/>
      <c r="D60" s="423"/>
      <c r="E60" s="423"/>
      <c r="F60" s="424" t="s">
        <v>99</v>
      </c>
      <c r="G60" s="424" t="s">
        <v>99</v>
      </c>
      <c r="H60" s="425" t="s">
        <v>99</v>
      </c>
      <c r="I60" s="426" t="s">
        <v>99</v>
      </c>
      <c r="J60" s="424" t="s">
        <v>99</v>
      </c>
      <c r="K60" s="427" t="s">
        <v>99</v>
      </c>
    </row>
    <row r="61" spans="1:13" ht="5.0999999999999996" customHeight="1" x14ac:dyDescent="0.25">
      <c r="A61" s="438"/>
      <c r="B61" s="1007"/>
      <c r="C61" s="439"/>
      <c r="D61" s="440"/>
      <c r="E61" s="440"/>
      <c r="F61" s="441"/>
      <c r="G61" s="441"/>
      <c r="H61" s="442"/>
      <c r="I61" s="443"/>
      <c r="J61" s="444"/>
      <c r="K61" s="445"/>
    </row>
    <row r="62" spans="1:13" s="1094" customFormat="1" ht="18.75" customHeight="1" x14ac:dyDescent="0.3">
      <c r="A62" s="1093" t="s">
        <v>1457</v>
      </c>
      <c r="B62" s="58"/>
      <c r="C62" s="5"/>
      <c r="D62" s="5"/>
      <c r="E62" s="5"/>
      <c r="F62" s="5"/>
      <c r="G62" s="84"/>
      <c r="H62" s="84"/>
      <c r="I62" s="84"/>
      <c r="J62" s="84"/>
      <c r="K62" s="84"/>
      <c r="L62" s="84"/>
      <c r="M62" s="84"/>
    </row>
    <row r="63" spans="1:13" s="1094" customFormat="1" ht="24.95" customHeight="1" x14ac:dyDescent="0.25">
      <c r="A63" s="1446" t="s">
        <v>1446</v>
      </c>
      <c r="B63" s="1095"/>
      <c r="C63" s="1096"/>
      <c r="D63" s="1097"/>
      <c r="E63" s="1098" t="str">
        <f>Head1B</f>
        <v>2017/18</v>
      </c>
      <c r="F63" s="1099" t="str">
        <f>Head1A</f>
        <v>2018/19</v>
      </c>
      <c r="G63" s="1100" t="str">
        <f>Head1</f>
        <v>2019/20</v>
      </c>
      <c r="H63" s="1429" t="str">
        <f>Head2</f>
        <v>Budget Year 2020/21</v>
      </c>
      <c r="I63" s="1430"/>
      <c r="J63" s="1447"/>
      <c r="K63" s="1429" t="str">
        <f>Head3</f>
        <v>2020/21 Medium Term Revenue &amp; Expenditure Framework</v>
      </c>
      <c r="L63" s="1430"/>
      <c r="M63" s="1447"/>
    </row>
    <row r="64" spans="1:13" s="1094" customFormat="1" ht="24.95" customHeight="1" x14ac:dyDescent="0.25">
      <c r="A64" s="1446"/>
      <c r="B64" s="1101" t="s">
        <v>1344</v>
      </c>
      <c r="C64" s="1102"/>
      <c r="D64" s="1103"/>
      <c r="E64" s="1104" t="str">
        <f>Head5A</f>
        <v>Outcome</v>
      </c>
      <c r="F64" s="1105" t="str">
        <f>Head5A</f>
        <v>Outcome</v>
      </c>
      <c r="G64" s="1106" t="str">
        <f>Head5A</f>
        <v>Outcome</v>
      </c>
      <c r="H64" s="1107" t="str">
        <f>Head6</f>
        <v>Original Budget</v>
      </c>
      <c r="I64" s="1105" t="str">
        <f>Head7</f>
        <v>Adjusted Budget</v>
      </c>
      <c r="J64" s="1106" t="str">
        <f>Head8</f>
        <v>Full Year Forecast</v>
      </c>
      <c r="K64" s="1107" t="str">
        <f>Head9</f>
        <v>Budget Year 2020/21</v>
      </c>
      <c r="L64" s="1105" t="str">
        <f>Head10</f>
        <v>Budget Year +1 2021/22</v>
      </c>
      <c r="M64" s="1106" t="str">
        <f>Head11</f>
        <v>Budget Year +2 2022/23</v>
      </c>
    </row>
    <row r="65" spans="1:13" s="1094" customFormat="1" ht="11.25" customHeight="1" x14ac:dyDescent="0.25">
      <c r="A65" s="5"/>
      <c r="B65" s="137"/>
      <c r="C65" s="1108" t="s">
        <v>1447</v>
      </c>
      <c r="D65" s="1109"/>
      <c r="E65" s="1110"/>
      <c r="F65" s="1111"/>
      <c r="G65" s="1112"/>
      <c r="H65" s="1113"/>
      <c r="I65" s="1114"/>
      <c r="J65" s="1115"/>
      <c r="K65" s="1116"/>
      <c r="L65" s="1114"/>
      <c r="M65" s="1117"/>
    </row>
    <row r="66" spans="1:13" s="1094" customFormat="1" ht="11.25" customHeight="1" x14ac:dyDescent="0.25">
      <c r="A66" s="5"/>
      <c r="B66" s="137"/>
      <c r="C66" s="1118" t="s">
        <v>598</v>
      </c>
      <c r="D66" s="1119"/>
      <c r="E66" s="704"/>
      <c r="F66" s="257"/>
      <c r="G66" s="1120"/>
      <c r="H66" s="1121"/>
      <c r="I66" s="132"/>
      <c r="J66" s="888"/>
      <c r="K66" s="1122"/>
      <c r="L66" s="132"/>
      <c r="M66" s="1123"/>
    </row>
    <row r="67" spans="1:13" s="5" customFormat="1" ht="11.25" customHeight="1" x14ac:dyDescent="0.25">
      <c r="B67" s="137"/>
      <c r="C67" s="1124" t="s">
        <v>1053</v>
      </c>
      <c r="D67" s="1119"/>
      <c r="E67" s="1125">
        <v>0</v>
      </c>
      <c r="F67" s="1126">
        <v>0</v>
      </c>
      <c r="G67" s="1127">
        <v>0</v>
      </c>
      <c r="H67" s="1128">
        <v>65380.836015977446</v>
      </c>
      <c r="I67" s="1126">
        <v>65380.836015977446</v>
      </c>
      <c r="J67" s="1129">
        <v>62851</v>
      </c>
      <c r="K67" s="1125">
        <v>67118.851950517521</v>
      </c>
      <c r="L67" s="1126">
        <v>69066.287751551499</v>
      </c>
      <c r="M67" s="1127">
        <v>71096.257611368768</v>
      </c>
    </row>
    <row r="68" spans="1:13" s="5" customFormat="1" ht="11.25" customHeight="1" x14ac:dyDescent="0.25">
      <c r="B68" s="137"/>
      <c r="C68" s="1124" t="s">
        <v>1054</v>
      </c>
      <c r="D68" s="1119"/>
      <c r="E68" s="1125">
        <v>0</v>
      </c>
      <c r="F68" s="1126">
        <v>0</v>
      </c>
      <c r="G68" s="1127">
        <v>0</v>
      </c>
      <c r="H68" s="1128">
        <v>64634.479440452589</v>
      </c>
      <c r="I68" s="1126">
        <v>64634.479440452589</v>
      </c>
      <c r="J68" s="1129">
        <v>118780</v>
      </c>
      <c r="K68" s="1125">
        <v>126845.67046956248</v>
      </c>
      <c r="L68" s="1126">
        <v>130526.0641696916</v>
      </c>
      <c r="M68" s="1127">
        <v>134362.43622342334</v>
      </c>
    </row>
    <row r="69" spans="1:13" s="5" customFormat="1" ht="11.25" customHeight="1" x14ac:dyDescent="0.25">
      <c r="B69" s="1130">
        <v>8</v>
      </c>
      <c r="C69" s="1124" t="s">
        <v>1055</v>
      </c>
      <c r="D69" s="1119"/>
      <c r="E69" s="1125">
        <v>0</v>
      </c>
      <c r="F69" s="1126">
        <v>0</v>
      </c>
      <c r="G69" s="1127">
        <v>0</v>
      </c>
      <c r="H69" s="1128">
        <v>76128.370703535387</v>
      </c>
      <c r="I69" s="1126">
        <v>76128.370703535387</v>
      </c>
      <c r="J69" s="1129">
        <v>10326</v>
      </c>
      <c r="K69" s="1125">
        <v>11027.179603205102</v>
      </c>
      <c r="L69" s="1126">
        <v>11347.130313320722</v>
      </c>
      <c r="M69" s="1127">
        <v>11680.640818682181</v>
      </c>
    </row>
    <row r="70" spans="1:13" s="5" customFormat="1" ht="11.25" customHeight="1" x14ac:dyDescent="0.25">
      <c r="B70" s="1130">
        <v>10</v>
      </c>
      <c r="C70" s="1124" t="s">
        <v>1056</v>
      </c>
      <c r="D70" s="1119"/>
      <c r="E70" s="1125">
        <v>0</v>
      </c>
      <c r="F70" s="1126">
        <v>0</v>
      </c>
      <c r="G70" s="1127">
        <v>0</v>
      </c>
      <c r="H70" s="1128">
        <v>50156.654588421421</v>
      </c>
      <c r="I70" s="1126">
        <v>50156.654588421421</v>
      </c>
      <c r="J70" s="1129">
        <v>47159</v>
      </c>
      <c r="K70" s="1125">
        <v>50361.297976714064</v>
      </c>
      <c r="L70" s="1126">
        <v>51822.51776543598</v>
      </c>
      <c r="M70" s="1127">
        <v>53345.665346526534</v>
      </c>
    </row>
    <row r="71" spans="1:13" s="5" customFormat="1" ht="11.25" customHeight="1" x14ac:dyDescent="0.25">
      <c r="B71" s="1130"/>
      <c r="C71" s="1170" t="s">
        <v>1117</v>
      </c>
      <c r="D71" s="1119"/>
      <c r="E71" s="1131">
        <f>SUM(E67:E70)</f>
        <v>0</v>
      </c>
      <c r="F71" s="701">
        <f t="shared" ref="F71:M71" si="3">SUM(F67:F70)</f>
        <v>0</v>
      </c>
      <c r="G71" s="1132">
        <f t="shared" si="3"/>
        <v>0</v>
      </c>
      <c r="H71" s="1133">
        <f t="shared" si="3"/>
        <v>256300.34074838684</v>
      </c>
      <c r="I71" s="701">
        <f t="shared" si="3"/>
        <v>256300.34074838684</v>
      </c>
      <c r="J71" s="1134">
        <f t="shared" si="3"/>
        <v>239116</v>
      </c>
      <c r="K71" s="1131">
        <f t="shared" si="3"/>
        <v>255352.99999999916</v>
      </c>
      <c r="L71" s="701">
        <f t="shared" si="3"/>
        <v>262761.99999999983</v>
      </c>
      <c r="M71" s="1132">
        <f t="shared" si="3"/>
        <v>270485.00000000081</v>
      </c>
    </row>
    <row r="72" spans="1:13" s="5" customFormat="1" ht="11.25" customHeight="1" x14ac:dyDescent="0.25">
      <c r="B72" s="1130">
        <v>9</v>
      </c>
      <c r="C72" s="1124" t="s">
        <v>1057</v>
      </c>
      <c r="D72" s="1119"/>
      <c r="E72" s="1125">
        <v>0</v>
      </c>
      <c r="F72" s="1126">
        <v>0</v>
      </c>
      <c r="G72" s="1127">
        <v>0</v>
      </c>
      <c r="H72" s="1128">
        <v>0</v>
      </c>
      <c r="I72" s="1126">
        <v>0</v>
      </c>
      <c r="J72" s="1129">
        <v>0</v>
      </c>
      <c r="K72" s="1125">
        <v>0</v>
      </c>
      <c r="L72" s="1126">
        <v>0</v>
      </c>
      <c r="M72" s="1127">
        <v>0</v>
      </c>
    </row>
    <row r="73" spans="1:13" s="5" customFormat="1" ht="11.25" customHeight="1" x14ac:dyDescent="0.25">
      <c r="B73" s="1130">
        <v>10</v>
      </c>
      <c r="C73" s="1124" t="s">
        <v>1058</v>
      </c>
      <c r="D73" s="1119"/>
      <c r="E73" s="1125">
        <v>0</v>
      </c>
      <c r="F73" s="1126">
        <v>0</v>
      </c>
      <c r="G73" s="1127">
        <v>0</v>
      </c>
      <c r="H73" s="1128">
        <v>0</v>
      </c>
      <c r="I73" s="1126">
        <v>0</v>
      </c>
      <c r="J73" s="1129">
        <v>0</v>
      </c>
      <c r="K73" s="1125">
        <v>0</v>
      </c>
      <c r="L73" s="1126">
        <v>0</v>
      </c>
      <c r="M73" s="1127">
        <v>0</v>
      </c>
    </row>
    <row r="74" spans="1:13" s="5" customFormat="1" ht="11.25" customHeight="1" x14ac:dyDescent="0.25">
      <c r="B74" s="137"/>
      <c r="C74" s="1124" t="s">
        <v>1060</v>
      </c>
      <c r="D74" s="1119"/>
      <c r="E74" s="1125">
        <v>0</v>
      </c>
      <c r="F74" s="1126">
        <v>0</v>
      </c>
      <c r="G74" s="1127">
        <v>0</v>
      </c>
      <c r="H74" s="1128">
        <v>0</v>
      </c>
      <c r="I74" s="1126">
        <v>0</v>
      </c>
      <c r="J74" s="1129">
        <v>0</v>
      </c>
      <c r="K74" s="1125">
        <v>0</v>
      </c>
      <c r="L74" s="1126">
        <v>0</v>
      </c>
      <c r="M74" s="1127">
        <v>0</v>
      </c>
    </row>
    <row r="75" spans="1:13" s="5" customFormat="1" ht="11.25" customHeight="1" x14ac:dyDescent="0.25">
      <c r="B75" s="137"/>
      <c r="C75" s="1170" t="s">
        <v>1448</v>
      </c>
      <c r="D75" s="1119"/>
      <c r="E75" s="1135">
        <f>SUM(E72:E74)</f>
        <v>0</v>
      </c>
      <c r="F75" s="893">
        <f t="shared" ref="F75:M75" si="4">SUM(F72:F74)</f>
        <v>0</v>
      </c>
      <c r="G75" s="1136">
        <f t="shared" si="4"/>
        <v>0</v>
      </c>
      <c r="H75" s="1137">
        <f t="shared" si="4"/>
        <v>0</v>
      </c>
      <c r="I75" s="893">
        <f t="shared" si="4"/>
        <v>0</v>
      </c>
      <c r="J75" s="1138">
        <f t="shared" si="4"/>
        <v>0</v>
      </c>
      <c r="K75" s="1135">
        <f t="shared" si="4"/>
        <v>0</v>
      </c>
      <c r="L75" s="893">
        <f t="shared" si="4"/>
        <v>0</v>
      </c>
      <c r="M75" s="1136">
        <f t="shared" si="4"/>
        <v>0</v>
      </c>
    </row>
    <row r="76" spans="1:13" s="5" customFormat="1" ht="11.25" customHeight="1" x14ac:dyDescent="0.25">
      <c r="B76" s="137"/>
      <c r="C76" s="1139" t="s">
        <v>1061</v>
      </c>
      <c r="D76" s="1119"/>
      <c r="E76" s="1140">
        <f>E71+E75</f>
        <v>0</v>
      </c>
      <c r="F76" s="895">
        <f t="shared" ref="F76:M76" si="5">F71+F75</f>
        <v>0</v>
      </c>
      <c r="G76" s="1141">
        <f t="shared" si="5"/>
        <v>0</v>
      </c>
      <c r="H76" s="1142">
        <f t="shared" si="5"/>
        <v>256300.34074838684</v>
      </c>
      <c r="I76" s="895">
        <f t="shared" si="5"/>
        <v>256300.34074838684</v>
      </c>
      <c r="J76" s="1143">
        <f t="shared" si="5"/>
        <v>239116</v>
      </c>
      <c r="K76" s="1140">
        <f t="shared" si="5"/>
        <v>255352.99999999916</v>
      </c>
      <c r="L76" s="895">
        <f t="shared" si="5"/>
        <v>262761.99999999983</v>
      </c>
      <c r="M76" s="1141">
        <f t="shared" si="5"/>
        <v>270485.00000000081</v>
      </c>
    </row>
    <row r="77" spans="1:13" s="5" customFormat="1" ht="11.25" customHeight="1" x14ac:dyDescent="0.25">
      <c r="B77" s="137"/>
      <c r="C77" s="1118" t="s">
        <v>599</v>
      </c>
      <c r="D77" s="1119"/>
      <c r="E77" s="1144"/>
      <c r="F77" s="891"/>
      <c r="G77" s="1145"/>
      <c r="H77" s="1146"/>
      <c r="I77" s="891"/>
      <c r="J77" s="1145"/>
      <c r="K77" s="1144"/>
      <c r="L77" s="891"/>
      <c r="M77" s="1147"/>
    </row>
    <row r="78" spans="1:13" s="5" customFormat="1" ht="11.25" customHeight="1" x14ac:dyDescent="0.25">
      <c r="B78" s="137"/>
      <c r="C78" s="1124" t="s">
        <v>1062</v>
      </c>
      <c r="D78" s="1119"/>
      <c r="E78" s="1125">
        <v>0</v>
      </c>
      <c r="F78" s="1126">
        <v>0</v>
      </c>
      <c r="G78" s="1127">
        <v>0</v>
      </c>
      <c r="H78" s="1128">
        <v>60414.493379744003</v>
      </c>
      <c r="I78" s="1126">
        <v>60414.493379744003</v>
      </c>
      <c r="J78" s="1129">
        <v>96619</v>
      </c>
      <c r="K78" s="1125">
        <v>103179.84370347412</v>
      </c>
      <c r="L78" s="1126">
        <v>106173.5796768095</v>
      </c>
      <c r="M78" s="1127">
        <v>109294.19283945901</v>
      </c>
    </row>
    <row r="79" spans="1:13" s="5" customFormat="1" ht="11.25" customHeight="1" x14ac:dyDescent="0.25">
      <c r="B79" s="137"/>
      <c r="C79" s="1124" t="s">
        <v>1063</v>
      </c>
      <c r="D79" s="1119"/>
      <c r="E79" s="1125">
        <v>0</v>
      </c>
      <c r="F79" s="1126">
        <v>0</v>
      </c>
      <c r="G79" s="1127">
        <v>0</v>
      </c>
      <c r="H79" s="1128">
        <v>6116.03513227038</v>
      </c>
      <c r="I79" s="1126">
        <v>6116.03513227038</v>
      </c>
      <c r="J79" s="1129">
        <v>5660</v>
      </c>
      <c r="K79" s="1125">
        <v>6044.3382291439939</v>
      </c>
      <c r="L79" s="1126">
        <v>6219.7131099549961</v>
      </c>
      <c r="M79" s="1127">
        <v>6402.5205339667973</v>
      </c>
    </row>
    <row r="80" spans="1:13" s="5" customFormat="1" ht="11.25" customHeight="1" x14ac:dyDescent="0.25">
      <c r="B80" s="137"/>
      <c r="C80" s="1124" t="s">
        <v>1064</v>
      </c>
      <c r="D80" s="1119"/>
      <c r="E80" s="1125">
        <v>0</v>
      </c>
      <c r="F80" s="1126">
        <v>0</v>
      </c>
      <c r="G80" s="1127">
        <v>0</v>
      </c>
      <c r="H80" s="1128">
        <v>2267.4081465977993</v>
      </c>
      <c r="I80" s="1126">
        <v>2267.4081465977993</v>
      </c>
      <c r="J80" s="1129">
        <v>1579</v>
      </c>
      <c r="K80" s="1125">
        <v>1686.2208593318669</v>
      </c>
      <c r="L80" s="1126">
        <v>1735.1461131835581</v>
      </c>
      <c r="M80" s="1127">
        <v>1786.1448627444474</v>
      </c>
    </row>
    <row r="81" spans="2:13" s="5" customFormat="1" ht="11.25" customHeight="1" x14ac:dyDescent="0.25">
      <c r="B81" s="137"/>
      <c r="C81" s="1124" t="s">
        <v>294</v>
      </c>
      <c r="D81" s="1119"/>
      <c r="E81" s="1125">
        <v>0</v>
      </c>
      <c r="F81" s="1126">
        <v>0</v>
      </c>
      <c r="G81" s="1127">
        <v>0</v>
      </c>
      <c r="H81" s="1128">
        <v>50718.34012126657</v>
      </c>
      <c r="I81" s="1126">
        <v>50718.34012126657</v>
      </c>
      <c r="J81" s="1129">
        <v>38840</v>
      </c>
      <c r="K81" s="1125">
        <v>41477.402265009317</v>
      </c>
      <c r="L81" s="1126">
        <v>42680.858160892589</v>
      </c>
      <c r="M81" s="1127">
        <v>43935.317586443532</v>
      </c>
    </row>
    <row r="82" spans="2:13" s="5" customFormat="1" ht="11.25" customHeight="1" x14ac:dyDescent="0.25">
      <c r="B82" s="137"/>
      <c r="C82" s="1124" t="s">
        <v>296</v>
      </c>
      <c r="D82" s="1119"/>
      <c r="E82" s="1125">
        <v>0</v>
      </c>
      <c r="F82" s="1126">
        <v>0</v>
      </c>
      <c r="G82" s="1127">
        <v>0</v>
      </c>
      <c r="H82" s="1128"/>
      <c r="I82" s="1126"/>
      <c r="J82" s="1129"/>
      <c r="K82" s="1125"/>
      <c r="L82" s="1126"/>
      <c r="M82" s="1127"/>
    </row>
    <row r="83" spans="2:13" s="5" customFormat="1" ht="11.25" customHeight="1" x14ac:dyDescent="0.25">
      <c r="B83" s="137"/>
      <c r="C83" s="1170" t="s">
        <v>1117</v>
      </c>
      <c r="D83" s="1119"/>
      <c r="E83" s="1131">
        <f>SUM(E78:E82)</f>
        <v>0</v>
      </c>
      <c r="F83" s="701">
        <f t="shared" ref="F83:M83" si="6">SUM(F78:F82)</f>
        <v>0</v>
      </c>
      <c r="G83" s="1132">
        <f t="shared" si="6"/>
        <v>0</v>
      </c>
      <c r="H83" s="1133">
        <f t="shared" si="6"/>
        <v>119516.27677987874</v>
      </c>
      <c r="I83" s="701">
        <f t="shared" si="6"/>
        <v>119516.27677987874</v>
      </c>
      <c r="J83" s="1134">
        <f t="shared" si="6"/>
        <v>142698</v>
      </c>
      <c r="K83" s="1131">
        <f t="shared" si="6"/>
        <v>152387.8050569593</v>
      </c>
      <c r="L83" s="701">
        <f t="shared" si="6"/>
        <v>156809.29706084065</v>
      </c>
      <c r="M83" s="1132">
        <f t="shared" si="6"/>
        <v>161418.17582261379</v>
      </c>
    </row>
    <row r="84" spans="2:13" s="5" customFormat="1" ht="11.25" customHeight="1" x14ac:dyDescent="0.25">
      <c r="B84" s="137"/>
      <c r="C84" s="1124" t="s">
        <v>295</v>
      </c>
      <c r="D84" s="1119"/>
      <c r="E84" s="1125">
        <v>0</v>
      </c>
      <c r="F84" s="1126">
        <v>0</v>
      </c>
      <c r="G84" s="1127">
        <v>0</v>
      </c>
      <c r="H84" s="1128"/>
      <c r="I84" s="1126"/>
      <c r="J84" s="1129">
        <v>96418</v>
      </c>
      <c r="K84" s="1125">
        <v>102965.19494303987</v>
      </c>
      <c r="L84" s="1126">
        <v>105952.70293915916</v>
      </c>
      <c r="M84" s="1127">
        <v>109066.82417738705</v>
      </c>
    </row>
    <row r="85" spans="2:13" s="5" customFormat="1" ht="11.25" customHeight="1" x14ac:dyDescent="0.25">
      <c r="B85" s="137"/>
      <c r="C85" s="1124" t="s">
        <v>297</v>
      </c>
      <c r="D85" s="1119"/>
      <c r="E85" s="1125">
        <v>0</v>
      </c>
      <c r="F85" s="1126">
        <v>0</v>
      </c>
      <c r="G85" s="1127">
        <v>0</v>
      </c>
      <c r="H85" s="1128"/>
      <c r="I85" s="1126"/>
      <c r="J85" s="1129"/>
      <c r="K85" s="1125"/>
      <c r="L85" s="1126"/>
      <c r="M85" s="1127"/>
    </row>
    <row r="86" spans="2:13" s="5" customFormat="1" ht="11.25" customHeight="1" x14ac:dyDescent="0.25">
      <c r="B86" s="137"/>
      <c r="C86" s="1124" t="s">
        <v>1065</v>
      </c>
      <c r="D86" s="1119"/>
      <c r="E86" s="1125">
        <v>0</v>
      </c>
      <c r="F86" s="1126">
        <v>0</v>
      </c>
      <c r="G86" s="1127">
        <v>0</v>
      </c>
      <c r="H86" s="1128"/>
      <c r="I86" s="1126"/>
      <c r="J86" s="1129"/>
      <c r="K86" s="1125"/>
      <c r="L86" s="1126"/>
      <c r="M86" s="1127"/>
    </row>
    <row r="87" spans="2:13" s="5" customFormat="1" ht="11.25" customHeight="1" x14ac:dyDescent="0.25">
      <c r="B87" s="137"/>
      <c r="C87" s="1170" t="s">
        <v>1448</v>
      </c>
      <c r="D87" s="1119"/>
      <c r="E87" s="1135">
        <f>SUM(E84:E86)</f>
        <v>0</v>
      </c>
      <c r="F87" s="893">
        <f t="shared" ref="F87:M87" si="7">SUM(F84:F86)</f>
        <v>0</v>
      </c>
      <c r="G87" s="1136">
        <f t="shared" si="7"/>
        <v>0</v>
      </c>
      <c r="H87" s="1137">
        <f t="shared" si="7"/>
        <v>0</v>
      </c>
      <c r="I87" s="893">
        <f t="shared" si="7"/>
        <v>0</v>
      </c>
      <c r="J87" s="1138">
        <f t="shared" si="7"/>
        <v>96418</v>
      </c>
      <c r="K87" s="1135">
        <f t="shared" si="7"/>
        <v>102965.19494303987</v>
      </c>
      <c r="L87" s="893">
        <f t="shared" si="7"/>
        <v>105952.70293915916</v>
      </c>
      <c r="M87" s="1136">
        <f t="shared" si="7"/>
        <v>109066.82417738705</v>
      </c>
    </row>
    <row r="88" spans="2:13" s="5" customFormat="1" ht="11.25" customHeight="1" x14ac:dyDescent="0.25">
      <c r="B88" s="137"/>
      <c r="C88" s="1139" t="s">
        <v>1061</v>
      </c>
      <c r="D88" s="1119"/>
      <c r="E88" s="1140">
        <f>E83+E87</f>
        <v>0</v>
      </c>
      <c r="F88" s="895">
        <f t="shared" ref="F88:M88" si="8">F83+F87</f>
        <v>0</v>
      </c>
      <c r="G88" s="1141">
        <f t="shared" si="8"/>
        <v>0</v>
      </c>
      <c r="H88" s="1142">
        <f t="shared" si="8"/>
        <v>119516.27677987874</v>
      </c>
      <c r="I88" s="895">
        <f t="shared" si="8"/>
        <v>119516.27677987874</v>
      </c>
      <c r="J88" s="1143">
        <f t="shared" si="8"/>
        <v>239116</v>
      </c>
      <c r="K88" s="1140">
        <f t="shared" si="8"/>
        <v>255352.99999999919</v>
      </c>
      <c r="L88" s="895">
        <f t="shared" si="8"/>
        <v>262761.99999999983</v>
      </c>
      <c r="M88" s="1141">
        <f t="shared" si="8"/>
        <v>270485.00000000081</v>
      </c>
    </row>
    <row r="89" spans="2:13" s="5" customFormat="1" ht="11.25" customHeight="1" x14ac:dyDescent="0.25">
      <c r="B89" s="137"/>
      <c r="C89" s="1118" t="s">
        <v>600</v>
      </c>
      <c r="D89" s="1119"/>
      <c r="E89" s="1144"/>
      <c r="F89" s="891"/>
      <c r="G89" s="1145"/>
      <c r="H89" s="1146"/>
      <c r="I89" s="891"/>
      <c r="J89" s="1145"/>
      <c r="K89" s="1144"/>
      <c r="L89" s="891"/>
      <c r="M89" s="1147"/>
    </row>
    <row r="90" spans="2:13" s="5" customFormat="1" ht="11.25" customHeight="1" x14ac:dyDescent="0.25">
      <c r="B90" s="137"/>
      <c r="C90" s="1124" t="s">
        <v>1449</v>
      </c>
      <c r="D90" s="1119"/>
      <c r="E90" s="1125">
        <v>0</v>
      </c>
      <c r="F90" s="1126">
        <v>0</v>
      </c>
      <c r="G90" s="1127">
        <v>0</v>
      </c>
      <c r="H90" s="1128">
        <v>119121.49488006924</v>
      </c>
      <c r="I90" s="1126">
        <v>119121.49488006924</v>
      </c>
      <c r="J90" s="1129">
        <v>225628</v>
      </c>
      <c r="K90" s="1125">
        <v>240949.10706100726</v>
      </c>
      <c r="L90" s="1126">
        <v>247940.18190334379</v>
      </c>
      <c r="M90" s="1127">
        <v>255227.54470633579</v>
      </c>
    </row>
    <row r="91" spans="2:13" s="5" customFormat="1" ht="11.25" customHeight="1" x14ac:dyDescent="0.25">
      <c r="B91" s="137"/>
      <c r="C91" s="1124" t="s">
        <v>1450</v>
      </c>
      <c r="D91" s="1119"/>
      <c r="E91" s="1125">
        <v>0</v>
      </c>
      <c r="F91" s="1126">
        <v>0</v>
      </c>
      <c r="G91" s="1127">
        <v>0</v>
      </c>
      <c r="H91" s="1128">
        <v>102997.20742243022</v>
      </c>
      <c r="I91" s="1126">
        <v>102997.20742243022</v>
      </c>
      <c r="J91" s="1129">
        <v>8026</v>
      </c>
      <c r="K91" s="1125">
        <v>8570.9997574398749</v>
      </c>
      <c r="L91" s="1126">
        <v>8819.6850566252288</v>
      </c>
      <c r="M91" s="1127">
        <v>9078.909859649737</v>
      </c>
    </row>
    <row r="92" spans="2:13" s="5" customFormat="1" ht="11.25" customHeight="1" x14ac:dyDescent="0.25">
      <c r="B92" s="137"/>
      <c r="C92" s="1170" t="s">
        <v>1117</v>
      </c>
      <c r="D92" s="1119"/>
      <c r="E92" s="1131">
        <f>SUM(E90:E91)</f>
        <v>0</v>
      </c>
      <c r="F92" s="701">
        <f t="shared" ref="F92:M92" si="9">SUM(F90:F91)</f>
        <v>0</v>
      </c>
      <c r="G92" s="1132">
        <f t="shared" si="9"/>
        <v>0</v>
      </c>
      <c r="H92" s="1133">
        <f t="shared" si="9"/>
        <v>222118.70230249944</v>
      </c>
      <c r="I92" s="701">
        <f t="shared" si="9"/>
        <v>222118.70230249944</v>
      </c>
      <c r="J92" s="1134">
        <f t="shared" si="9"/>
        <v>233654</v>
      </c>
      <c r="K92" s="1131">
        <f t="shared" si="9"/>
        <v>249520.10681844715</v>
      </c>
      <c r="L92" s="701">
        <f t="shared" si="9"/>
        <v>256759.86695996902</v>
      </c>
      <c r="M92" s="1132">
        <f t="shared" si="9"/>
        <v>264306.45456598554</v>
      </c>
    </row>
    <row r="93" spans="2:13" s="5" customFormat="1" ht="11.25" customHeight="1" x14ac:dyDescent="0.25">
      <c r="B93" s="137"/>
      <c r="C93" s="1124" t="s">
        <v>1066</v>
      </c>
      <c r="D93" s="1119"/>
      <c r="E93" s="1125">
        <v>0</v>
      </c>
      <c r="F93" s="1126">
        <v>0</v>
      </c>
      <c r="G93" s="1127">
        <v>0</v>
      </c>
      <c r="H93" s="1128">
        <v>19727.697004273017</v>
      </c>
      <c r="I93" s="1126">
        <v>19727.697004273017</v>
      </c>
      <c r="J93" s="1129">
        <v>0</v>
      </c>
      <c r="K93" s="1125">
        <v>0</v>
      </c>
      <c r="L93" s="1126">
        <v>0</v>
      </c>
      <c r="M93" s="1127">
        <v>0</v>
      </c>
    </row>
    <row r="94" spans="2:13" s="5" customFormat="1" ht="11.25" customHeight="1" x14ac:dyDescent="0.25">
      <c r="B94" s="137"/>
      <c r="C94" s="1124" t="s">
        <v>1067</v>
      </c>
      <c r="D94" s="1119"/>
      <c r="E94" s="1125">
        <v>0</v>
      </c>
      <c r="F94" s="1126">
        <v>0</v>
      </c>
      <c r="G94" s="1127">
        <v>0</v>
      </c>
      <c r="H94" s="1128">
        <v>21665.238674335542</v>
      </c>
      <c r="I94" s="1126">
        <v>21665.238674335542</v>
      </c>
      <c r="J94" s="1129">
        <v>0</v>
      </c>
      <c r="K94" s="1125">
        <v>0</v>
      </c>
      <c r="L94" s="1126">
        <v>0</v>
      </c>
      <c r="M94" s="1127">
        <v>0</v>
      </c>
    </row>
    <row r="95" spans="2:13" s="5" customFormat="1" ht="11.25" customHeight="1" x14ac:dyDescent="0.25">
      <c r="B95" s="137"/>
      <c r="C95" s="1124" t="s">
        <v>1068</v>
      </c>
      <c r="D95" s="1119"/>
      <c r="E95" s="1125">
        <v>0</v>
      </c>
      <c r="F95" s="1126">
        <v>0</v>
      </c>
      <c r="G95" s="1127">
        <v>0</v>
      </c>
      <c r="H95" s="1128">
        <v>2192.7956188920293</v>
      </c>
      <c r="I95" s="1126">
        <v>2192.7956188920293</v>
      </c>
      <c r="J95" s="1129">
        <v>5462</v>
      </c>
      <c r="K95" s="1125">
        <v>5832.8931815520309</v>
      </c>
      <c r="L95" s="1126">
        <v>6002.1330400307752</v>
      </c>
      <c r="M95" s="1127">
        <v>6178.5454340153083</v>
      </c>
    </row>
    <row r="96" spans="2:13" s="5" customFormat="1" ht="11.25" customHeight="1" x14ac:dyDescent="0.25">
      <c r="B96" s="137"/>
      <c r="C96" s="1170" t="s">
        <v>1448</v>
      </c>
      <c r="D96" s="1119"/>
      <c r="E96" s="1135">
        <f>SUM(E93:E95)</f>
        <v>0</v>
      </c>
      <c r="F96" s="893">
        <f t="shared" ref="F96:M96" si="10">SUM(F93:F95)</f>
        <v>0</v>
      </c>
      <c r="G96" s="1136">
        <f t="shared" si="10"/>
        <v>0</v>
      </c>
      <c r="H96" s="1137">
        <f t="shared" si="10"/>
        <v>43585.731297500584</v>
      </c>
      <c r="I96" s="893">
        <f t="shared" si="10"/>
        <v>43585.731297500584</v>
      </c>
      <c r="J96" s="1138">
        <f t="shared" si="10"/>
        <v>5462</v>
      </c>
      <c r="K96" s="1135">
        <f t="shared" si="10"/>
        <v>5832.8931815520309</v>
      </c>
      <c r="L96" s="893">
        <f t="shared" si="10"/>
        <v>6002.1330400307752</v>
      </c>
      <c r="M96" s="1136">
        <f t="shared" si="10"/>
        <v>6178.5454340153083</v>
      </c>
    </row>
    <row r="97" spans="1:13" s="5" customFormat="1" ht="11.25" customHeight="1" x14ac:dyDescent="0.25">
      <c r="B97" s="137"/>
      <c r="C97" s="1139" t="s">
        <v>1061</v>
      </c>
      <c r="D97" s="1119"/>
      <c r="E97" s="1140">
        <f>E92+E96</f>
        <v>0</v>
      </c>
      <c r="F97" s="895">
        <f t="shared" ref="F97:M97" si="11">F92+F96</f>
        <v>0</v>
      </c>
      <c r="G97" s="1141">
        <f t="shared" si="11"/>
        <v>0</v>
      </c>
      <c r="H97" s="1142">
        <f t="shared" si="11"/>
        <v>265704.43360000005</v>
      </c>
      <c r="I97" s="895">
        <f t="shared" si="11"/>
        <v>265704.43360000005</v>
      </c>
      <c r="J97" s="1143">
        <f t="shared" si="11"/>
        <v>239116</v>
      </c>
      <c r="K97" s="1140">
        <f t="shared" si="11"/>
        <v>255352.99999999919</v>
      </c>
      <c r="L97" s="895">
        <f t="shared" si="11"/>
        <v>262761.99999999977</v>
      </c>
      <c r="M97" s="1141">
        <f t="shared" si="11"/>
        <v>270485.00000000081</v>
      </c>
    </row>
    <row r="98" spans="1:13" s="5" customFormat="1" ht="11.25" customHeight="1" x14ac:dyDescent="0.25">
      <c r="B98" s="137"/>
      <c r="C98" s="1118" t="s">
        <v>601</v>
      </c>
      <c r="D98" s="1119"/>
      <c r="E98" s="1144"/>
      <c r="F98" s="891"/>
      <c r="G98" s="1145"/>
      <c r="H98" s="1146"/>
      <c r="I98" s="891"/>
      <c r="J98" s="1145"/>
      <c r="K98" s="1144"/>
      <c r="L98" s="891"/>
      <c r="M98" s="1147"/>
    </row>
    <row r="99" spans="1:13" s="5" customFormat="1" ht="11.25" customHeight="1" x14ac:dyDescent="0.25">
      <c r="B99" s="137"/>
      <c r="C99" s="1124" t="s">
        <v>1451</v>
      </c>
      <c r="D99" s="1119"/>
      <c r="E99" s="1148"/>
      <c r="F99" s="1149"/>
      <c r="G99" s="1150"/>
      <c r="H99" s="1151">
        <v>137329.60989657362</v>
      </c>
      <c r="I99" s="1149">
        <v>137329.60989657362</v>
      </c>
      <c r="J99" s="1152">
        <v>135507.03719999999</v>
      </c>
      <c r="K99" s="1148">
        <v>144708.54509999952</v>
      </c>
      <c r="L99" s="1149">
        <v>148907.22539999988</v>
      </c>
      <c r="M99" s="1150">
        <v>153283.84950000045</v>
      </c>
    </row>
    <row r="100" spans="1:13" s="5" customFormat="1" ht="11.25" customHeight="1" x14ac:dyDescent="0.25">
      <c r="B100" s="137"/>
      <c r="C100" s="1170" t="s">
        <v>1117</v>
      </c>
      <c r="D100" s="1119"/>
      <c r="E100" s="1144">
        <f>SUM(E99)</f>
        <v>0</v>
      </c>
      <c r="F100" s="891">
        <f t="shared" ref="F100:M100" si="12">SUM(F99)</f>
        <v>0</v>
      </c>
      <c r="G100" s="1147">
        <f t="shared" si="12"/>
        <v>0</v>
      </c>
      <c r="H100" s="1146">
        <f t="shared" si="12"/>
        <v>137329.60989657362</v>
      </c>
      <c r="I100" s="891">
        <f t="shared" si="12"/>
        <v>137329.60989657362</v>
      </c>
      <c r="J100" s="1145">
        <f t="shared" si="12"/>
        <v>135507.03719999999</v>
      </c>
      <c r="K100" s="1144">
        <f t="shared" si="12"/>
        <v>144708.54509999952</v>
      </c>
      <c r="L100" s="891">
        <f t="shared" si="12"/>
        <v>148907.22539999988</v>
      </c>
      <c r="M100" s="1147">
        <f t="shared" si="12"/>
        <v>153283.84950000045</v>
      </c>
    </row>
    <row r="101" spans="1:13" s="5" customFormat="1" ht="11.25" customHeight="1" x14ac:dyDescent="0.25">
      <c r="B101" s="137"/>
      <c r="C101" s="1124" t="s">
        <v>1070</v>
      </c>
      <c r="D101" s="1119"/>
      <c r="E101" s="1125">
        <v>0</v>
      </c>
      <c r="F101" s="1126">
        <v>0</v>
      </c>
      <c r="G101" s="1127">
        <v>0</v>
      </c>
      <c r="H101" s="1128">
        <v>0</v>
      </c>
      <c r="I101" s="1126">
        <v>0</v>
      </c>
      <c r="J101" s="1129">
        <v>0</v>
      </c>
      <c r="K101" s="1125">
        <v>0</v>
      </c>
      <c r="L101" s="1126">
        <v>0</v>
      </c>
      <c r="M101" s="1127">
        <v>0</v>
      </c>
    </row>
    <row r="102" spans="1:13" s="5" customFormat="1" ht="11.25" customHeight="1" x14ac:dyDescent="0.25">
      <c r="B102" s="137"/>
      <c r="C102" s="1124" t="s">
        <v>1071</v>
      </c>
      <c r="D102" s="1119"/>
      <c r="E102" s="1125">
        <v>0</v>
      </c>
      <c r="F102" s="1126">
        <v>0</v>
      </c>
      <c r="G102" s="1127">
        <v>0</v>
      </c>
      <c r="H102" s="1128">
        <v>0</v>
      </c>
      <c r="I102" s="1126">
        <v>0</v>
      </c>
      <c r="J102" s="1129">
        <v>0</v>
      </c>
      <c r="K102" s="1125">
        <v>0</v>
      </c>
      <c r="L102" s="1126">
        <v>0</v>
      </c>
      <c r="M102" s="1127">
        <v>0</v>
      </c>
    </row>
    <row r="103" spans="1:13" s="5" customFormat="1" ht="11.25" customHeight="1" x14ac:dyDescent="0.25">
      <c r="B103" s="137"/>
      <c r="C103" s="1124" t="s">
        <v>1072</v>
      </c>
      <c r="D103" s="1119"/>
      <c r="E103" s="1125">
        <v>0</v>
      </c>
      <c r="F103" s="1126">
        <v>0</v>
      </c>
      <c r="G103" s="1127">
        <v>0</v>
      </c>
      <c r="H103" s="1128">
        <v>0</v>
      </c>
      <c r="I103" s="1126">
        <v>0</v>
      </c>
      <c r="J103" s="1129">
        <v>0</v>
      </c>
      <c r="K103" s="1125">
        <v>0</v>
      </c>
      <c r="L103" s="1126">
        <v>0</v>
      </c>
      <c r="M103" s="1127">
        <v>0</v>
      </c>
    </row>
    <row r="104" spans="1:13" s="5" customFormat="1" ht="11.25" customHeight="1" x14ac:dyDescent="0.25">
      <c r="B104" s="137"/>
      <c r="C104" s="1124" t="s">
        <v>1073</v>
      </c>
      <c r="D104" s="1119"/>
      <c r="E104" s="1125">
        <v>0</v>
      </c>
      <c r="F104" s="1126">
        <v>0</v>
      </c>
      <c r="G104" s="1127">
        <v>0</v>
      </c>
      <c r="H104" s="1128">
        <v>0</v>
      </c>
      <c r="I104" s="1126">
        <v>0</v>
      </c>
      <c r="J104" s="1129">
        <v>0</v>
      </c>
      <c r="K104" s="1125">
        <v>0</v>
      </c>
      <c r="L104" s="1126">
        <v>0</v>
      </c>
      <c r="M104" s="1127">
        <v>0</v>
      </c>
    </row>
    <row r="105" spans="1:13" s="5" customFormat="1" ht="11.25" customHeight="1" x14ac:dyDescent="0.25">
      <c r="B105" s="137"/>
      <c r="C105" s="1124" t="s">
        <v>1074</v>
      </c>
      <c r="D105" s="1119"/>
      <c r="E105" s="1125">
        <v>0</v>
      </c>
      <c r="F105" s="1126">
        <v>0</v>
      </c>
      <c r="G105" s="1127">
        <v>0</v>
      </c>
      <c r="H105" s="1128">
        <v>0</v>
      </c>
      <c r="I105" s="1126">
        <v>0</v>
      </c>
      <c r="J105" s="1129">
        <v>0</v>
      </c>
      <c r="K105" s="1125">
        <v>0</v>
      </c>
      <c r="L105" s="1126">
        <v>0</v>
      </c>
      <c r="M105" s="1127">
        <v>0</v>
      </c>
    </row>
    <row r="106" spans="1:13" s="5" customFormat="1" ht="11.25" customHeight="1" x14ac:dyDescent="0.25">
      <c r="B106" s="137"/>
      <c r="C106" s="1170" t="s">
        <v>1448</v>
      </c>
      <c r="D106" s="1119"/>
      <c r="E106" s="1135">
        <f t="shared" ref="E106:M106" si="13">SUM(E101:E105)</f>
        <v>0</v>
      </c>
      <c r="F106" s="893">
        <f t="shared" si="13"/>
        <v>0</v>
      </c>
      <c r="G106" s="1136">
        <f t="shared" si="13"/>
        <v>0</v>
      </c>
      <c r="H106" s="1137">
        <f t="shared" si="13"/>
        <v>0</v>
      </c>
      <c r="I106" s="893">
        <f t="shared" si="13"/>
        <v>0</v>
      </c>
      <c r="J106" s="1138">
        <f t="shared" si="13"/>
        <v>0</v>
      </c>
      <c r="K106" s="1135">
        <f t="shared" si="13"/>
        <v>0</v>
      </c>
      <c r="L106" s="893">
        <f t="shared" si="13"/>
        <v>0</v>
      </c>
      <c r="M106" s="1136">
        <f t="shared" si="13"/>
        <v>0</v>
      </c>
    </row>
    <row r="107" spans="1:13" s="5" customFormat="1" ht="11.25" customHeight="1" x14ac:dyDescent="0.25">
      <c r="B107" s="137"/>
      <c r="C107" s="1139" t="s">
        <v>1061</v>
      </c>
      <c r="D107" s="1119"/>
      <c r="E107" s="1140">
        <f>E100+E106</f>
        <v>0</v>
      </c>
      <c r="F107" s="895">
        <f t="shared" ref="F107:M107" si="14">F100+F106</f>
        <v>0</v>
      </c>
      <c r="G107" s="1141">
        <f t="shared" si="14"/>
        <v>0</v>
      </c>
      <c r="H107" s="1142">
        <f t="shared" si="14"/>
        <v>137329.60989657362</v>
      </c>
      <c r="I107" s="895">
        <f t="shared" si="14"/>
        <v>137329.60989657362</v>
      </c>
      <c r="J107" s="1143">
        <f t="shared" si="14"/>
        <v>135507.03719999999</v>
      </c>
      <c r="K107" s="1140">
        <f t="shared" si="14"/>
        <v>144708.54509999952</v>
      </c>
      <c r="L107" s="895">
        <f t="shared" si="14"/>
        <v>148907.22539999988</v>
      </c>
      <c r="M107" s="1141">
        <f t="shared" si="14"/>
        <v>153283.84950000045</v>
      </c>
    </row>
    <row r="108" spans="1:13" s="5" customFormat="1" ht="5.0999999999999996" customHeight="1" x14ac:dyDescent="0.25">
      <c r="B108" s="137"/>
      <c r="C108" s="1153"/>
      <c r="D108" s="1154"/>
      <c r="E108" s="1155"/>
      <c r="F108" s="272"/>
      <c r="G108" s="1156"/>
      <c r="H108" s="1157"/>
      <c r="I108" s="272"/>
      <c r="J108" s="1158"/>
      <c r="K108" s="1155"/>
      <c r="L108" s="272"/>
      <c r="M108" s="1156"/>
    </row>
    <row r="109" spans="1:13" s="5" customFormat="1" ht="24.95" customHeight="1" x14ac:dyDescent="0.25">
      <c r="A109" s="1446" t="s">
        <v>1452</v>
      </c>
      <c r="B109" s="1095"/>
      <c r="C109" s="1096"/>
      <c r="D109" s="1097"/>
      <c r="E109" s="1098" t="str">
        <f>Head1B</f>
        <v>2017/18</v>
      </c>
      <c r="F109" s="1099" t="str">
        <f>Head1A</f>
        <v>2018/19</v>
      </c>
      <c r="G109" s="1100" t="str">
        <f>Head1</f>
        <v>2019/20</v>
      </c>
      <c r="H109" s="1429" t="str">
        <f>Head2</f>
        <v>Budget Year 2020/21</v>
      </c>
      <c r="I109" s="1430"/>
      <c r="J109" s="1447"/>
      <c r="K109" s="1429" t="str">
        <f>Head3</f>
        <v>2020/21 Medium Term Revenue &amp; Expenditure Framework</v>
      </c>
      <c r="L109" s="1430"/>
      <c r="M109" s="1447"/>
    </row>
    <row r="110" spans="1:13" s="5" customFormat="1" ht="24.95" customHeight="1" x14ac:dyDescent="0.25">
      <c r="A110" s="1446"/>
      <c r="B110" s="1101" t="s">
        <v>1344</v>
      </c>
      <c r="C110" s="1102"/>
      <c r="D110" s="1103"/>
      <c r="E110" s="1104" t="str">
        <f>Head5A</f>
        <v>Outcome</v>
      </c>
      <c r="F110" s="1105" t="str">
        <f>Head5A</f>
        <v>Outcome</v>
      </c>
      <c r="G110" s="1106" t="str">
        <f>Head5A</f>
        <v>Outcome</v>
      </c>
      <c r="H110" s="1107" t="str">
        <f>Head6</f>
        <v>Original Budget</v>
      </c>
      <c r="I110" s="1105" t="str">
        <f>Head7</f>
        <v>Adjusted Budget</v>
      </c>
      <c r="J110" s="1106" t="str">
        <f>Head8</f>
        <v>Full Year Forecast</v>
      </c>
      <c r="K110" s="1107" t="str">
        <f>Head9</f>
        <v>Budget Year 2020/21</v>
      </c>
      <c r="L110" s="1105" t="str">
        <f>Head10</f>
        <v>Budget Year +1 2021/22</v>
      </c>
      <c r="M110" s="1106" t="str">
        <f>Head11</f>
        <v>Budget Year +2 2022/23</v>
      </c>
    </row>
    <row r="111" spans="1:13" s="5" customFormat="1" ht="11.25" customHeight="1" x14ac:dyDescent="0.25">
      <c r="B111" s="137"/>
      <c r="C111" s="1108" t="s">
        <v>1447</v>
      </c>
      <c r="D111" s="1119"/>
      <c r="E111" s="1110"/>
      <c r="F111" s="1111"/>
      <c r="G111" s="1112"/>
      <c r="H111" s="1113"/>
      <c r="I111" s="1114"/>
      <c r="J111" s="1115"/>
      <c r="K111" s="1116"/>
      <c r="L111" s="1114"/>
      <c r="M111" s="1117"/>
    </row>
    <row r="112" spans="1:13" s="5" customFormat="1" ht="11.25" customHeight="1" x14ac:dyDescent="0.25">
      <c r="B112" s="137"/>
      <c r="C112" s="1118" t="s">
        <v>598</v>
      </c>
      <c r="D112" s="1119"/>
      <c r="E112" s="704"/>
      <c r="F112" s="257"/>
      <c r="G112" s="1120"/>
      <c r="H112" s="1121"/>
      <c r="I112" s="132"/>
      <c r="J112" s="888"/>
      <c r="K112" s="1122"/>
      <c r="L112" s="132"/>
      <c r="M112" s="1123"/>
    </row>
    <row r="113" spans="2:13" s="5" customFormat="1" ht="11.25" customHeight="1" x14ac:dyDescent="0.25">
      <c r="B113" s="137"/>
      <c r="C113" s="1124" t="s">
        <v>1053</v>
      </c>
      <c r="D113" s="1119"/>
      <c r="E113" s="1125">
        <v>0</v>
      </c>
      <c r="F113" s="1126">
        <v>0</v>
      </c>
      <c r="G113" s="1127">
        <v>0</v>
      </c>
      <c r="H113" s="1128">
        <v>65380.836015977446</v>
      </c>
      <c r="I113" s="1126">
        <v>65380.836015977446</v>
      </c>
      <c r="J113" s="1129">
        <v>62851</v>
      </c>
      <c r="K113" s="1125">
        <v>67118.851950517521</v>
      </c>
      <c r="L113" s="1126">
        <v>69066.287751551499</v>
      </c>
      <c r="M113" s="1127">
        <v>71096.257611368768</v>
      </c>
    </row>
    <row r="114" spans="2:13" s="5" customFormat="1" ht="11.25" customHeight="1" x14ac:dyDescent="0.25">
      <c r="B114" s="137"/>
      <c r="C114" s="1124" t="s">
        <v>1054</v>
      </c>
      <c r="D114" s="1119"/>
      <c r="E114" s="1125">
        <v>0</v>
      </c>
      <c r="F114" s="1126">
        <v>0</v>
      </c>
      <c r="G114" s="1127">
        <v>0</v>
      </c>
      <c r="H114" s="1128">
        <v>64634.479440452589</v>
      </c>
      <c r="I114" s="1126">
        <v>64634.479440452589</v>
      </c>
      <c r="J114" s="1129">
        <v>118780</v>
      </c>
      <c r="K114" s="1125">
        <v>126845.67046956248</v>
      </c>
      <c r="L114" s="1126">
        <v>130526.0641696916</v>
      </c>
      <c r="M114" s="1127">
        <v>134362.43622342334</v>
      </c>
    </row>
    <row r="115" spans="2:13" s="5" customFormat="1" ht="11.25" customHeight="1" x14ac:dyDescent="0.25">
      <c r="B115" s="1130">
        <v>8</v>
      </c>
      <c r="C115" s="1124" t="s">
        <v>1055</v>
      </c>
      <c r="D115" s="1119"/>
      <c r="E115" s="1125">
        <v>0</v>
      </c>
      <c r="F115" s="1126">
        <v>0</v>
      </c>
      <c r="G115" s="1127">
        <v>0</v>
      </c>
      <c r="H115" s="1128">
        <v>76128.370703535387</v>
      </c>
      <c r="I115" s="1126">
        <v>76128.370703535387</v>
      </c>
      <c r="J115" s="1129">
        <v>10326</v>
      </c>
      <c r="K115" s="1125">
        <v>11027.179603205102</v>
      </c>
      <c r="L115" s="1126">
        <v>11347.130313320722</v>
      </c>
      <c r="M115" s="1127">
        <v>11680.640818682181</v>
      </c>
    </row>
    <row r="116" spans="2:13" s="5" customFormat="1" ht="11.25" customHeight="1" x14ac:dyDescent="0.25">
      <c r="B116" s="1130">
        <v>10</v>
      </c>
      <c r="C116" s="1124" t="s">
        <v>1056</v>
      </c>
      <c r="D116" s="1119"/>
      <c r="E116" s="1125">
        <v>0</v>
      </c>
      <c r="F116" s="1126">
        <v>0</v>
      </c>
      <c r="G116" s="1127">
        <v>0</v>
      </c>
      <c r="H116" s="1128">
        <v>50156.654588421421</v>
      </c>
      <c r="I116" s="1126">
        <v>50156.654588421421</v>
      </c>
      <c r="J116" s="1129">
        <v>47159</v>
      </c>
      <c r="K116" s="1125">
        <v>50361.297976714064</v>
      </c>
      <c r="L116" s="1126">
        <v>51822.51776543598</v>
      </c>
      <c r="M116" s="1127">
        <v>53345.665346526534</v>
      </c>
    </row>
    <row r="117" spans="2:13" s="5" customFormat="1" ht="11.25" customHeight="1" x14ac:dyDescent="0.25">
      <c r="B117" s="1130"/>
      <c r="C117" s="1170" t="s">
        <v>1117</v>
      </c>
      <c r="D117" s="1119"/>
      <c r="E117" s="1131">
        <f>SUM(E113:E116)</f>
        <v>0</v>
      </c>
      <c r="F117" s="701">
        <f t="shared" ref="F117:M117" si="15">SUM(F113:F116)</f>
        <v>0</v>
      </c>
      <c r="G117" s="1132">
        <f t="shared" si="15"/>
        <v>0</v>
      </c>
      <c r="H117" s="1133">
        <f t="shared" si="15"/>
        <v>256300.34074838684</v>
      </c>
      <c r="I117" s="701">
        <f t="shared" si="15"/>
        <v>256300.34074838684</v>
      </c>
      <c r="J117" s="1134">
        <f t="shared" si="15"/>
        <v>239116</v>
      </c>
      <c r="K117" s="1131">
        <f t="shared" si="15"/>
        <v>255352.99999999916</v>
      </c>
      <c r="L117" s="701">
        <f t="shared" si="15"/>
        <v>262761.99999999983</v>
      </c>
      <c r="M117" s="1132">
        <f t="shared" si="15"/>
        <v>270485.00000000081</v>
      </c>
    </row>
    <row r="118" spans="2:13" s="5" customFormat="1" ht="11.25" customHeight="1" x14ac:dyDescent="0.25">
      <c r="B118" s="1130">
        <v>9</v>
      </c>
      <c r="C118" s="1124" t="s">
        <v>1057</v>
      </c>
      <c r="D118" s="1119"/>
      <c r="E118" s="1125">
        <v>0</v>
      </c>
      <c r="F118" s="1126">
        <v>0</v>
      </c>
      <c r="G118" s="1127">
        <v>0</v>
      </c>
      <c r="H118" s="1128">
        <v>0</v>
      </c>
      <c r="I118" s="1126">
        <v>0</v>
      </c>
      <c r="J118" s="1129">
        <v>0</v>
      </c>
      <c r="K118" s="1125">
        <v>0</v>
      </c>
      <c r="L118" s="1126">
        <v>0</v>
      </c>
      <c r="M118" s="1127">
        <v>0</v>
      </c>
    </row>
    <row r="119" spans="2:13" s="5" customFormat="1" ht="11.25" customHeight="1" x14ac:dyDescent="0.25">
      <c r="B119" s="1130">
        <v>10</v>
      </c>
      <c r="C119" s="1124" t="s">
        <v>1058</v>
      </c>
      <c r="D119" s="1119"/>
      <c r="E119" s="1125">
        <v>0</v>
      </c>
      <c r="F119" s="1126">
        <v>0</v>
      </c>
      <c r="G119" s="1127">
        <v>0</v>
      </c>
      <c r="H119" s="1128">
        <v>0</v>
      </c>
      <c r="I119" s="1126">
        <v>0</v>
      </c>
      <c r="J119" s="1129">
        <v>0</v>
      </c>
      <c r="K119" s="1125">
        <v>0</v>
      </c>
      <c r="L119" s="1126">
        <v>0</v>
      </c>
      <c r="M119" s="1127">
        <v>0</v>
      </c>
    </row>
    <row r="120" spans="2:13" s="5" customFormat="1" ht="11.25" customHeight="1" x14ac:dyDescent="0.25">
      <c r="B120" s="137"/>
      <c r="C120" s="1124" t="s">
        <v>1060</v>
      </c>
      <c r="D120" s="1119"/>
      <c r="E120" s="1125">
        <v>0</v>
      </c>
      <c r="F120" s="1126">
        <v>0</v>
      </c>
      <c r="G120" s="1127">
        <v>0</v>
      </c>
      <c r="H120" s="1128">
        <v>0</v>
      </c>
      <c r="I120" s="1126">
        <v>0</v>
      </c>
      <c r="J120" s="1129">
        <v>0</v>
      </c>
      <c r="K120" s="1125">
        <v>0</v>
      </c>
      <c r="L120" s="1126">
        <v>0</v>
      </c>
      <c r="M120" s="1127">
        <v>0</v>
      </c>
    </row>
    <row r="121" spans="2:13" s="5" customFormat="1" ht="11.25" customHeight="1" x14ac:dyDescent="0.25">
      <c r="B121" s="137"/>
      <c r="C121" s="1170" t="s">
        <v>1448</v>
      </c>
      <c r="D121" s="1119"/>
      <c r="E121" s="1135">
        <f>SUM(E118:E120)</f>
        <v>0</v>
      </c>
      <c r="F121" s="893">
        <f t="shared" ref="F121:M121" si="16">SUM(F118:F120)</f>
        <v>0</v>
      </c>
      <c r="G121" s="1136">
        <f t="shared" si="16"/>
        <v>0</v>
      </c>
      <c r="H121" s="1137">
        <f t="shared" si="16"/>
        <v>0</v>
      </c>
      <c r="I121" s="893">
        <f t="shared" si="16"/>
        <v>0</v>
      </c>
      <c r="J121" s="1138">
        <f t="shared" si="16"/>
        <v>0</v>
      </c>
      <c r="K121" s="1135">
        <f t="shared" si="16"/>
        <v>0</v>
      </c>
      <c r="L121" s="893">
        <f t="shared" si="16"/>
        <v>0</v>
      </c>
      <c r="M121" s="1136">
        <f t="shared" si="16"/>
        <v>0</v>
      </c>
    </row>
    <row r="122" spans="2:13" s="5" customFormat="1" ht="11.25" customHeight="1" x14ac:dyDescent="0.25">
      <c r="B122" s="137"/>
      <c r="C122" s="1139" t="s">
        <v>1061</v>
      </c>
      <c r="D122" s="1119"/>
      <c r="E122" s="1140">
        <f>E117+E121</f>
        <v>0</v>
      </c>
      <c r="F122" s="895">
        <f t="shared" ref="F122:M122" si="17">F117+F121</f>
        <v>0</v>
      </c>
      <c r="G122" s="1141">
        <f t="shared" si="17"/>
        <v>0</v>
      </c>
      <c r="H122" s="1142">
        <f t="shared" si="17"/>
        <v>256300.34074838684</v>
      </c>
      <c r="I122" s="895">
        <f t="shared" si="17"/>
        <v>256300.34074838684</v>
      </c>
      <c r="J122" s="1143">
        <f t="shared" si="17"/>
        <v>239116</v>
      </c>
      <c r="K122" s="1140">
        <f t="shared" si="17"/>
        <v>255352.99999999916</v>
      </c>
      <c r="L122" s="895">
        <f t="shared" si="17"/>
        <v>262761.99999999983</v>
      </c>
      <c r="M122" s="1141">
        <f t="shared" si="17"/>
        <v>270485.00000000081</v>
      </c>
    </row>
    <row r="123" spans="2:13" s="5" customFormat="1" ht="11.25" customHeight="1" x14ac:dyDescent="0.25">
      <c r="B123" s="137"/>
      <c r="C123" s="1118" t="s">
        <v>599</v>
      </c>
      <c r="D123" s="1119"/>
      <c r="E123" s="1144"/>
      <c r="F123" s="891"/>
      <c r="G123" s="1145"/>
      <c r="H123" s="1146"/>
      <c r="I123" s="891"/>
      <c r="J123" s="1145"/>
      <c r="K123" s="1144"/>
      <c r="L123" s="891"/>
      <c r="M123" s="1147"/>
    </row>
    <row r="124" spans="2:13" s="5" customFormat="1" ht="11.25" customHeight="1" x14ac:dyDescent="0.25">
      <c r="B124" s="137"/>
      <c r="C124" s="1124" t="s">
        <v>1062</v>
      </c>
      <c r="D124" s="1119"/>
      <c r="E124" s="1125">
        <v>0</v>
      </c>
      <c r="F124" s="1126">
        <v>0</v>
      </c>
      <c r="G124" s="1127">
        <v>0</v>
      </c>
      <c r="H124" s="1128">
        <v>60414.493379744003</v>
      </c>
      <c r="I124" s="1126">
        <v>60414.493379744003</v>
      </c>
      <c r="J124" s="1129">
        <v>96619</v>
      </c>
      <c r="K124" s="1125">
        <v>103179.84370347412</v>
      </c>
      <c r="L124" s="1126">
        <v>106173.5796768095</v>
      </c>
      <c r="M124" s="1127">
        <v>109294.19283945901</v>
      </c>
    </row>
    <row r="125" spans="2:13" s="5" customFormat="1" ht="11.25" customHeight="1" x14ac:dyDescent="0.25">
      <c r="B125" s="137"/>
      <c r="C125" s="1124" t="s">
        <v>1063</v>
      </c>
      <c r="D125" s="1119"/>
      <c r="E125" s="1125">
        <v>0</v>
      </c>
      <c r="F125" s="1126">
        <v>0</v>
      </c>
      <c r="G125" s="1127">
        <v>0</v>
      </c>
      <c r="H125" s="1128">
        <v>6116.03513227038</v>
      </c>
      <c r="I125" s="1126">
        <v>6116.03513227038</v>
      </c>
      <c r="J125" s="1129">
        <v>5660</v>
      </c>
      <c r="K125" s="1125">
        <v>6044.3382291439939</v>
      </c>
      <c r="L125" s="1126">
        <v>6219.7131099549961</v>
      </c>
      <c r="M125" s="1127">
        <v>6402.5205339667973</v>
      </c>
    </row>
    <row r="126" spans="2:13" s="5" customFormat="1" ht="11.25" customHeight="1" x14ac:dyDescent="0.25">
      <c r="B126" s="137"/>
      <c r="C126" s="1124" t="s">
        <v>1064</v>
      </c>
      <c r="D126" s="1119"/>
      <c r="E126" s="1125">
        <v>0</v>
      </c>
      <c r="F126" s="1126">
        <v>0</v>
      </c>
      <c r="G126" s="1127">
        <v>0</v>
      </c>
      <c r="H126" s="1128">
        <v>2267.4081465977993</v>
      </c>
      <c r="I126" s="1126">
        <v>2267.4081465977993</v>
      </c>
      <c r="J126" s="1129">
        <v>1579</v>
      </c>
      <c r="K126" s="1125">
        <v>1686.2208593318669</v>
      </c>
      <c r="L126" s="1126">
        <v>1735.1461131835581</v>
      </c>
      <c r="M126" s="1127">
        <v>1786.1448627444474</v>
      </c>
    </row>
    <row r="127" spans="2:13" s="5" customFormat="1" ht="11.25" customHeight="1" x14ac:dyDescent="0.25">
      <c r="B127" s="137"/>
      <c r="C127" s="1124" t="s">
        <v>294</v>
      </c>
      <c r="D127" s="1119"/>
      <c r="E127" s="1125">
        <v>0</v>
      </c>
      <c r="F127" s="1126">
        <v>0</v>
      </c>
      <c r="G127" s="1127">
        <v>0</v>
      </c>
      <c r="H127" s="1128">
        <v>50718.34012126657</v>
      </c>
      <c r="I127" s="1126">
        <v>50718.34012126657</v>
      </c>
      <c r="J127" s="1129">
        <v>38840</v>
      </c>
      <c r="K127" s="1125">
        <v>41477.402265009317</v>
      </c>
      <c r="L127" s="1126">
        <v>42680.858160892589</v>
      </c>
      <c r="M127" s="1127">
        <v>43935.317586443532</v>
      </c>
    </row>
    <row r="128" spans="2:13" s="5" customFormat="1" ht="11.25" customHeight="1" x14ac:dyDescent="0.25">
      <c r="B128" s="137"/>
      <c r="C128" s="1124" t="s">
        <v>296</v>
      </c>
      <c r="D128" s="1119"/>
      <c r="E128" s="1125">
        <v>0</v>
      </c>
      <c r="F128" s="1126">
        <v>0</v>
      </c>
      <c r="G128" s="1127">
        <v>0</v>
      </c>
      <c r="H128" s="1128">
        <v>0</v>
      </c>
      <c r="I128" s="1126">
        <v>0</v>
      </c>
      <c r="J128" s="1129">
        <v>0</v>
      </c>
      <c r="K128" s="1125">
        <v>0</v>
      </c>
      <c r="L128" s="1126">
        <v>0</v>
      </c>
      <c r="M128" s="1127">
        <v>0</v>
      </c>
    </row>
    <row r="129" spans="2:13" s="5" customFormat="1" ht="11.25" customHeight="1" x14ac:dyDescent="0.25">
      <c r="B129" s="137"/>
      <c r="C129" s="1170" t="s">
        <v>1117</v>
      </c>
      <c r="D129" s="1119"/>
      <c r="E129" s="1131">
        <f>SUM(E124:E128)</f>
        <v>0</v>
      </c>
      <c r="F129" s="701">
        <f t="shared" ref="F129:M129" si="18">SUM(F124:F128)</f>
        <v>0</v>
      </c>
      <c r="G129" s="1132">
        <f t="shared" si="18"/>
        <v>0</v>
      </c>
      <c r="H129" s="1133">
        <f t="shared" si="18"/>
        <v>119516.27677987874</v>
      </c>
      <c r="I129" s="701">
        <f t="shared" si="18"/>
        <v>119516.27677987874</v>
      </c>
      <c r="J129" s="1134">
        <f t="shared" si="18"/>
        <v>142698</v>
      </c>
      <c r="K129" s="1131">
        <f t="shared" si="18"/>
        <v>152387.8050569593</v>
      </c>
      <c r="L129" s="701">
        <f t="shared" si="18"/>
        <v>156809.29706084065</v>
      </c>
      <c r="M129" s="1132">
        <f t="shared" si="18"/>
        <v>161418.17582261379</v>
      </c>
    </row>
    <row r="130" spans="2:13" s="5" customFormat="1" ht="11.25" customHeight="1" x14ac:dyDescent="0.25">
      <c r="B130" s="137"/>
      <c r="C130" s="1124" t="s">
        <v>295</v>
      </c>
      <c r="D130" s="1119"/>
      <c r="E130" s="1125">
        <v>0</v>
      </c>
      <c r="F130" s="1126">
        <v>0</v>
      </c>
      <c r="G130" s="1127">
        <v>0</v>
      </c>
      <c r="H130" s="1128">
        <v>0</v>
      </c>
      <c r="I130" s="1126">
        <v>0</v>
      </c>
      <c r="J130" s="1129">
        <v>96418</v>
      </c>
      <c r="K130" s="1125">
        <v>102965.19494303987</v>
      </c>
      <c r="L130" s="1126">
        <v>105952.70293915916</v>
      </c>
      <c r="M130" s="1127">
        <v>109066.82417738705</v>
      </c>
    </row>
    <row r="131" spans="2:13" s="5" customFormat="1" ht="11.25" customHeight="1" x14ac:dyDescent="0.25">
      <c r="B131" s="137"/>
      <c r="C131" s="1124" t="s">
        <v>297</v>
      </c>
      <c r="D131" s="1119"/>
      <c r="E131" s="1125">
        <v>0</v>
      </c>
      <c r="F131" s="1126">
        <v>0</v>
      </c>
      <c r="G131" s="1127">
        <v>0</v>
      </c>
      <c r="H131" s="1128">
        <v>0</v>
      </c>
      <c r="I131" s="1126">
        <v>0</v>
      </c>
      <c r="J131" s="1129">
        <v>0</v>
      </c>
      <c r="K131" s="1125">
        <v>0</v>
      </c>
      <c r="L131" s="1126">
        <v>0</v>
      </c>
      <c r="M131" s="1127">
        <v>0</v>
      </c>
    </row>
    <row r="132" spans="2:13" s="5" customFormat="1" ht="11.25" customHeight="1" x14ac:dyDescent="0.25">
      <c r="B132" s="137"/>
      <c r="C132" s="1124" t="s">
        <v>1065</v>
      </c>
      <c r="D132" s="1119"/>
      <c r="E132" s="1125">
        <v>0</v>
      </c>
      <c r="F132" s="1126">
        <v>0</v>
      </c>
      <c r="G132" s="1127">
        <v>0</v>
      </c>
      <c r="H132" s="1128">
        <v>0</v>
      </c>
      <c r="I132" s="1126">
        <v>0</v>
      </c>
      <c r="J132" s="1129">
        <v>0</v>
      </c>
      <c r="K132" s="1125">
        <v>0</v>
      </c>
      <c r="L132" s="1126">
        <v>0</v>
      </c>
      <c r="M132" s="1127">
        <v>0</v>
      </c>
    </row>
    <row r="133" spans="2:13" s="5" customFormat="1" ht="11.25" customHeight="1" x14ac:dyDescent="0.25">
      <c r="B133" s="137"/>
      <c r="C133" s="1170" t="s">
        <v>1448</v>
      </c>
      <c r="D133" s="1119"/>
      <c r="E133" s="1135">
        <f>SUM(E130:E132)</f>
        <v>0</v>
      </c>
      <c r="F133" s="893">
        <f t="shared" ref="F133:M133" si="19">SUM(F130:F132)</f>
        <v>0</v>
      </c>
      <c r="G133" s="1136">
        <f t="shared" si="19"/>
        <v>0</v>
      </c>
      <c r="H133" s="1137">
        <f t="shared" si="19"/>
        <v>0</v>
      </c>
      <c r="I133" s="893">
        <f t="shared" si="19"/>
        <v>0</v>
      </c>
      <c r="J133" s="1138">
        <f t="shared" si="19"/>
        <v>96418</v>
      </c>
      <c r="K133" s="1135">
        <f t="shared" si="19"/>
        <v>102965.19494303987</v>
      </c>
      <c r="L133" s="893">
        <f t="shared" si="19"/>
        <v>105952.70293915916</v>
      </c>
      <c r="M133" s="1136">
        <f t="shared" si="19"/>
        <v>109066.82417738705</v>
      </c>
    </row>
    <row r="134" spans="2:13" s="5" customFormat="1" ht="11.25" customHeight="1" x14ac:dyDescent="0.25">
      <c r="B134" s="137"/>
      <c r="C134" s="1139" t="s">
        <v>1061</v>
      </c>
      <c r="D134" s="1119"/>
      <c r="E134" s="1140">
        <f>E129+E133</f>
        <v>0</v>
      </c>
      <c r="F134" s="895">
        <f t="shared" ref="F134:M134" si="20">F129+F133</f>
        <v>0</v>
      </c>
      <c r="G134" s="1141">
        <f t="shared" si="20"/>
        <v>0</v>
      </c>
      <c r="H134" s="1142">
        <f t="shared" si="20"/>
        <v>119516.27677987874</v>
      </c>
      <c r="I134" s="895">
        <f t="shared" si="20"/>
        <v>119516.27677987874</v>
      </c>
      <c r="J134" s="1143">
        <f t="shared" si="20"/>
        <v>239116</v>
      </c>
      <c r="K134" s="1140">
        <f t="shared" si="20"/>
        <v>255352.99999999919</v>
      </c>
      <c r="L134" s="895">
        <f t="shared" si="20"/>
        <v>262761.99999999983</v>
      </c>
      <c r="M134" s="1141">
        <f t="shared" si="20"/>
        <v>270485.00000000081</v>
      </c>
    </row>
    <row r="135" spans="2:13" s="5" customFormat="1" ht="11.25" customHeight="1" x14ac:dyDescent="0.25">
      <c r="B135" s="137"/>
      <c r="C135" s="1118" t="s">
        <v>600</v>
      </c>
      <c r="D135" s="1119"/>
      <c r="E135" s="1144"/>
      <c r="F135" s="891"/>
      <c r="G135" s="1145"/>
      <c r="H135" s="1146"/>
      <c r="I135" s="891"/>
      <c r="J135" s="1145"/>
      <c r="K135" s="1144"/>
      <c r="L135" s="891"/>
      <c r="M135" s="1147"/>
    </row>
    <row r="136" spans="2:13" s="5" customFormat="1" ht="11.25" customHeight="1" x14ac:dyDescent="0.25">
      <c r="B136" s="137"/>
      <c r="C136" s="1124" t="s">
        <v>1449</v>
      </c>
      <c r="D136" s="1119"/>
      <c r="E136" s="1125">
        <v>0</v>
      </c>
      <c r="F136" s="1126">
        <v>0</v>
      </c>
      <c r="G136" s="1127">
        <v>0</v>
      </c>
      <c r="H136" s="1128">
        <v>119121.49488006924</v>
      </c>
      <c r="I136" s="1126">
        <v>119121.49488006924</v>
      </c>
      <c r="J136" s="1129">
        <v>225628</v>
      </c>
      <c r="K136" s="1125">
        <v>240949.10706100726</v>
      </c>
      <c r="L136" s="1126">
        <v>247940.18190334379</v>
      </c>
      <c r="M136" s="1127">
        <v>255227.54470633579</v>
      </c>
    </row>
    <row r="137" spans="2:13" s="5" customFormat="1" ht="11.25" customHeight="1" x14ac:dyDescent="0.25">
      <c r="B137" s="137"/>
      <c r="C137" s="1124" t="s">
        <v>1450</v>
      </c>
      <c r="D137" s="1119"/>
      <c r="E137" s="1125">
        <v>0</v>
      </c>
      <c r="F137" s="1126">
        <v>0</v>
      </c>
      <c r="G137" s="1127">
        <v>0</v>
      </c>
      <c r="H137" s="1128">
        <v>102997.20742243022</v>
      </c>
      <c r="I137" s="1126">
        <v>102997.20742243022</v>
      </c>
      <c r="J137" s="1129">
        <v>8026</v>
      </c>
      <c r="K137" s="1125">
        <v>8570.9997574398749</v>
      </c>
      <c r="L137" s="1126">
        <v>8819.6850566252288</v>
      </c>
      <c r="M137" s="1127">
        <v>9078.909859649737</v>
      </c>
    </row>
    <row r="138" spans="2:13" s="5" customFormat="1" ht="11.25" customHeight="1" x14ac:dyDescent="0.25">
      <c r="B138" s="137"/>
      <c r="C138" s="1170" t="s">
        <v>1117</v>
      </c>
      <c r="D138" s="1119"/>
      <c r="E138" s="1131">
        <f>SUM(E136:E137)</f>
        <v>0</v>
      </c>
      <c r="F138" s="701">
        <f t="shared" ref="F138:M138" si="21">SUM(F136:F137)</f>
        <v>0</v>
      </c>
      <c r="G138" s="1132">
        <f t="shared" si="21"/>
        <v>0</v>
      </c>
      <c r="H138" s="1133">
        <f t="shared" si="21"/>
        <v>222118.70230249944</v>
      </c>
      <c r="I138" s="701">
        <f t="shared" si="21"/>
        <v>222118.70230249944</v>
      </c>
      <c r="J138" s="1134">
        <f t="shared" si="21"/>
        <v>233654</v>
      </c>
      <c r="K138" s="1131">
        <f t="shared" si="21"/>
        <v>249520.10681844715</v>
      </c>
      <c r="L138" s="701">
        <f t="shared" si="21"/>
        <v>256759.86695996902</v>
      </c>
      <c r="M138" s="1132">
        <f t="shared" si="21"/>
        <v>264306.45456598554</v>
      </c>
    </row>
    <row r="139" spans="2:13" s="5" customFormat="1" ht="11.25" customHeight="1" x14ac:dyDescent="0.25">
      <c r="B139" s="137"/>
      <c r="C139" s="1124" t="s">
        <v>1066</v>
      </c>
      <c r="D139" s="1119"/>
      <c r="E139" s="1125">
        <v>0</v>
      </c>
      <c r="F139" s="1126">
        <v>0</v>
      </c>
      <c r="G139" s="1127">
        <v>0</v>
      </c>
      <c r="H139" s="1128">
        <v>19727.697004273017</v>
      </c>
      <c r="I139" s="1126">
        <v>19727.697004273017</v>
      </c>
      <c r="J139" s="1129">
        <v>0</v>
      </c>
      <c r="K139" s="1125">
        <v>0</v>
      </c>
      <c r="L139" s="1126">
        <v>0</v>
      </c>
      <c r="M139" s="1127">
        <v>0</v>
      </c>
    </row>
    <row r="140" spans="2:13" s="5" customFormat="1" ht="11.25" customHeight="1" x14ac:dyDescent="0.25">
      <c r="B140" s="137"/>
      <c r="C140" s="1124" t="s">
        <v>1067</v>
      </c>
      <c r="D140" s="1119"/>
      <c r="E140" s="1125">
        <v>0</v>
      </c>
      <c r="F140" s="1126">
        <v>0</v>
      </c>
      <c r="G140" s="1127">
        <v>0</v>
      </c>
      <c r="H140" s="1128">
        <v>21665.238674335542</v>
      </c>
      <c r="I140" s="1126">
        <v>21665.238674335542</v>
      </c>
      <c r="J140" s="1129">
        <v>0</v>
      </c>
      <c r="K140" s="1125">
        <v>0</v>
      </c>
      <c r="L140" s="1126">
        <v>0</v>
      </c>
      <c r="M140" s="1127">
        <v>0</v>
      </c>
    </row>
    <row r="141" spans="2:13" s="5" customFormat="1" ht="11.25" customHeight="1" x14ac:dyDescent="0.25">
      <c r="B141" s="137"/>
      <c r="C141" s="1124" t="s">
        <v>1068</v>
      </c>
      <c r="D141" s="1119"/>
      <c r="E141" s="1125">
        <v>0</v>
      </c>
      <c r="F141" s="1126">
        <v>0</v>
      </c>
      <c r="G141" s="1127">
        <v>0</v>
      </c>
      <c r="H141" s="1128">
        <v>2192.7956188920293</v>
      </c>
      <c r="I141" s="1126">
        <v>2192.7956188920293</v>
      </c>
      <c r="J141" s="1129">
        <v>5462</v>
      </c>
      <c r="K141" s="1125">
        <v>5832.8931815520309</v>
      </c>
      <c r="L141" s="1126">
        <v>6002.1330400307752</v>
      </c>
      <c r="M141" s="1127">
        <v>6178.5454340153083</v>
      </c>
    </row>
    <row r="142" spans="2:13" s="5" customFormat="1" ht="11.25" customHeight="1" x14ac:dyDescent="0.25">
      <c r="B142" s="137"/>
      <c r="C142" s="1170" t="s">
        <v>1448</v>
      </c>
      <c r="D142" s="1119"/>
      <c r="E142" s="1135">
        <f>SUM(E139:E141)</f>
        <v>0</v>
      </c>
      <c r="F142" s="893">
        <f t="shared" ref="F142:M142" si="22">SUM(F139:F141)</f>
        <v>0</v>
      </c>
      <c r="G142" s="1136">
        <f t="shared" si="22"/>
        <v>0</v>
      </c>
      <c r="H142" s="1137">
        <f t="shared" si="22"/>
        <v>43585.731297500584</v>
      </c>
      <c r="I142" s="893">
        <f t="shared" si="22"/>
        <v>43585.731297500584</v>
      </c>
      <c r="J142" s="1138">
        <f t="shared" si="22"/>
        <v>5462</v>
      </c>
      <c r="K142" s="1135">
        <f t="shared" si="22"/>
        <v>5832.8931815520309</v>
      </c>
      <c r="L142" s="893">
        <f t="shared" si="22"/>
        <v>6002.1330400307752</v>
      </c>
      <c r="M142" s="1136">
        <f t="shared" si="22"/>
        <v>6178.5454340153083</v>
      </c>
    </row>
    <row r="143" spans="2:13" s="5" customFormat="1" ht="11.25" customHeight="1" x14ac:dyDescent="0.25">
      <c r="B143" s="137"/>
      <c r="C143" s="1139" t="s">
        <v>1061</v>
      </c>
      <c r="D143" s="1119"/>
      <c r="E143" s="1140">
        <f>E138+E142</f>
        <v>0</v>
      </c>
      <c r="F143" s="895">
        <f t="shared" ref="F143:M143" si="23">F138+F142</f>
        <v>0</v>
      </c>
      <c r="G143" s="1141">
        <f t="shared" si="23"/>
        <v>0</v>
      </c>
      <c r="H143" s="1142">
        <f t="shared" si="23"/>
        <v>265704.43360000005</v>
      </c>
      <c r="I143" s="895">
        <f t="shared" si="23"/>
        <v>265704.43360000005</v>
      </c>
      <c r="J143" s="1143">
        <f t="shared" si="23"/>
        <v>239116</v>
      </c>
      <c r="K143" s="1140">
        <f t="shared" si="23"/>
        <v>255352.99999999919</v>
      </c>
      <c r="L143" s="895">
        <f t="shared" si="23"/>
        <v>262761.99999999977</v>
      </c>
      <c r="M143" s="1141">
        <f t="shared" si="23"/>
        <v>270485.00000000081</v>
      </c>
    </row>
    <row r="144" spans="2:13" s="5" customFormat="1" ht="11.25" customHeight="1" x14ac:dyDescent="0.25">
      <c r="B144" s="137"/>
      <c r="C144" s="1118" t="s">
        <v>601</v>
      </c>
      <c r="D144" s="1119"/>
      <c r="E144" s="1144"/>
      <c r="F144" s="891"/>
      <c r="G144" s="1145"/>
      <c r="H144" s="1146"/>
      <c r="I144" s="891"/>
      <c r="J144" s="1145"/>
      <c r="K144" s="1144"/>
      <c r="L144" s="891"/>
      <c r="M144" s="1147"/>
    </row>
    <row r="145" spans="1:13" s="5" customFormat="1" ht="11.25" customHeight="1" x14ac:dyDescent="0.25">
      <c r="B145" s="137"/>
      <c r="C145" s="1124" t="s">
        <v>1451</v>
      </c>
      <c r="D145" s="1119"/>
      <c r="E145" s="1148">
        <v>0</v>
      </c>
      <c r="F145" s="1149">
        <v>0</v>
      </c>
      <c r="G145" s="1150">
        <v>0</v>
      </c>
      <c r="H145" s="1151">
        <v>137329.60989657362</v>
      </c>
      <c r="I145" s="1149">
        <v>137329.60989657362</v>
      </c>
      <c r="J145" s="1152">
        <v>135507.03719999999</v>
      </c>
      <c r="K145" s="1148">
        <v>144708.54509999952</v>
      </c>
      <c r="L145" s="1149">
        <v>148907.22539999988</v>
      </c>
      <c r="M145" s="1150">
        <v>153283.84950000045</v>
      </c>
    </row>
    <row r="146" spans="1:13" s="5" customFormat="1" ht="11.25" customHeight="1" x14ac:dyDescent="0.25">
      <c r="B146" s="137"/>
      <c r="C146" s="1170" t="s">
        <v>1117</v>
      </c>
      <c r="D146" s="1119"/>
      <c r="E146" s="1144">
        <f>SUM(E145)</f>
        <v>0</v>
      </c>
      <c r="F146" s="891">
        <f t="shared" ref="F146:M146" si="24">SUM(F145)</f>
        <v>0</v>
      </c>
      <c r="G146" s="1147">
        <f t="shared" si="24"/>
        <v>0</v>
      </c>
      <c r="H146" s="1146">
        <f t="shared" si="24"/>
        <v>137329.60989657362</v>
      </c>
      <c r="I146" s="891">
        <f t="shared" si="24"/>
        <v>137329.60989657362</v>
      </c>
      <c r="J146" s="1145">
        <f t="shared" si="24"/>
        <v>135507.03719999999</v>
      </c>
      <c r="K146" s="1144">
        <f t="shared" si="24"/>
        <v>144708.54509999952</v>
      </c>
      <c r="L146" s="891">
        <f t="shared" si="24"/>
        <v>148907.22539999988</v>
      </c>
      <c r="M146" s="1147">
        <f t="shared" si="24"/>
        <v>153283.84950000045</v>
      </c>
    </row>
    <row r="147" spans="1:13" s="5" customFormat="1" ht="11.25" customHeight="1" x14ac:dyDescent="0.25">
      <c r="B147" s="137"/>
      <c r="C147" s="1124" t="s">
        <v>1070</v>
      </c>
      <c r="D147" s="1119"/>
      <c r="E147" s="1125">
        <v>0</v>
      </c>
      <c r="F147" s="1126">
        <v>0</v>
      </c>
      <c r="G147" s="1127">
        <v>0</v>
      </c>
      <c r="H147" s="1128">
        <v>0</v>
      </c>
      <c r="I147" s="1126">
        <v>0</v>
      </c>
      <c r="J147" s="1129">
        <v>0</v>
      </c>
      <c r="K147" s="1125">
        <v>0</v>
      </c>
      <c r="L147" s="1126">
        <v>0</v>
      </c>
      <c r="M147" s="1127">
        <v>0</v>
      </c>
    </row>
    <row r="148" spans="1:13" s="5" customFormat="1" ht="11.25" customHeight="1" x14ac:dyDescent="0.25">
      <c r="B148" s="137"/>
      <c r="C148" s="1124" t="s">
        <v>1071</v>
      </c>
      <c r="D148" s="1119"/>
      <c r="E148" s="1125">
        <v>0</v>
      </c>
      <c r="F148" s="1126">
        <v>0</v>
      </c>
      <c r="G148" s="1127">
        <v>0</v>
      </c>
      <c r="H148" s="1128">
        <v>0</v>
      </c>
      <c r="I148" s="1126">
        <v>0</v>
      </c>
      <c r="J148" s="1129">
        <v>0</v>
      </c>
      <c r="K148" s="1125">
        <v>0</v>
      </c>
      <c r="L148" s="1126">
        <v>0</v>
      </c>
      <c r="M148" s="1127">
        <v>0</v>
      </c>
    </row>
    <row r="149" spans="1:13" s="5" customFormat="1" ht="11.25" customHeight="1" x14ac:dyDescent="0.25">
      <c r="B149" s="137"/>
      <c r="C149" s="1124" t="s">
        <v>1072</v>
      </c>
      <c r="D149" s="1119"/>
      <c r="E149" s="1125">
        <v>0</v>
      </c>
      <c r="F149" s="1126">
        <v>0</v>
      </c>
      <c r="G149" s="1127">
        <v>0</v>
      </c>
      <c r="H149" s="1128">
        <v>0</v>
      </c>
      <c r="I149" s="1126">
        <v>0</v>
      </c>
      <c r="J149" s="1129">
        <v>0</v>
      </c>
      <c r="K149" s="1125">
        <v>0</v>
      </c>
      <c r="L149" s="1126">
        <v>0</v>
      </c>
      <c r="M149" s="1127">
        <v>0</v>
      </c>
    </row>
    <row r="150" spans="1:13" s="5" customFormat="1" ht="11.25" customHeight="1" x14ac:dyDescent="0.25">
      <c r="B150" s="137"/>
      <c r="C150" s="1124" t="s">
        <v>1073</v>
      </c>
      <c r="D150" s="1119"/>
      <c r="E150" s="1125">
        <v>0</v>
      </c>
      <c r="F150" s="1126">
        <v>0</v>
      </c>
      <c r="G150" s="1127">
        <v>0</v>
      </c>
      <c r="H150" s="1128">
        <v>0</v>
      </c>
      <c r="I150" s="1126">
        <v>0</v>
      </c>
      <c r="J150" s="1129">
        <v>0</v>
      </c>
      <c r="K150" s="1125">
        <v>0</v>
      </c>
      <c r="L150" s="1126">
        <v>0</v>
      </c>
      <c r="M150" s="1127">
        <v>0</v>
      </c>
    </row>
    <row r="151" spans="1:13" s="5" customFormat="1" ht="11.25" customHeight="1" x14ac:dyDescent="0.25">
      <c r="B151" s="137"/>
      <c r="C151" s="1124" t="s">
        <v>1074</v>
      </c>
      <c r="D151" s="1119"/>
      <c r="E151" s="1125">
        <v>0</v>
      </c>
      <c r="F151" s="1126">
        <v>0</v>
      </c>
      <c r="G151" s="1127">
        <v>0</v>
      </c>
      <c r="H151" s="1128">
        <v>0</v>
      </c>
      <c r="I151" s="1126">
        <v>0</v>
      </c>
      <c r="J151" s="1129">
        <v>0</v>
      </c>
      <c r="K151" s="1125">
        <v>0</v>
      </c>
      <c r="L151" s="1126">
        <v>0</v>
      </c>
      <c r="M151" s="1127">
        <v>0</v>
      </c>
    </row>
    <row r="152" spans="1:13" s="5" customFormat="1" ht="11.25" customHeight="1" x14ac:dyDescent="0.25">
      <c r="B152" s="137"/>
      <c r="C152" s="1170" t="s">
        <v>1448</v>
      </c>
      <c r="D152" s="1119"/>
      <c r="E152" s="1135">
        <f t="shared" ref="E152:M152" si="25">SUM(E147:E151)</f>
        <v>0</v>
      </c>
      <c r="F152" s="893">
        <f t="shared" si="25"/>
        <v>0</v>
      </c>
      <c r="G152" s="1136">
        <f t="shared" si="25"/>
        <v>0</v>
      </c>
      <c r="H152" s="1137">
        <f t="shared" si="25"/>
        <v>0</v>
      </c>
      <c r="I152" s="893">
        <f t="shared" si="25"/>
        <v>0</v>
      </c>
      <c r="J152" s="1138">
        <f t="shared" si="25"/>
        <v>0</v>
      </c>
      <c r="K152" s="1135">
        <f t="shared" si="25"/>
        <v>0</v>
      </c>
      <c r="L152" s="893">
        <f t="shared" si="25"/>
        <v>0</v>
      </c>
      <c r="M152" s="1136">
        <f t="shared" si="25"/>
        <v>0</v>
      </c>
    </row>
    <row r="153" spans="1:13" s="5" customFormat="1" ht="11.25" customHeight="1" x14ac:dyDescent="0.25">
      <c r="B153" s="137"/>
      <c r="C153" s="1139" t="s">
        <v>1061</v>
      </c>
      <c r="D153" s="1119"/>
      <c r="E153" s="1140">
        <f>E146+E152</f>
        <v>0</v>
      </c>
      <c r="F153" s="895">
        <f t="shared" ref="F153:M153" si="26">F146+F152</f>
        <v>0</v>
      </c>
      <c r="G153" s="1141">
        <f t="shared" si="26"/>
        <v>0</v>
      </c>
      <c r="H153" s="1142">
        <f t="shared" si="26"/>
        <v>137329.60989657362</v>
      </c>
      <c r="I153" s="895">
        <f t="shared" si="26"/>
        <v>137329.60989657362</v>
      </c>
      <c r="J153" s="1143">
        <f t="shared" si="26"/>
        <v>135507.03719999999</v>
      </c>
      <c r="K153" s="1140">
        <f t="shared" si="26"/>
        <v>144708.54509999952</v>
      </c>
      <c r="L153" s="895">
        <f t="shared" si="26"/>
        <v>148907.22539999988</v>
      </c>
      <c r="M153" s="1141">
        <f t="shared" si="26"/>
        <v>153283.84950000045</v>
      </c>
    </row>
    <row r="154" spans="1:13" s="5" customFormat="1" ht="5.0999999999999996" customHeight="1" x14ac:dyDescent="0.25">
      <c r="B154" s="137"/>
      <c r="C154" s="1153"/>
      <c r="D154" s="1154"/>
      <c r="E154" s="1155"/>
      <c r="F154" s="272"/>
      <c r="G154" s="1156"/>
      <c r="H154" s="1157"/>
      <c r="I154" s="272"/>
      <c r="J154" s="1158"/>
      <c r="K154" s="1155"/>
      <c r="L154" s="272"/>
      <c r="M154" s="1156"/>
    </row>
    <row r="155" spans="1:13" s="5" customFormat="1" ht="24.95" customHeight="1" x14ac:dyDescent="0.25">
      <c r="A155" s="1446" t="s">
        <v>1453</v>
      </c>
      <c r="B155" s="1095"/>
      <c r="C155" s="1096"/>
      <c r="D155" s="1097"/>
      <c r="E155" s="1098" t="str">
        <f>Head1B</f>
        <v>2017/18</v>
      </c>
      <c r="F155" s="1099" t="str">
        <f>Head1A</f>
        <v>2018/19</v>
      </c>
      <c r="G155" s="1100" t="str">
        <f>Head1</f>
        <v>2019/20</v>
      </c>
      <c r="H155" s="1429" t="str">
        <f>Head2</f>
        <v>Budget Year 2020/21</v>
      </c>
      <c r="I155" s="1430"/>
      <c r="J155" s="1447"/>
      <c r="K155" s="1429" t="str">
        <f>Head3</f>
        <v>2020/21 Medium Term Revenue &amp; Expenditure Framework</v>
      </c>
      <c r="L155" s="1430"/>
      <c r="M155" s="1447"/>
    </row>
    <row r="156" spans="1:13" s="5" customFormat="1" ht="24.95" customHeight="1" x14ac:dyDescent="0.25">
      <c r="A156" s="1446"/>
      <c r="B156" s="1101" t="s">
        <v>1344</v>
      </c>
      <c r="C156" s="1102"/>
      <c r="D156" s="1103"/>
      <c r="E156" s="1104" t="str">
        <f>Head5A</f>
        <v>Outcome</v>
      </c>
      <c r="F156" s="1105" t="str">
        <f>Head5A</f>
        <v>Outcome</v>
      </c>
      <c r="G156" s="1106" t="str">
        <f>Head5A</f>
        <v>Outcome</v>
      </c>
      <c r="H156" s="1107" t="str">
        <f>Head6</f>
        <v>Original Budget</v>
      </c>
      <c r="I156" s="1105" t="str">
        <f>Head7</f>
        <v>Adjusted Budget</v>
      </c>
      <c r="J156" s="1106" t="str">
        <f>Head8</f>
        <v>Full Year Forecast</v>
      </c>
      <c r="K156" s="1107" t="str">
        <f>Head9</f>
        <v>Budget Year 2020/21</v>
      </c>
      <c r="L156" s="1105" t="str">
        <f>Head10</f>
        <v>Budget Year +1 2021/22</v>
      </c>
      <c r="M156" s="1106" t="str">
        <f>Head11</f>
        <v>Budget Year +2 2022/23</v>
      </c>
    </row>
    <row r="157" spans="1:13" s="5" customFormat="1" ht="11.25" customHeight="1" x14ac:dyDescent="0.25">
      <c r="B157" s="137"/>
      <c r="C157" s="1108" t="s">
        <v>1447</v>
      </c>
      <c r="D157" s="1119"/>
      <c r="E157" s="1110"/>
      <c r="F157" s="1111"/>
      <c r="G157" s="1112"/>
      <c r="H157" s="1113"/>
      <c r="I157" s="1114"/>
      <c r="J157" s="1115"/>
      <c r="K157" s="1116"/>
      <c r="L157" s="1114"/>
      <c r="M157" s="1117"/>
    </row>
    <row r="158" spans="1:13" s="5" customFormat="1" ht="11.25" customHeight="1" x14ac:dyDescent="0.25">
      <c r="A158" s="1159" t="s">
        <v>1454</v>
      </c>
      <c r="B158" s="137"/>
      <c r="C158" s="1118" t="s">
        <v>598</v>
      </c>
      <c r="D158" s="1119"/>
      <c r="E158" s="704"/>
      <c r="F158" s="257"/>
      <c r="G158" s="1120"/>
      <c r="H158" s="1121"/>
      <c r="I158" s="132"/>
      <c r="J158" s="888"/>
      <c r="K158" s="1122"/>
      <c r="L158" s="132"/>
      <c r="M158" s="1123"/>
    </row>
    <row r="159" spans="1:13" s="5" customFormat="1" ht="11.25" customHeight="1" x14ac:dyDescent="0.25">
      <c r="B159" s="137"/>
      <c r="C159" s="1124" t="s">
        <v>1053</v>
      </c>
      <c r="D159" s="1119"/>
      <c r="E159" s="1125">
        <v>0</v>
      </c>
      <c r="F159" s="1126">
        <v>0</v>
      </c>
      <c r="G159" s="1127">
        <v>0</v>
      </c>
      <c r="H159" s="1128">
        <v>0</v>
      </c>
      <c r="I159" s="1126">
        <v>0</v>
      </c>
      <c r="J159" s="1129">
        <v>0</v>
      </c>
      <c r="K159" s="1125">
        <v>0</v>
      </c>
      <c r="L159" s="1126">
        <v>0</v>
      </c>
      <c r="M159" s="1127">
        <v>0</v>
      </c>
    </row>
    <row r="160" spans="1:13" s="5" customFormat="1" ht="11.25" customHeight="1" x14ac:dyDescent="0.25">
      <c r="B160" s="137"/>
      <c r="C160" s="1124" t="s">
        <v>1054</v>
      </c>
      <c r="D160" s="1119"/>
      <c r="E160" s="1125">
        <v>0</v>
      </c>
      <c r="F160" s="1126">
        <v>0</v>
      </c>
      <c r="G160" s="1127">
        <v>0</v>
      </c>
      <c r="H160" s="1128">
        <v>0</v>
      </c>
      <c r="I160" s="1126">
        <v>0</v>
      </c>
      <c r="J160" s="1129">
        <v>0</v>
      </c>
      <c r="K160" s="1125">
        <v>0</v>
      </c>
      <c r="L160" s="1126">
        <v>0</v>
      </c>
      <c r="M160" s="1127">
        <v>0</v>
      </c>
    </row>
    <row r="161" spans="1:13" s="5" customFormat="1" ht="11.25" customHeight="1" x14ac:dyDescent="0.25">
      <c r="B161" s="1130">
        <v>8</v>
      </c>
      <c r="C161" s="1124" t="s">
        <v>1055</v>
      </c>
      <c r="D161" s="1119"/>
      <c r="E161" s="1125">
        <v>0</v>
      </c>
      <c r="F161" s="1126">
        <v>0</v>
      </c>
      <c r="G161" s="1127">
        <v>0</v>
      </c>
      <c r="H161" s="1128">
        <v>0</v>
      </c>
      <c r="I161" s="1126">
        <v>0</v>
      </c>
      <c r="J161" s="1129">
        <v>0</v>
      </c>
      <c r="K161" s="1125">
        <v>0</v>
      </c>
      <c r="L161" s="1126">
        <v>0</v>
      </c>
      <c r="M161" s="1127">
        <v>0</v>
      </c>
    </row>
    <row r="162" spans="1:13" s="5" customFormat="1" ht="11.25" customHeight="1" x14ac:dyDescent="0.25">
      <c r="B162" s="1130">
        <v>10</v>
      </c>
      <c r="C162" s="1124" t="s">
        <v>1056</v>
      </c>
      <c r="D162" s="1119"/>
      <c r="E162" s="1125">
        <v>0</v>
      </c>
      <c r="F162" s="1126">
        <v>0</v>
      </c>
      <c r="G162" s="1127">
        <v>0</v>
      </c>
      <c r="H162" s="1128">
        <v>0</v>
      </c>
      <c r="I162" s="1126">
        <v>0</v>
      </c>
      <c r="J162" s="1129">
        <v>0</v>
      </c>
      <c r="K162" s="1125">
        <v>0</v>
      </c>
      <c r="L162" s="1126">
        <v>0</v>
      </c>
      <c r="M162" s="1127">
        <v>0</v>
      </c>
    </row>
    <row r="163" spans="1:13" s="5" customFormat="1" ht="11.25" customHeight="1" x14ac:dyDescent="0.25">
      <c r="B163" s="1130"/>
      <c r="C163" s="1170" t="s">
        <v>1117</v>
      </c>
      <c r="D163" s="1119"/>
      <c r="E163" s="1131">
        <f>SUM(E159:E162)</f>
        <v>0</v>
      </c>
      <c r="F163" s="701">
        <f t="shared" ref="F163:M163" si="27">SUM(F159:F162)</f>
        <v>0</v>
      </c>
      <c r="G163" s="1132">
        <f t="shared" si="27"/>
        <v>0</v>
      </c>
      <c r="H163" s="1133">
        <f t="shared" si="27"/>
        <v>0</v>
      </c>
      <c r="I163" s="701">
        <f t="shared" si="27"/>
        <v>0</v>
      </c>
      <c r="J163" s="1134">
        <f t="shared" si="27"/>
        <v>0</v>
      </c>
      <c r="K163" s="1131">
        <f t="shared" si="27"/>
        <v>0</v>
      </c>
      <c r="L163" s="701">
        <f t="shared" si="27"/>
        <v>0</v>
      </c>
      <c r="M163" s="1132">
        <f t="shared" si="27"/>
        <v>0</v>
      </c>
    </row>
    <row r="164" spans="1:13" s="5" customFormat="1" ht="11.25" customHeight="1" x14ac:dyDescent="0.25">
      <c r="B164" s="1130">
        <v>9</v>
      </c>
      <c r="C164" s="1124" t="s">
        <v>1057</v>
      </c>
      <c r="D164" s="1119"/>
      <c r="E164" s="1125">
        <v>0</v>
      </c>
      <c r="F164" s="1126">
        <v>0</v>
      </c>
      <c r="G164" s="1127">
        <v>0</v>
      </c>
      <c r="H164" s="1128">
        <v>0</v>
      </c>
      <c r="I164" s="1126">
        <v>0</v>
      </c>
      <c r="J164" s="1129">
        <v>0</v>
      </c>
      <c r="K164" s="1125">
        <v>0</v>
      </c>
      <c r="L164" s="1126">
        <v>0</v>
      </c>
      <c r="M164" s="1127">
        <v>0</v>
      </c>
    </row>
    <row r="165" spans="1:13" s="5" customFormat="1" ht="11.25" customHeight="1" x14ac:dyDescent="0.25">
      <c r="B165" s="1130">
        <v>10</v>
      </c>
      <c r="C165" s="1124" t="s">
        <v>1058</v>
      </c>
      <c r="D165" s="1119"/>
      <c r="E165" s="1125">
        <v>0</v>
      </c>
      <c r="F165" s="1126">
        <v>0</v>
      </c>
      <c r="G165" s="1127">
        <v>0</v>
      </c>
      <c r="H165" s="1128">
        <v>0</v>
      </c>
      <c r="I165" s="1126">
        <v>0</v>
      </c>
      <c r="J165" s="1129">
        <v>0</v>
      </c>
      <c r="K165" s="1125">
        <v>0</v>
      </c>
      <c r="L165" s="1126">
        <v>0</v>
      </c>
      <c r="M165" s="1127">
        <v>0</v>
      </c>
    </row>
    <row r="166" spans="1:13" s="5" customFormat="1" ht="11.25" customHeight="1" x14ac:dyDescent="0.25">
      <c r="B166" s="137"/>
      <c r="C166" s="1124" t="s">
        <v>1060</v>
      </c>
      <c r="D166" s="1119"/>
      <c r="E166" s="1125">
        <v>0</v>
      </c>
      <c r="F166" s="1126">
        <v>0</v>
      </c>
      <c r="G166" s="1127">
        <v>0</v>
      </c>
      <c r="H166" s="1128">
        <v>0</v>
      </c>
      <c r="I166" s="1126">
        <v>0</v>
      </c>
      <c r="J166" s="1129">
        <v>0</v>
      </c>
      <c r="K166" s="1125">
        <v>0</v>
      </c>
      <c r="L166" s="1126">
        <v>0</v>
      </c>
      <c r="M166" s="1127">
        <v>0</v>
      </c>
    </row>
    <row r="167" spans="1:13" s="5" customFormat="1" ht="11.25" customHeight="1" x14ac:dyDescent="0.25">
      <c r="B167" s="137"/>
      <c r="C167" s="1170" t="s">
        <v>1448</v>
      </c>
      <c r="D167" s="1119"/>
      <c r="E167" s="1135">
        <f>SUM(E164:E166)</f>
        <v>0</v>
      </c>
      <c r="F167" s="893">
        <f t="shared" ref="F167:M167" si="28">SUM(F164:F166)</f>
        <v>0</v>
      </c>
      <c r="G167" s="1136">
        <f t="shared" si="28"/>
        <v>0</v>
      </c>
      <c r="H167" s="1137">
        <f t="shared" si="28"/>
        <v>0</v>
      </c>
      <c r="I167" s="893">
        <f t="shared" si="28"/>
        <v>0</v>
      </c>
      <c r="J167" s="1138">
        <f t="shared" si="28"/>
        <v>0</v>
      </c>
      <c r="K167" s="1135">
        <f t="shared" si="28"/>
        <v>0</v>
      </c>
      <c r="L167" s="893">
        <f t="shared" si="28"/>
        <v>0</v>
      </c>
      <c r="M167" s="1136">
        <f t="shared" si="28"/>
        <v>0</v>
      </c>
    </row>
    <row r="168" spans="1:13" s="5" customFormat="1" ht="11.25" customHeight="1" x14ac:dyDescent="0.25">
      <c r="B168" s="137"/>
      <c r="C168" s="1139" t="s">
        <v>1061</v>
      </c>
      <c r="D168" s="1119"/>
      <c r="E168" s="1140">
        <f>E163+E167</f>
        <v>0</v>
      </c>
      <c r="F168" s="895">
        <f t="shared" ref="F168:M168" si="29">F163+F167</f>
        <v>0</v>
      </c>
      <c r="G168" s="1141">
        <f t="shared" si="29"/>
        <v>0</v>
      </c>
      <c r="H168" s="1142">
        <f t="shared" si="29"/>
        <v>0</v>
      </c>
      <c r="I168" s="895">
        <f t="shared" si="29"/>
        <v>0</v>
      </c>
      <c r="J168" s="1143">
        <f t="shared" si="29"/>
        <v>0</v>
      </c>
      <c r="K168" s="1140">
        <f t="shared" si="29"/>
        <v>0</v>
      </c>
      <c r="L168" s="895">
        <f t="shared" si="29"/>
        <v>0</v>
      </c>
      <c r="M168" s="1141">
        <f t="shared" si="29"/>
        <v>0</v>
      </c>
    </row>
    <row r="169" spans="1:13" s="5" customFormat="1" ht="11.25" customHeight="1" x14ac:dyDescent="0.25">
      <c r="A169" s="1159" t="s">
        <v>1454</v>
      </c>
      <c r="B169" s="137"/>
      <c r="C169" s="1118" t="s">
        <v>599</v>
      </c>
      <c r="D169" s="1119"/>
      <c r="E169" s="1144"/>
      <c r="F169" s="891"/>
      <c r="G169" s="1145"/>
      <c r="H169" s="1146"/>
      <c r="I169" s="891"/>
      <c r="J169" s="1145"/>
      <c r="K169" s="1144"/>
      <c r="L169" s="891"/>
      <c r="M169" s="1147"/>
    </row>
    <row r="170" spans="1:13" s="5" customFormat="1" ht="11.25" customHeight="1" x14ac:dyDescent="0.25">
      <c r="B170" s="137"/>
      <c r="C170" s="1124" t="s">
        <v>1062</v>
      </c>
      <c r="D170" s="1119"/>
      <c r="E170" s="1125">
        <v>0</v>
      </c>
      <c r="F170" s="1126">
        <v>0</v>
      </c>
      <c r="G170" s="1127">
        <v>0</v>
      </c>
      <c r="H170" s="1128">
        <v>0</v>
      </c>
      <c r="I170" s="1126">
        <v>0</v>
      </c>
      <c r="J170" s="1129">
        <v>0</v>
      </c>
      <c r="K170" s="1125">
        <v>0</v>
      </c>
      <c r="L170" s="1126">
        <v>0</v>
      </c>
      <c r="M170" s="1127">
        <v>0</v>
      </c>
    </row>
    <row r="171" spans="1:13" s="5" customFormat="1" ht="11.25" customHeight="1" x14ac:dyDescent="0.25">
      <c r="B171" s="137"/>
      <c r="C171" s="1124" t="s">
        <v>1063</v>
      </c>
      <c r="D171" s="1119"/>
      <c r="E171" s="1125">
        <v>0</v>
      </c>
      <c r="F171" s="1126">
        <v>0</v>
      </c>
      <c r="G171" s="1127">
        <v>0</v>
      </c>
      <c r="H171" s="1128">
        <v>0</v>
      </c>
      <c r="I171" s="1126">
        <v>0</v>
      </c>
      <c r="J171" s="1129">
        <v>0</v>
      </c>
      <c r="K171" s="1125">
        <v>0</v>
      </c>
      <c r="L171" s="1126">
        <v>0</v>
      </c>
      <c r="M171" s="1127">
        <v>0</v>
      </c>
    </row>
    <row r="172" spans="1:13" s="5" customFormat="1" ht="11.25" customHeight="1" x14ac:dyDescent="0.25">
      <c r="B172" s="137"/>
      <c r="C172" s="1124" t="s">
        <v>1064</v>
      </c>
      <c r="D172" s="1119"/>
      <c r="E172" s="1125">
        <v>0</v>
      </c>
      <c r="F172" s="1126">
        <v>0</v>
      </c>
      <c r="G172" s="1127">
        <v>0</v>
      </c>
      <c r="H172" s="1128">
        <v>0</v>
      </c>
      <c r="I172" s="1126">
        <v>0</v>
      </c>
      <c r="J172" s="1129">
        <v>0</v>
      </c>
      <c r="K172" s="1125">
        <v>0</v>
      </c>
      <c r="L172" s="1126">
        <v>0</v>
      </c>
      <c r="M172" s="1127">
        <v>0</v>
      </c>
    </row>
    <row r="173" spans="1:13" s="5" customFormat="1" ht="11.25" customHeight="1" x14ac:dyDescent="0.25">
      <c r="B173" s="137"/>
      <c r="C173" s="1124" t="s">
        <v>294</v>
      </c>
      <c r="D173" s="1119"/>
      <c r="E173" s="1125">
        <v>0</v>
      </c>
      <c r="F173" s="1126">
        <v>0</v>
      </c>
      <c r="G173" s="1127">
        <v>0</v>
      </c>
      <c r="H173" s="1128">
        <v>0</v>
      </c>
      <c r="I173" s="1126">
        <v>0</v>
      </c>
      <c r="J173" s="1129">
        <v>0</v>
      </c>
      <c r="K173" s="1125">
        <v>0</v>
      </c>
      <c r="L173" s="1126">
        <v>0</v>
      </c>
      <c r="M173" s="1127">
        <v>0</v>
      </c>
    </row>
    <row r="174" spans="1:13" s="5" customFormat="1" ht="11.25" customHeight="1" x14ac:dyDescent="0.25">
      <c r="B174" s="137"/>
      <c r="C174" s="1124" t="s">
        <v>296</v>
      </c>
      <c r="D174" s="1119"/>
      <c r="E174" s="1125">
        <v>0</v>
      </c>
      <c r="F174" s="1126">
        <v>0</v>
      </c>
      <c r="G174" s="1127">
        <v>0</v>
      </c>
      <c r="H174" s="1128">
        <v>0</v>
      </c>
      <c r="I174" s="1126">
        <v>0</v>
      </c>
      <c r="J174" s="1129">
        <v>0</v>
      </c>
      <c r="K174" s="1125">
        <v>0</v>
      </c>
      <c r="L174" s="1126">
        <v>0</v>
      </c>
      <c r="M174" s="1127">
        <v>0</v>
      </c>
    </row>
    <row r="175" spans="1:13" s="5" customFormat="1" ht="11.25" customHeight="1" x14ac:dyDescent="0.25">
      <c r="B175" s="137"/>
      <c r="C175" s="1170" t="s">
        <v>1117</v>
      </c>
      <c r="D175" s="1119"/>
      <c r="E175" s="1131">
        <f>SUM(E170:E174)</f>
        <v>0</v>
      </c>
      <c r="F175" s="701">
        <f t="shared" ref="F175:M175" si="30">SUM(F170:F174)</f>
        <v>0</v>
      </c>
      <c r="G175" s="1132">
        <f t="shared" si="30"/>
        <v>0</v>
      </c>
      <c r="H175" s="1133">
        <f t="shared" si="30"/>
        <v>0</v>
      </c>
      <c r="I175" s="701">
        <f t="shared" si="30"/>
        <v>0</v>
      </c>
      <c r="J175" s="1134">
        <f t="shared" si="30"/>
        <v>0</v>
      </c>
      <c r="K175" s="1131">
        <f t="shared" si="30"/>
        <v>0</v>
      </c>
      <c r="L175" s="701">
        <f t="shared" si="30"/>
        <v>0</v>
      </c>
      <c r="M175" s="1132">
        <f t="shared" si="30"/>
        <v>0</v>
      </c>
    </row>
    <row r="176" spans="1:13" s="5" customFormat="1" ht="11.25" customHeight="1" x14ac:dyDescent="0.25">
      <c r="B176" s="137"/>
      <c r="C176" s="1124" t="s">
        <v>295</v>
      </c>
      <c r="D176" s="1119"/>
      <c r="E176" s="1125">
        <v>0</v>
      </c>
      <c r="F176" s="1126">
        <v>0</v>
      </c>
      <c r="G176" s="1127">
        <v>0</v>
      </c>
      <c r="H176" s="1128">
        <v>0</v>
      </c>
      <c r="I176" s="1126">
        <v>0</v>
      </c>
      <c r="J176" s="1129">
        <v>0</v>
      </c>
      <c r="K176" s="1125">
        <v>0</v>
      </c>
      <c r="L176" s="1126">
        <v>0</v>
      </c>
      <c r="M176" s="1127">
        <v>0</v>
      </c>
    </row>
    <row r="177" spans="1:13" s="5" customFormat="1" ht="11.25" customHeight="1" x14ac:dyDescent="0.25">
      <c r="B177" s="137"/>
      <c r="C177" s="1124" t="s">
        <v>297</v>
      </c>
      <c r="D177" s="1119"/>
      <c r="E177" s="1125">
        <v>0</v>
      </c>
      <c r="F177" s="1126">
        <v>0</v>
      </c>
      <c r="G177" s="1127">
        <v>0</v>
      </c>
      <c r="H177" s="1128">
        <v>0</v>
      </c>
      <c r="I177" s="1126">
        <v>0</v>
      </c>
      <c r="J177" s="1129">
        <v>0</v>
      </c>
      <c r="K177" s="1125">
        <v>0</v>
      </c>
      <c r="L177" s="1126">
        <v>0</v>
      </c>
      <c r="M177" s="1127">
        <v>0</v>
      </c>
    </row>
    <row r="178" spans="1:13" s="5" customFormat="1" ht="11.25" customHeight="1" x14ac:dyDescent="0.25">
      <c r="B178" s="137"/>
      <c r="C178" s="1124" t="s">
        <v>1065</v>
      </c>
      <c r="D178" s="1119"/>
      <c r="E178" s="1125">
        <v>0</v>
      </c>
      <c r="F178" s="1126">
        <v>0</v>
      </c>
      <c r="G178" s="1127">
        <v>0</v>
      </c>
      <c r="H178" s="1128">
        <v>0</v>
      </c>
      <c r="I178" s="1126">
        <v>0</v>
      </c>
      <c r="J178" s="1129">
        <v>0</v>
      </c>
      <c r="K178" s="1125">
        <v>0</v>
      </c>
      <c r="L178" s="1126">
        <v>0</v>
      </c>
      <c r="M178" s="1127">
        <v>0</v>
      </c>
    </row>
    <row r="179" spans="1:13" s="5" customFormat="1" ht="11.25" customHeight="1" x14ac:dyDescent="0.25">
      <c r="B179" s="137"/>
      <c r="C179" s="1170" t="s">
        <v>1448</v>
      </c>
      <c r="D179" s="1119"/>
      <c r="E179" s="1135">
        <f>SUM(E176:E178)</f>
        <v>0</v>
      </c>
      <c r="F179" s="893">
        <f t="shared" ref="F179:M179" si="31">SUM(F176:F178)</f>
        <v>0</v>
      </c>
      <c r="G179" s="1136">
        <f t="shared" si="31"/>
        <v>0</v>
      </c>
      <c r="H179" s="1137">
        <f t="shared" si="31"/>
        <v>0</v>
      </c>
      <c r="I179" s="893">
        <f t="shared" si="31"/>
        <v>0</v>
      </c>
      <c r="J179" s="1138">
        <f t="shared" si="31"/>
        <v>0</v>
      </c>
      <c r="K179" s="1135">
        <f t="shared" si="31"/>
        <v>0</v>
      </c>
      <c r="L179" s="893">
        <f t="shared" si="31"/>
        <v>0</v>
      </c>
      <c r="M179" s="1136">
        <f t="shared" si="31"/>
        <v>0</v>
      </c>
    </row>
    <row r="180" spans="1:13" s="5" customFormat="1" ht="11.25" customHeight="1" x14ac:dyDescent="0.25">
      <c r="B180" s="137"/>
      <c r="C180" s="1139" t="s">
        <v>1061</v>
      </c>
      <c r="D180" s="1119"/>
      <c r="E180" s="1140">
        <f>E175+E179</f>
        <v>0</v>
      </c>
      <c r="F180" s="895">
        <f t="shared" ref="F180:M180" si="32">F175+F179</f>
        <v>0</v>
      </c>
      <c r="G180" s="1141">
        <f t="shared" si="32"/>
        <v>0</v>
      </c>
      <c r="H180" s="1142">
        <f t="shared" si="32"/>
        <v>0</v>
      </c>
      <c r="I180" s="895">
        <f t="shared" si="32"/>
        <v>0</v>
      </c>
      <c r="J180" s="1143">
        <f t="shared" si="32"/>
        <v>0</v>
      </c>
      <c r="K180" s="1140">
        <f t="shared" si="32"/>
        <v>0</v>
      </c>
      <c r="L180" s="895">
        <f t="shared" si="32"/>
        <v>0</v>
      </c>
      <c r="M180" s="1141">
        <f t="shared" si="32"/>
        <v>0</v>
      </c>
    </row>
    <row r="181" spans="1:13" s="5" customFormat="1" ht="11.25" customHeight="1" x14ac:dyDescent="0.25">
      <c r="A181" s="1159" t="s">
        <v>1454</v>
      </c>
      <c r="B181" s="137"/>
      <c r="C181" s="1118" t="s">
        <v>600</v>
      </c>
      <c r="D181" s="1119"/>
      <c r="E181" s="1144"/>
      <c r="F181" s="891"/>
      <c r="G181" s="1145"/>
      <c r="H181" s="1146"/>
      <c r="I181" s="891"/>
      <c r="J181" s="1145"/>
      <c r="K181" s="1144"/>
      <c r="L181" s="891"/>
      <c r="M181" s="1147"/>
    </row>
    <row r="182" spans="1:13" s="5" customFormat="1" ht="11.25" customHeight="1" x14ac:dyDescent="0.25">
      <c r="B182" s="137"/>
      <c r="C182" s="1124" t="s">
        <v>1449</v>
      </c>
      <c r="D182" s="1119"/>
      <c r="E182" s="1125">
        <v>0</v>
      </c>
      <c r="F182" s="1126">
        <v>0</v>
      </c>
      <c r="G182" s="1127">
        <v>0</v>
      </c>
      <c r="H182" s="1128">
        <v>0</v>
      </c>
      <c r="I182" s="1126">
        <v>0</v>
      </c>
      <c r="J182" s="1129">
        <v>0</v>
      </c>
      <c r="K182" s="1125">
        <v>0</v>
      </c>
      <c r="L182" s="1126">
        <v>0</v>
      </c>
      <c r="M182" s="1127">
        <v>0</v>
      </c>
    </row>
    <row r="183" spans="1:13" s="5" customFormat="1" ht="11.25" customHeight="1" x14ac:dyDescent="0.25">
      <c r="B183" s="137"/>
      <c r="C183" s="1124" t="s">
        <v>1450</v>
      </c>
      <c r="D183" s="1119"/>
      <c r="E183" s="1125">
        <v>0</v>
      </c>
      <c r="F183" s="1126">
        <v>0</v>
      </c>
      <c r="G183" s="1127">
        <v>0</v>
      </c>
      <c r="H183" s="1128">
        <v>0</v>
      </c>
      <c r="I183" s="1126">
        <v>0</v>
      </c>
      <c r="J183" s="1129">
        <v>0</v>
      </c>
      <c r="K183" s="1125">
        <v>0</v>
      </c>
      <c r="L183" s="1126">
        <v>0</v>
      </c>
      <c r="M183" s="1127">
        <v>0</v>
      </c>
    </row>
    <row r="184" spans="1:13" s="5" customFormat="1" ht="11.25" customHeight="1" x14ac:dyDescent="0.25">
      <c r="B184" s="137"/>
      <c r="C184" s="1170" t="s">
        <v>1117</v>
      </c>
      <c r="D184" s="1119"/>
      <c r="E184" s="1131">
        <f>SUM(E182:E183)</f>
        <v>0</v>
      </c>
      <c r="F184" s="701">
        <f t="shared" ref="F184:M184" si="33">SUM(F182:F183)</f>
        <v>0</v>
      </c>
      <c r="G184" s="1132">
        <f t="shared" si="33"/>
        <v>0</v>
      </c>
      <c r="H184" s="1133">
        <f t="shared" si="33"/>
        <v>0</v>
      </c>
      <c r="I184" s="701">
        <f t="shared" si="33"/>
        <v>0</v>
      </c>
      <c r="J184" s="1134">
        <f t="shared" si="33"/>
        <v>0</v>
      </c>
      <c r="K184" s="1131">
        <f t="shared" si="33"/>
        <v>0</v>
      </c>
      <c r="L184" s="701">
        <f t="shared" si="33"/>
        <v>0</v>
      </c>
      <c r="M184" s="1132">
        <f t="shared" si="33"/>
        <v>0</v>
      </c>
    </row>
    <row r="185" spans="1:13" s="5" customFormat="1" ht="11.25" customHeight="1" x14ac:dyDescent="0.25">
      <c r="B185" s="137"/>
      <c r="C185" s="1124" t="s">
        <v>1066</v>
      </c>
      <c r="D185" s="1119"/>
      <c r="E185" s="1125">
        <v>0</v>
      </c>
      <c r="F185" s="1126">
        <v>0</v>
      </c>
      <c r="G185" s="1127">
        <v>0</v>
      </c>
      <c r="H185" s="1128">
        <v>0</v>
      </c>
      <c r="I185" s="1126">
        <v>0</v>
      </c>
      <c r="J185" s="1129">
        <v>0</v>
      </c>
      <c r="K185" s="1125">
        <v>0</v>
      </c>
      <c r="L185" s="1126">
        <v>0</v>
      </c>
      <c r="M185" s="1127">
        <v>0</v>
      </c>
    </row>
    <row r="186" spans="1:13" s="5" customFormat="1" ht="11.25" customHeight="1" x14ac:dyDescent="0.25">
      <c r="B186" s="137"/>
      <c r="C186" s="1124" t="s">
        <v>1067</v>
      </c>
      <c r="D186" s="1119"/>
      <c r="E186" s="1125">
        <v>0</v>
      </c>
      <c r="F186" s="1126">
        <v>0</v>
      </c>
      <c r="G186" s="1127">
        <v>0</v>
      </c>
      <c r="H186" s="1128">
        <v>0</v>
      </c>
      <c r="I186" s="1126">
        <v>0</v>
      </c>
      <c r="J186" s="1129">
        <v>0</v>
      </c>
      <c r="K186" s="1125">
        <v>0</v>
      </c>
      <c r="L186" s="1126">
        <v>0</v>
      </c>
      <c r="M186" s="1127">
        <v>0</v>
      </c>
    </row>
    <row r="187" spans="1:13" s="5" customFormat="1" ht="11.25" customHeight="1" x14ac:dyDescent="0.25">
      <c r="B187" s="137"/>
      <c r="C187" s="1124" t="s">
        <v>1068</v>
      </c>
      <c r="D187" s="1119"/>
      <c r="E187" s="1125">
        <v>0</v>
      </c>
      <c r="F187" s="1126">
        <v>0</v>
      </c>
      <c r="G187" s="1127">
        <v>0</v>
      </c>
      <c r="H187" s="1128">
        <v>0</v>
      </c>
      <c r="I187" s="1126">
        <v>0</v>
      </c>
      <c r="J187" s="1129">
        <v>0</v>
      </c>
      <c r="K187" s="1125">
        <v>0</v>
      </c>
      <c r="L187" s="1126">
        <v>0</v>
      </c>
      <c r="M187" s="1127">
        <v>0</v>
      </c>
    </row>
    <row r="188" spans="1:13" s="5" customFormat="1" ht="11.25" customHeight="1" x14ac:dyDescent="0.25">
      <c r="B188" s="137"/>
      <c r="C188" s="1170" t="s">
        <v>1448</v>
      </c>
      <c r="D188" s="1119"/>
      <c r="E188" s="1135">
        <f>SUM(E185:E187)</f>
        <v>0</v>
      </c>
      <c r="F188" s="893">
        <f t="shared" ref="F188:M188" si="34">SUM(F185:F187)</f>
        <v>0</v>
      </c>
      <c r="G188" s="1136">
        <f t="shared" si="34"/>
        <v>0</v>
      </c>
      <c r="H188" s="1137">
        <f t="shared" si="34"/>
        <v>0</v>
      </c>
      <c r="I188" s="893">
        <f t="shared" si="34"/>
        <v>0</v>
      </c>
      <c r="J188" s="1138">
        <f t="shared" si="34"/>
        <v>0</v>
      </c>
      <c r="K188" s="1135">
        <f t="shared" si="34"/>
        <v>0</v>
      </c>
      <c r="L188" s="893">
        <f t="shared" si="34"/>
        <v>0</v>
      </c>
      <c r="M188" s="1136">
        <f t="shared" si="34"/>
        <v>0</v>
      </c>
    </row>
    <row r="189" spans="1:13" s="5" customFormat="1" ht="11.25" customHeight="1" x14ac:dyDescent="0.25">
      <c r="B189" s="137"/>
      <c r="C189" s="1139" t="s">
        <v>1061</v>
      </c>
      <c r="D189" s="1119"/>
      <c r="E189" s="1140">
        <f>E184+E188</f>
        <v>0</v>
      </c>
      <c r="F189" s="895">
        <f t="shared" ref="F189:M189" si="35">F184+F188</f>
        <v>0</v>
      </c>
      <c r="G189" s="1141">
        <f t="shared" si="35"/>
        <v>0</v>
      </c>
      <c r="H189" s="1142">
        <f t="shared" si="35"/>
        <v>0</v>
      </c>
      <c r="I189" s="895">
        <f t="shared" si="35"/>
        <v>0</v>
      </c>
      <c r="J189" s="1143">
        <f t="shared" si="35"/>
        <v>0</v>
      </c>
      <c r="K189" s="1140">
        <f t="shared" si="35"/>
        <v>0</v>
      </c>
      <c r="L189" s="895">
        <f t="shared" si="35"/>
        <v>0</v>
      </c>
      <c r="M189" s="1141">
        <f t="shared" si="35"/>
        <v>0</v>
      </c>
    </row>
    <row r="190" spans="1:13" s="5" customFormat="1" ht="11.25" customHeight="1" x14ac:dyDescent="0.25">
      <c r="A190" s="1159" t="s">
        <v>1454</v>
      </c>
      <c r="B190" s="137"/>
      <c r="C190" s="1118" t="s">
        <v>601</v>
      </c>
      <c r="D190" s="1119"/>
      <c r="E190" s="1144"/>
      <c r="F190" s="891"/>
      <c r="G190" s="1145"/>
      <c r="H190" s="1146"/>
      <c r="I190" s="891"/>
      <c r="J190" s="1145"/>
      <c r="K190" s="1144"/>
      <c r="L190" s="891"/>
      <c r="M190" s="1147"/>
    </row>
    <row r="191" spans="1:13" s="5" customFormat="1" ht="11.25" customHeight="1" x14ac:dyDescent="0.25">
      <c r="B191" s="137"/>
      <c r="C191" s="1124" t="s">
        <v>1451</v>
      </c>
      <c r="D191" s="1119"/>
      <c r="E191" s="1148">
        <v>0</v>
      </c>
      <c r="F191" s="1149">
        <v>0</v>
      </c>
      <c r="G191" s="1150">
        <v>0</v>
      </c>
      <c r="H191" s="1151">
        <v>0</v>
      </c>
      <c r="I191" s="1149">
        <v>0</v>
      </c>
      <c r="J191" s="1152">
        <v>0</v>
      </c>
      <c r="K191" s="1148">
        <v>0</v>
      </c>
      <c r="L191" s="1149">
        <v>0</v>
      </c>
      <c r="M191" s="1150">
        <v>0</v>
      </c>
    </row>
    <row r="192" spans="1:13" s="5" customFormat="1" ht="11.25" customHeight="1" x14ac:dyDescent="0.25">
      <c r="B192" s="137"/>
      <c r="C192" s="1170" t="s">
        <v>1117</v>
      </c>
      <c r="D192" s="1119"/>
      <c r="E192" s="1144">
        <f>SUM(E191)</f>
        <v>0</v>
      </c>
      <c r="F192" s="891">
        <f t="shared" ref="F192:M192" si="36">SUM(F191)</f>
        <v>0</v>
      </c>
      <c r="G192" s="1147">
        <f t="shared" si="36"/>
        <v>0</v>
      </c>
      <c r="H192" s="1146">
        <f t="shared" si="36"/>
        <v>0</v>
      </c>
      <c r="I192" s="891">
        <f t="shared" si="36"/>
        <v>0</v>
      </c>
      <c r="J192" s="1145">
        <f t="shared" si="36"/>
        <v>0</v>
      </c>
      <c r="K192" s="1144">
        <f t="shared" si="36"/>
        <v>0</v>
      </c>
      <c r="L192" s="891">
        <f t="shared" si="36"/>
        <v>0</v>
      </c>
      <c r="M192" s="1147">
        <f t="shared" si="36"/>
        <v>0</v>
      </c>
    </row>
    <row r="193" spans="1:13" s="5" customFormat="1" ht="11.25" customHeight="1" x14ac:dyDescent="0.25">
      <c r="B193" s="137"/>
      <c r="C193" s="1124" t="s">
        <v>1070</v>
      </c>
      <c r="D193" s="1119"/>
      <c r="E193" s="1125">
        <v>0</v>
      </c>
      <c r="F193" s="1126">
        <v>0</v>
      </c>
      <c r="G193" s="1127">
        <v>0</v>
      </c>
      <c r="H193" s="1128">
        <v>0</v>
      </c>
      <c r="I193" s="1126">
        <v>0</v>
      </c>
      <c r="J193" s="1129">
        <v>0</v>
      </c>
      <c r="K193" s="1125">
        <v>0</v>
      </c>
      <c r="L193" s="1126">
        <v>0</v>
      </c>
      <c r="M193" s="1127">
        <v>0</v>
      </c>
    </row>
    <row r="194" spans="1:13" s="5" customFormat="1" ht="11.25" customHeight="1" x14ac:dyDescent="0.25">
      <c r="B194" s="137"/>
      <c r="C194" s="1124" t="s">
        <v>1071</v>
      </c>
      <c r="D194" s="1119"/>
      <c r="E194" s="1125">
        <v>0</v>
      </c>
      <c r="F194" s="1126">
        <v>0</v>
      </c>
      <c r="G194" s="1127">
        <v>0</v>
      </c>
      <c r="H194" s="1128">
        <v>0</v>
      </c>
      <c r="I194" s="1126">
        <v>0</v>
      </c>
      <c r="J194" s="1129">
        <v>0</v>
      </c>
      <c r="K194" s="1125">
        <v>0</v>
      </c>
      <c r="L194" s="1126">
        <v>0</v>
      </c>
      <c r="M194" s="1127">
        <v>0</v>
      </c>
    </row>
    <row r="195" spans="1:13" s="5" customFormat="1" ht="11.25" customHeight="1" x14ac:dyDescent="0.25">
      <c r="B195" s="137"/>
      <c r="C195" s="1124" t="s">
        <v>1072</v>
      </c>
      <c r="D195" s="1119"/>
      <c r="E195" s="1125">
        <v>0</v>
      </c>
      <c r="F195" s="1126">
        <v>0</v>
      </c>
      <c r="G195" s="1127">
        <v>0</v>
      </c>
      <c r="H195" s="1128">
        <v>0</v>
      </c>
      <c r="I195" s="1126">
        <v>0</v>
      </c>
      <c r="J195" s="1129">
        <v>0</v>
      </c>
      <c r="K195" s="1125">
        <v>0</v>
      </c>
      <c r="L195" s="1126">
        <v>0</v>
      </c>
      <c r="M195" s="1127">
        <v>0</v>
      </c>
    </row>
    <row r="196" spans="1:13" s="5" customFormat="1" ht="11.25" customHeight="1" x14ac:dyDescent="0.25">
      <c r="B196" s="137"/>
      <c r="C196" s="1124" t="s">
        <v>1073</v>
      </c>
      <c r="D196" s="1119"/>
      <c r="E196" s="1125">
        <v>0</v>
      </c>
      <c r="F196" s="1126">
        <v>0</v>
      </c>
      <c r="G196" s="1127">
        <v>0</v>
      </c>
      <c r="H196" s="1128">
        <v>0</v>
      </c>
      <c r="I196" s="1126">
        <v>0</v>
      </c>
      <c r="J196" s="1129">
        <v>0</v>
      </c>
      <c r="K196" s="1125">
        <v>0</v>
      </c>
      <c r="L196" s="1126">
        <v>0</v>
      </c>
      <c r="M196" s="1127">
        <v>0</v>
      </c>
    </row>
    <row r="197" spans="1:13" s="5" customFormat="1" ht="11.25" customHeight="1" x14ac:dyDescent="0.25">
      <c r="B197" s="137"/>
      <c r="C197" s="1124" t="s">
        <v>1074</v>
      </c>
      <c r="D197" s="1119"/>
      <c r="E197" s="1125">
        <v>0</v>
      </c>
      <c r="F197" s="1126">
        <v>0</v>
      </c>
      <c r="G197" s="1127">
        <v>0</v>
      </c>
      <c r="H197" s="1128">
        <v>0</v>
      </c>
      <c r="I197" s="1126">
        <v>0</v>
      </c>
      <c r="J197" s="1129">
        <v>0</v>
      </c>
      <c r="K197" s="1125">
        <v>0</v>
      </c>
      <c r="L197" s="1126">
        <v>0</v>
      </c>
      <c r="M197" s="1127">
        <v>0</v>
      </c>
    </row>
    <row r="198" spans="1:13" s="5" customFormat="1" ht="11.25" customHeight="1" x14ac:dyDescent="0.25">
      <c r="B198" s="137"/>
      <c r="C198" s="1170" t="s">
        <v>1448</v>
      </c>
      <c r="D198" s="1119"/>
      <c r="E198" s="1135">
        <f t="shared" ref="E198:M198" si="37">SUM(E193:E197)</f>
        <v>0</v>
      </c>
      <c r="F198" s="893">
        <f t="shared" si="37"/>
        <v>0</v>
      </c>
      <c r="G198" s="1136">
        <f t="shared" si="37"/>
        <v>0</v>
      </c>
      <c r="H198" s="1137">
        <f t="shared" si="37"/>
        <v>0</v>
      </c>
      <c r="I198" s="893">
        <f t="shared" si="37"/>
        <v>0</v>
      </c>
      <c r="J198" s="1138">
        <f t="shared" si="37"/>
        <v>0</v>
      </c>
      <c r="K198" s="1135">
        <f t="shared" si="37"/>
        <v>0</v>
      </c>
      <c r="L198" s="893">
        <f t="shared" si="37"/>
        <v>0</v>
      </c>
      <c r="M198" s="1136">
        <f t="shared" si="37"/>
        <v>0</v>
      </c>
    </row>
    <row r="199" spans="1:13" s="5" customFormat="1" ht="11.25" customHeight="1" x14ac:dyDescent="0.25">
      <c r="B199" s="137"/>
      <c r="C199" s="1139" t="s">
        <v>1061</v>
      </c>
      <c r="D199" s="1119"/>
      <c r="E199" s="1140">
        <f>E192+E198</f>
        <v>0</v>
      </c>
      <c r="F199" s="895">
        <f t="shared" ref="F199:M199" si="38">F192+F198</f>
        <v>0</v>
      </c>
      <c r="G199" s="1141">
        <f t="shared" si="38"/>
        <v>0</v>
      </c>
      <c r="H199" s="1142">
        <f t="shared" si="38"/>
        <v>0</v>
      </c>
      <c r="I199" s="895">
        <f t="shared" si="38"/>
        <v>0</v>
      </c>
      <c r="J199" s="1143">
        <f t="shared" si="38"/>
        <v>0</v>
      </c>
      <c r="K199" s="1140">
        <f t="shared" si="38"/>
        <v>0</v>
      </c>
      <c r="L199" s="895">
        <f t="shared" si="38"/>
        <v>0</v>
      </c>
      <c r="M199" s="1141">
        <f t="shared" si="38"/>
        <v>0</v>
      </c>
    </row>
    <row r="200" spans="1:13" s="5" customFormat="1" ht="5.0999999999999996" customHeight="1" x14ac:dyDescent="0.25">
      <c r="B200" s="137"/>
      <c r="C200" s="1153"/>
      <c r="D200" s="1154"/>
      <c r="E200" s="1155"/>
      <c r="F200" s="272"/>
      <c r="G200" s="1156"/>
      <c r="H200" s="1157"/>
      <c r="I200" s="272"/>
      <c r="J200" s="1158"/>
      <c r="K200" s="1155"/>
      <c r="L200" s="272"/>
      <c r="M200" s="1156"/>
    </row>
    <row r="201" spans="1:13" s="5" customFormat="1" ht="24.95" customHeight="1" x14ac:dyDescent="0.25">
      <c r="A201" s="1446" t="s">
        <v>1455</v>
      </c>
      <c r="B201" s="1095"/>
      <c r="C201" s="1096"/>
      <c r="D201" s="1097"/>
      <c r="E201" s="1098" t="str">
        <f>Head1B</f>
        <v>2017/18</v>
      </c>
      <c r="F201" s="1099" t="str">
        <f>Head1A</f>
        <v>2018/19</v>
      </c>
      <c r="G201" s="1100" t="str">
        <f>Head1</f>
        <v>2019/20</v>
      </c>
      <c r="H201" s="1429" t="str">
        <f>Head2</f>
        <v>Budget Year 2020/21</v>
      </c>
      <c r="I201" s="1430"/>
      <c r="J201" s="1447"/>
      <c r="K201" s="1429" t="str">
        <f>Head3</f>
        <v>2020/21 Medium Term Revenue &amp; Expenditure Framework</v>
      </c>
      <c r="L201" s="1430"/>
      <c r="M201" s="1447"/>
    </row>
    <row r="202" spans="1:13" s="5" customFormat="1" ht="24.95" customHeight="1" x14ac:dyDescent="0.25">
      <c r="A202" s="1446"/>
      <c r="B202" s="1101" t="s">
        <v>1344</v>
      </c>
      <c r="C202" s="1102"/>
      <c r="D202" s="1103"/>
      <c r="E202" s="1104" t="str">
        <f>Head5A</f>
        <v>Outcome</v>
      </c>
      <c r="F202" s="1105" t="str">
        <f>Head5A</f>
        <v>Outcome</v>
      </c>
      <c r="G202" s="1106" t="str">
        <f>Head5A</f>
        <v>Outcome</v>
      </c>
      <c r="H202" s="1107" t="str">
        <f>Head6</f>
        <v>Original Budget</v>
      </c>
      <c r="I202" s="1105" t="str">
        <f>Head7</f>
        <v>Adjusted Budget</v>
      </c>
      <c r="J202" s="1106" t="str">
        <f>Head8</f>
        <v>Full Year Forecast</v>
      </c>
      <c r="K202" s="1107" t="str">
        <f>Head9</f>
        <v>Budget Year 2020/21</v>
      </c>
      <c r="L202" s="1105" t="str">
        <f>Head10</f>
        <v>Budget Year +1 2021/22</v>
      </c>
      <c r="M202" s="1106" t="str">
        <f>Head11</f>
        <v>Budget Year +2 2022/23</v>
      </c>
    </row>
    <row r="203" spans="1:13" s="5" customFormat="1" ht="11.25" customHeight="1" x14ac:dyDescent="0.25">
      <c r="A203" s="1160" t="s">
        <v>1456</v>
      </c>
      <c r="B203" s="137"/>
      <c r="C203" s="1108" t="s">
        <v>1447</v>
      </c>
      <c r="D203" s="1119"/>
      <c r="E203" s="1110"/>
      <c r="F203" s="1111"/>
      <c r="G203" s="1112"/>
      <c r="H203" s="1113"/>
      <c r="I203" s="1114"/>
      <c r="J203" s="1115"/>
      <c r="K203" s="1116"/>
      <c r="L203" s="1114"/>
      <c r="M203" s="1117"/>
    </row>
    <row r="204" spans="1:13" s="5" customFormat="1" ht="11.25" customHeight="1" x14ac:dyDescent="0.25">
      <c r="A204" s="1161"/>
      <c r="B204" s="137"/>
      <c r="C204" s="1118" t="s">
        <v>598</v>
      </c>
      <c r="D204" s="1119"/>
      <c r="E204" s="704"/>
      <c r="F204" s="257"/>
      <c r="G204" s="1120"/>
      <c r="H204" s="1121"/>
      <c r="I204" s="132"/>
      <c r="J204" s="888"/>
      <c r="K204" s="1122"/>
      <c r="L204" s="132"/>
      <c r="M204" s="1123"/>
    </row>
    <row r="205" spans="1:13" s="5" customFormat="1" ht="11.25" customHeight="1" x14ac:dyDescent="0.25">
      <c r="A205" s="1161"/>
      <c r="B205" s="137"/>
      <c r="C205" s="1124" t="s">
        <v>1053</v>
      </c>
      <c r="D205" s="1119"/>
      <c r="E205" s="1125">
        <v>0</v>
      </c>
      <c r="F205" s="1126">
        <v>0</v>
      </c>
      <c r="G205" s="1127">
        <v>0</v>
      </c>
      <c r="H205" s="1128">
        <v>0</v>
      </c>
      <c r="I205" s="1126">
        <v>0</v>
      </c>
      <c r="J205" s="1129">
        <v>0</v>
      </c>
      <c r="K205" s="1125">
        <v>0</v>
      </c>
      <c r="L205" s="1126">
        <v>0</v>
      </c>
      <c r="M205" s="1127">
        <v>0</v>
      </c>
    </row>
    <row r="206" spans="1:13" s="5" customFormat="1" ht="11.25" customHeight="1" x14ac:dyDescent="0.25">
      <c r="A206" s="1161"/>
      <c r="B206" s="137"/>
      <c r="C206" s="1124" t="s">
        <v>1054</v>
      </c>
      <c r="D206" s="1119"/>
      <c r="E206" s="1125">
        <v>0</v>
      </c>
      <c r="F206" s="1126">
        <v>0</v>
      </c>
      <c r="G206" s="1127">
        <v>0</v>
      </c>
      <c r="H206" s="1128">
        <v>0</v>
      </c>
      <c r="I206" s="1126">
        <v>0</v>
      </c>
      <c r="J206" s="1129">
        <v>0</v>
      </c>
      <c r="K206" s="1125">
        <v>0</v>
      </c>
      <c r="L206" s="1126">
        <v>0</v>
      </c>
      <c r="M206" s="1127">
        <v>0</v>
      </c>
    </row>
    <row r="207" spans="1:13" s="5" customFormat="1" ht="11.25" customHeight="1" x14ac:dyDescent="0.25">
      <c r="A207" s="1161"/>
      <c r="B207" s="1130">
        <v>8</v>
      </c>
      <c r="C207" s="1124" t="s">
        <v>1055</v>
      </c>
      <c r="D207" s="1119"/>
      <c r="E207" s="1125">
        <v>0</v>
      </c>
      <c r="F207" s="1126">
        <v>0</v>
      </c>
      <c r="G207" s="1127">
        <v>0</v>
      </c>
      <c r="H207" s="1128">
        <v>0</v>
      </c>
      <c r="I207" s="1126">
        <v>0</v>
      </c>
      <c r="J207" s="1129">
        <v>0</v>
      </c>
      <c r="K207" s="1125">
        <v>0</v>
      </c>
      <c r="L207" s="1126">
        <v>0</v>
      </c>
      <c r="M207" s="1127">
        <v>0</v>
      </c>
    </row>
    <row r="208" spans="1:13" s="5" customFormat="1" ht="11.25" customHeight="1" x14ac:dyDescent="0.25">
      <c r="A208" s="1161"/>
      <c r="B208" s="1130">
        <v>10</v>
      </c>
      <c r="C208" s="1124" t="s">
        <v>1056</v>
      </c>
      <c r="D208" s="1119"/>
      <c r="E208" s="1125">
        <v>0</v>
      </c>
      <c r="F208" s="1126">
        <v>0</v>
      </c>
      <c r="G208" s="1127">
        <v>0</v>
      </c>
      <c r="H208" s="1128">
        <v>0</v>
      </c>
      <c r="I208" s="1126">
        <v>0</v>
      </c>
      <c r="J208" s="1129">
        <v>0</v>
      </c>
      <c r="K208" s="1125">
        <v>0</v>
      </c>
      <c r="L208" s="1126">
        <v>0</v>
      </c>
      <c r="M208" s="1127">
        <v>0</v>
      </c>
    </row>
    <row r="209" spans="1:13" s="5" customFormat="1" ht="11.25" customHeight="1" x14ac:dyDescent="0.25">
      <c r="A209" s="1161"/>
      <c r="B209" s="1130"/>
      <c r="C209" s="1170" t="s">
        <v>1117</v>
      </c>
      <c r="D209" s="1119"/>
      <c r="E209" s="1131">
        <f>SUM(E205:E208)</f>
        <v>0</v>
      </c>
      <c r="F209" s="701">
        <f t="shared" ref="F209:M209" si="39">SUM(F205:F208)</f>
        <v>0</v>
      </c>
      <c r="G209" s="1132">
        <f t="shared" si="39"/>
        <v>0</v>
      </c>
      <c r="H209" s="1133">
        <f t="shared" si="39"/>
        <v>0</v>
      </c>
      <c r="I209" s="701">
        <f t="shared" si="39"/>
        <v>0</v>
      </c>
      <c r="J209" s="1134">
        <f t="shared" si="39"/>
        <v>0</v>
      </c>
      <c r="K209" s="1131">
        <f t="shared" si="39"/>
        <v>0</v>
      </c>
      <c r="L209" s="701">
        <f t="shared" si="39"/>
        <v>0</v>
      </c>
      <c r="M209" s="1132">
        <f t="shared" si="39"/>
        <v>0</v>
      </c>
    </row>
    <row r="210" spans="1:13" s="5" customFormat="1" ht="11.25" customHeight="1" x14ac:dyDescent="0.25">
      <c r="A210" s="1161"/>
      <c r="B210" s="1130">
        <v>9</v>
      </c>
      <c r="C210" s="1124" t="s">
        <v>1057</v>
      </c>
      <c r="D210" s="1119"/>
      <c r="E210" s="1125">
        <v>0</v>
      </c>
      <c r="F210" s="1126">
        <v>0</v>
      </c>
      <c r="G210" s="1127">
        <v>0</v>
      </c>
      <c r="H210" s="1128">
        <v>0</v>
      </c>
      <c r="I210" s="1126">
        <v>0</v>
      </c>
      <c r="J210" s="1129">
        <v>0</v>
      </c>
      <c r="K210" s="1125">
        <v>0</v>
      </c>
      <c r="L210" s="1126">
        <v>0</v>
      </c>
      <c r="M210" s="1127">
        <v>0</v>
      </c>
    </row>
    <row r="211" spans="1:13" s="5" customFormat="1" ht="11.25" customHeight="1" x14ac:dyDescent="0.25">
      <c r="A211" s="1161"/>
      <c r="B211" s="1130">
        <v>10</v>
      </c>
      <c r="C211" s="1124" t="s">
        <v>1058</v>
      </c>
      <c r="D211" s="1119"/>
      <c r="E211" s="1125">
        <v>0</v>
      </c>
      <c r="F211" s="1126">
        <v>0</v>
      </c>
      <c r="G211" s="1127">
        <v>0</v>
      </c>
      <c r="H211" s="1128">
        <v>0</v>
      </c>
      <c r="I211" s="1126">
        <v>0</v>
      </c>
      <c r="J211" s="1129">
        <v>0</v>
      </c>
      <c r="K211" s="1125">
        <v>0</v>
      </c>
      <c r="L211" s="1126">
        <v>0</v>
      </c>
      <c r="M211" s="1127">
        <v>0</v>
      </c>
    </row>
    <row r="212" spans="1:13" s="5" customFormat="1" ht="11.25" customHeight="1" x14ac:dyDescent="0.25">
      <c r="A212" s="1161"/>
      <c r="B212" s="137"/>
      <c r="C212" s="1124" t="s">
        <v>1060</v>
      </c>
      <c r="D212" s="1119"/>
      <c r="E212" s="1125">
        <v>0</v>
      </c>
      <c r="F212" s="1126">
        <v>0</v>
      </c>
      <c r="G212" s="1127">
        <v>0</v>
      </c>
      <c r="H212" s="1128">
        <v>0</v>
      </c>
      <c r="I212" s="1126">
        <v>0</v>
      </c>
      <c r="J212" s="1129">
        <v>0</v>
      </c>
      <c r="K212" s="1125">
        <v>0</v>
      </c>
      <c r="L212" s="1126">
        <v>0</v>
      </c>
      <c r="M212" s="1127">
        <v>0</v>
      </c>
    </row>
    <row r="213" spans="1:13" s="5" customFormat="1" ht="11.25" customHeight="1" x14ac:dyDescent="0.25">
      <c r="A213" s="1161"/>
      <c r="B213" s="137"/>
      <c r="C213" s="1170" t="s">
        <v>1448</v>
      </c>
      <c r="D213" s="1119"/>
      <c r="E213" s="1135">
        <f>SUM(E210:E212)</f>
        <v>0</v>
      </c>
      <c r="F213" s="893">
        <f t="shared" ref="F213:M213" si="40">SUM(F210:F212)</f>
        <v>0</v>
      </c>
      <c r="G213" s="1136">
        <f t="shared" si="40"/>
        <v>0</v>
      </c>
      <c r="H213" s="1137">
        <f t="shared" si="40"/>
        <v>0</v>
      </c>
      <c r="I213" s="893">
        <f t="shared" si="40"/>
        <v>0</v>
      </c>
      <c r="J213" s="1138">
        <f t="shared" si="40"/>
        <v>0</v>
      </c>
      <c r="K213" s="1135">
        <f t="shared" si="40"/>
        <v>0</v>
      </c>
      <c r="L213" s="893">
        <f t="shared" si="40"/>
        <v>0</v>
      </c>
      <c r="M213" s="1136">
        <f t="shared" si="40"/>
        <v>0</v>
      </c>
    </row>
    <row r="214" spans="1:13" s="5" customFormat="1" ht="11.25" customHeight="1" x14ac:dyDescent="0.25">
      <c r="B214" s="137"/>
      <c r="C214" s="1139" t="s">
        <v>1061</v>
      </c>
      <c r="D214" s="1119"/>
      <c r="E214" s="1140">
        <f>E209+E213</f>
        <v>0</v>
      </c>
      <c r="F214" s="895">
        <f t="shared" ref="F214:M214" si="41">F209+F213</f>
        <v>0</v>
      </c>
      <c r="G214" s="1141">
        <f t="shared" si="41"/>
        <v>0</v>
      </c>
      <c r="H214" s="1142">
        <f t="shared" si="41"/>
        <v>0</v>
      </c>
      <c r="I214" s="895">
        <f t="shared" si="41"/>
        <v>0</v>
      </c>
      <c r="J214" s="1143">
        <f t="shared" si="41"/>
        <v>0</v>
      </c>
      <c r="K214" s="1140">
        <f t="shared" si="41"/>
        <v>0</v>
      </c>
      <c r="L214" s="895">
        <f t="shared" si="41"/>
        <v>0</v>
      </c>
      <c r="M214" s="1141">
        <f t="shared" si="41"/>
        <v>0</v>
      </c>
    </row>
    <row r="215" spans="1:13" s="5" customFormat="1" ht="11.25" customHeight="1" x14ac:dyDescent="0.25">
      <c r="A215" s="1160" t="s">
        <v>1456</v>
      </c>
      <c r="B215" s="137"/>
      <c r="C215" s="1118" t="s">
        <v>599</v>
      </c>
      <c r="D215" s="1119"/>
      <c r="E215" s="1144"/>
      <c r="F215" s="891"/>
      <c r="G215" s="1145"/>
      <c r="H215" s="1146"/>
      <c r="I215" s="891"/>
      <c r="J215" s="1145"/>
      <c r="K215" s="1144"/>
      <c r="L215" s="891"/>
      <c r="M215" s="1147"/>
    </row>
    <row r="216" spans="1:13" s="5" customFormat="1" ht="11.25" customHeight="1" x14ac:dyDescent="0.25">
      <c r="A216" s="1161"/>
      <c r="B216" s="137"/>
      <c r="C216" s="1124" t="s">
        <v>1062</v>
      </c>
      <c r="D216" s="1119"/>
      <c r="E216" s="1125">
        <v>0</v>
      </c>
      <c r="F216" s="1126">
        <v>0</v>
      </c>
      <c r="G216" s="1127">
        <v>0</v>
      </c>
      <c r="H216" s="1128">
        <v>0</v>
      </c>
      <c r="I216" s="1126">
        <v>0</v>
      </c>
      <c r="J216" s="1129">
        <v>0</v>
      </c>
      <c r="K216" s="1125">
        <v>0</v>
      </c>
      <c r="L216" s="1126">
        <v>0</v>
      </c>
      <c r="M216" s="1127">
        <v>0</v>
      </c>
    </row>
    <row r="217" spans="1:13" s="5" customFormat="1" ht="11.25" customHeight="1" x14ac:dyDescent="0.25">
      <c r="A217" s="1161"/>
      <c r="B217" s="137"/>
      <c r="C217" s="1124" t="s">
        <v>1063</v>
      </c>
      <c r="D217" s="1119"/>
      <c r="E217" s="1125">
        <v>0</v>
      </c>
      <c r="F217" s="1126">
        <v>0</v>
      </c>
      <c r="G217" s="1127">
        <v>0</v>
      </c>
      <c r="H217" s="1128">
        <v>0</v>
      </c>
      <c r="I217" s="1126">
        <v>0</v>
      </c>
      <c r="J217" s="1129">
        <v>0</v>
      </c>
      <c r="K217" s="1125">
        <v>0</v>
      </c>
      <c r="L217" s="1126">
        <v>0</v>
      </c>
      <c r="M217" s="1127">
        <v>0</v>
      </c>
    </row>
    <row r="218" spans="1:13" s="5" customFormat="1" ht="11.25" customHeight="1" x14ac:dyDescent="0.25">
      <c r="A218" s="1161"/>
      <c r="B218" s="137"/>
      <c r="C218" s="1124" t="s">
        <v>1064</v>
      </c>
      <c r="D218" s="1119"/>
      <c r="E218" s="1125">
        <v>0</v>
      </c>
      <c r="F218" s="1126">
        <v>0</v>
      </c>
      <c r="G218" s="1127">
        <v>0</v>
      </c>
      <c r="H218" s="1128">
        <v>0</v>
      </c>
      <c r="I218" s="1126">
        <v>0</v>
      </c>
      <c r="J218" s="1129">
        <v>0</v>
      </c>
      <c r="K218" s="1125">
        <v>0</v>
      </c>
      <c r="L218" s="1126">
        <v>0</v>
      </c>
      <c r="M218" s="1127">
        <v>0</v>
      </c>
    </row>
    <row r="219" spans="1:13" s="5" customFormat="1" ht="11.25" customHeight="1" x14ac:dyDescent="0.25">
      <c r="A219" s="1161"/>
      <c r="B219" s="137"/>
      <c r="C219" s="1124" t="s">
        <v>294</v>
      </c>
      <c r="D219" s="1119"/>
      <c r="E219" s="1125">
        <v>0</v>
      </c>
      <c r="F219" s="1126">
        <v>0</v>
      </c>
      <c r="G219" s="1127">
        <v>0</v>
      </c>
      <c r="H219" s="1128">
        <v>0</v>
      </c>
      <c r="I219" s="1126">
        <v>0</v>
      </c>
      <c r="J219" s="1129">
        <v>0</v>
      </c>
      <c r="K219" s="1125">
        <v>0</v>
      </c>
      <c r="L219" s="1126">
        <v>0</v>
      </c>
      <c r="M219" s="1127">
        <v>0</v>
      </c>
    </row>
    <row r="220" spans="1:13" s="5" customFormat="1" ht="11.25" customHeight="1" x14ac:dyDescent="0.25">
      <c r="A220" s="1161"/>
      <c r="B220" s="137"/>
      <c r="C220" s="1124" t="s">
        <v>296</v>
      </c>
      <c r="D220" s="1119"/>
      <c r="E220" s="1125">
        <v>0</v>
      </c>
      <c r="F220" s="1126">
        <v>0</v>
      </c>
      <c r="G220" s="1127">
        <v>0</v>
      </c>
      <c r="H220" s="1128">
        <v>0</v>
      </c>
      <c r="I220" s="1126">
        <v>0</v>
      </c>
      <c r="J220" s="1129">
        <v>0</v>
      </c>
      <c r="K220" s="1125">
        <v>0</v>
      </c>
      <c r="L220" s="1126">
        <v>0</v>
      </c>
      <c r="M220" s="1127">
        <v>0</v>
      </c>
    </row>
    <row r="221" spans="1:13" s="5" customFormat="1" ht="11.25" customHeight="1" x14ac:dyDescent="0.25">
      <c r="A221" s="1161"/>
      <c r="B221" s="137"/>
      <c r="C221" s="1170" t="s">
        <v>1117</v>
      </c>
      <c r="D221" s="1119"/>
      <c r="E221" s="1131">
        <f>SUM(E216:E220)</f>
        <v>0</v>
      </c>
      <c r="F221" s="701">
        <f t="shared" ref="F221:M221" si="42">SUM(F216:F220)</f>
        <v>0</v>
      </c>
      <c r="G221" s="1132">
        <f t="shared" si="42"/>
        <v>0</v>
      </c>
      <c r="H221" s="1133">
        <f t="shared" si="42"/>
        <v>0</v>
      </c>
      <c r="I221" s="701">
        <f t="shared" si="42"/>
        <v>0</v>
      </c>
      <c r="J221" s="1134">
        <f t="shared" si="42"/>
        <v>0</v>
      </c>
      <c r="K221" s="1131">
        <f t="shared" si="42"/>
        <v>0</v>
      </c>
      <c r="L221" s="701">
        <f t="shared" si="42"/>
        <v>0</v>
      </c>
      <c r="M221" s="1132">
        <f t="shared" si="42"/>
        <v>0</v>
      </c>
    </row>
    <row r="222" spans="1:13" s="5" customFormat="1" ht="11.25" customHeight="1" x14ac:dyDescent="0.25">
      <c r="A222" s="1161"/>
      <c r="B222" s="137"/>
      <c r="C222" s="1124" t="s">
        <v>295</v>
      </c>
      <c r="D222" s="1119"/>
      <c r="E222" s="1125">
        <v>0</v>
      </c>
      <c r="F222" s="1126">
        <v>0</v>
      </c>
      <c r="G222" s="1127">
        <v>0</v>
      </c>
      <c r="H222" s="1128">
        <v>0</v>
      </c>
      <c r="I222" s="1126">
        <v>0</v>
      </c>
      <c r="J222" s="1129">
        <v>0</v>
      </c>
      <c r="K222" s="1125">
        <v>0</v>
      </c>
      <c r="L222" s="1126">
        <v>0</v>
      </c>
      <c r="M222" s="1127">
        <v>0</v>
      </c>
    </row>
    <row r="223" spans="1:13" s="5" customFormat="1" ht="11.25" customHeight="1" x14ac:dyDescent="0.25">
      <c r="A223" s="1161"/>
      <c r="B223" s="137"/>
      <c r="C223" s="1124" t="s">
        <v>297</v>
      </c>
      <c r="D223" s="1119"/>
      <c r="E223" s="1125">
        <v>0</v>
      </c>
      <c r="F223" s="1126">
        <v>0</v>
      </c>
      <c r="G223" s="1127">
        <v>0</v>
      </c>
      <c r="H223" s="1128">
        <v>0</v>
      </c>
      <c r="I223" s="1126">
        <v>0</v>
      </c>
      <c r="J223" s="1129">
        <v>0</v>
      </c>
      <c r="K223" s="1125">
        <v>0</v>
      </c>
      <c r="L223" s="1126">
        <v>0</v>
      </c>
      <c r="M223" s="1127">
        <v>0</v>
      </c>
    </row>
    <row r="224" spans="1:13" s="5" customFormat="1" ht="11.25" customHeight="1" x14ac:dyDescent="0.25">
      <c r="A224" s="1161"/>
      <c r="B224" s="137"/>
      <c r="C224" s="1124" t="s">
        <v>1065</v>
      </c>
      <c r="D224" s="1119"/>
      <c r="E224" s="1125">
        <v>0</v>
      </c>
      <c r="F224" s="1126">
        <v>0</v>
      </c>
      <c r="G224" s="1127">
        <v>0</v>
      </c>
      <c r="H224" s="1128">
        <v>0</v>
      </c>
      <c r="I224" s="1126">
        <v>0</v>
      </c>
      <c r="J224" s="1129">
        <v>0</v>
      </c>
      <c r="K224" s="1125">
        <v>0</v>
      </c>
      <c r="L224" s="1126">
        <v>0</v>
      </c>
      <c r="M224" s="1127">
        <v>0</v>
      </c>
    </row>
    <row r="225" spans="1:13" s="5" customFormat="1" ht="11.25" customHeight="1" x14ac:dyDescent="0.25">
      <c r="A225" s="1161"/>
      <c r="B225" s="137"/>
      <c r="C225" s="1170" t="s">
        <v>1448</v>
      </c>
      <c r="D225" s="1119"/>
      <c r="E225" s="1135">
        <f>SUM(E222:E224)</f>
        <v>0</v>
      </c>
      <c r="F225" s="893">
        <f t="shared" ref="F225:M225" si="43">SUM(F222:F224)</f>
        <v>0</v>
      </c>
      <c r="G225" s="1136">
        <f t="shared" si="43"/>
        <v>0</v>
      </c>
      <c r="H225" s="1137">
        <f t="shared" si="43"/>
        <v>0</v>
      </c>
      <c r="I225" s="893">
        <f t="shared" si="43"/>
        <v>0</v>
      </c>
      <c r="J225" s="1138">
        <f t="shared" si="43"/>
        <v>0</v>
      </c>
      <c r="K225" s="1135">
        <f t="shared" si="43"/>
        <v>0</v>
      </c>
      <c r="L225" s="893">
        <f t="shared" si="43"/>
        <v>0</v>
      </c>
      <c r="M225" s="1136">
        <f t="shared" si="43"/>
        <v>0</v>
      </c>
    </row>
    <row r="226" spans="1:13" s="5" customFormat="1" ht="11.25" customHeight="1" x14ac:dyDescent="0.25">
      <c r="B226" s="137"/>
      <c r="C226" s="1139" t="s">
        <v>1061</v>
      </c>
      <c r="D226" s="1119"/>
      <c r="E226" s="1140">
        <f>E221+E225</f>
        <v>0</v>
      </c>
      <c r="F226" s="895">
        <f t="shared" ref="F226:M226" si="44">F221+F225</f>
        <v>0</v>
      </c>
      <c r="G226" s="1141">
        <f t="shared" si="44"/>
        <v>0</v>
      </c>
      <c r="H226" s="1142">
        <f t="shared" si="44"/>
        <v>0</v>
      </c>
      <c r="I226" s="895">
        <f t="shared" si="44"/>
        <v>0</v>
      </c>
      <c r="J226" s="1143">
        <f t="shared" si="44"/>
        <v>0</v>
      </c>
      <c r="K226" s="1140">
        <f t="shared" si="44"/>
        <v>0</v>
      </c>
      <c r="L226" s="895">
        <f t="shared" si="44"/>
        <v>0</v>
      </c>
      <c r="M226" s="1141">
        <f t="shared" si="44"/>
        <v>0</v>
      </c>
    </row>
    <row r="227" spans="1:13" s="5" customFormat="1" ht="11.25" customHeight="1" x14ac:dyDescent="0.25">
      <c r="A227" s="1160" t="s">
        <v>1456</v>
      </c>
      <c r="B227" s="137"/>
      <c r="C227" s="1118" t="s">
        <v>600</v>
      </c>
      <c r="D227" s="1119"/>
      <c r="E227" s="1144"/>
      <c r="F227" s="891"/>
      <c r="G227" s="1145"/>
      <c r="H227" s="1146"/>
      <c r="I227" s="891"/>
      <c r="J227" s="1145"/>
      <c r="K227" s="1144"/>
      <c r="L227" s="891"/>
      <c r="M227" s="1147"/>
    </row>
    <row r="228" spans="1:13" s="5" customFormat="1" ht="11.25" customHeight="1" x14ac:dyDescent="0.25">
      <c r="A228" s="1161"/>
      <c r="B228" s="137"/>
      <c r="C228" s="1124" t="s">
        <v>1449</v>
      </c>
      <c r="D228" s="1119"/>
      <c r="E228" s="1125">
        <v>0</v>
      </c>
      <c r="F228" s="1126">
        <v>0</v>
      </c>
      <c r="G228" s="1127">
        <v>0</v>
      </c>
      <c r="H228" s="1128">
        <v>0</v>
      </c>
      <c r="I228" s="1126">
        <v>0</v>
      </c>
      <c r="J228" s="1129">
        <v>0</v>
      </c>
      <c r="K228" s="1125">
        <v>0</v>
      </c>
      <c r="L228" s="1126">
        <v>0</v>
      </c>
      <c r="M228" s="1127">
        <v>0</v>
      </c>
    </row>
    <row r="229" spans="1:13" s="5" customFormat="1" ht="11.25" customHeight="1" x14ac:dyDescent="0.25">
      <c r="A229" s="1161"/>
      <c r="B229" s="137"/>
      <c r="C229" s="1124" t="s">
        <v>1450</v>
      </c>
      <c r="D229" s="1119"/>
      <c r="E229" s="1125">
        <v>0</v>
      </c>
      <c r="F229" s="1126">
        <v>0</v>
      </c>
      <c r="G229" s="1127">
        <v>0</v>
      </c>
      <c r="H229" s="1128">
        <v>0</v>
      </c>
      <c r="I229" s="1126">
        <v>0</v>
      </c>
      <c r="J229" s="1129">
        <v>0</v>
      </c>
      <c r="K229" s="1125">
        <v>0</v>
      </c>
      <c r="L229" s="1126">
        <v>0</v>
      </c>
      <c r="M229" s="1127">
        <v>0</v>
      </c>
    </row>
    <row r="230" spans="1:13" s="5" customFormat="1" ht="11.25" customHeight="1" x14ac:dyDescent="0.25">
      <c r="A230" s="1161"/>
      <c r="B230" s="137"/>
      <c r="C230" s="1170" t="s">
        <v>1117</v>
      </c>
      <c r="D230" s="1119"/>
      <c r="E230" s="1131">
        <f>SUM(E228:E229)</f>
        <v>0</v>
      </c>
      <c r="F230" s="701">
        <f t="shared" ref="F230:M230" si="45">SUM(F228:F229)</f>
        <v>0</v>
      </c>
      <c r="G230" s="1132">
        <f t="shared" si="45"/>
        <v>0</v>
      </c>
      <c r="H230" s="1133">
        <f t="shared" si="45"/>
        <v>0</v>
      </c>
      <c r="I230" s="701">
        <f t="shared" si="45"/>
        <v>0</v>
      </c>
      <c r="J230" s="1134">
        <f t="shared" si="45"/>
        <v>0</v>
      </c>
      <c r="K230" s="1131">
        <f t="shared" si="45"/>
        <v>0</v>
      </c>
      <c r="L230" s="701">
        <f t="shared" si="45"/>
        <v>0</v>
      </c>
      <c r="M230" s="1132">
        <f t="shared" si="45"/>
        <v>0</v>
      </c>
    </row>
    <row r="231" spans="1:13" s="5" customFormat="1" ht="11.25" customHeight="1" x14ac:dyDescent="0.25">
      <c r="A231" s="1161"/>
      <c r="B231" s="137"/>
      <c r="C231" s="1124" t="s">
        <v>1066</v>
      </c>
      <c r="D231" s="1119"/>
      <c r="E231" s="1125">
        <v>0</v>
      </c>
      <c r="F231" s="1126">
        <v>0</v>
      </c>
      <c r="G231" s="1127">
        <v>0</v>
      </c>
      <c r="H231" s="1128">
        <v>0</v>
      </c>
      <c r="I231" s="1126">
        <v>0</v>
      </c>
      <c r="J231" s="1129">
        <v>0</v>
      </c>
      <c r="K231" s="1125">
        <v>0</v>
      </c>
      <c r="L231" s="1126">
        <v>0</v>
      </c>
      <c r="M231" s="1127">
        <v>0</v>
      </c>
    </row>
    <row r="232" spans="1:13" s="5" customFormat="1" ht="11.25" customHeight="1" x14ac:dyDescent="0.25">
      <c r="A232" s="1161"/>
      <c r="B232" s="137"/>
      <c r="C232" s="1124" t="s">
        <v>1067</v>
      </c>
      <c r="D232" s="1119"/>
      <c r="E232" s="1125">
        <v>0</v>
      </c>
      <c r="F232" s="1126">
        <v>0</v>
      </c>
      <c r="G232" s="1127">
        <v>0</v>
      </c>
      <c r="H232" s="1128">
        <v>0</v>
      </c>
      <c r="I232" s="1126">
        <v>0</v>
      </c>
      <c r="J232" s="1129">
        <v>0</v>
      </c>
      <c r="K232" s="1125">
        <v>0</v>
      </c>
      <c r="L232" s="1126">
        <v>0</v>
      </c>
      <c r="M232" s="1127">
        <v>0</v>
      </c>
    </row>
    <row r="233" spans="1:13" s="5" customFormat="1" ht="11.25" customHeight="1" x14ac:dyDescent="0.25">
      <c r="A233" s="1161"/>
      <c r="B233" s="137"/>
      <c r="C233" s="1124" t="s">
        <v>1068</v>
      </c>
      <c r="D233" s="1119"/>
      <c r="E233" s="1125">
        <v>0</v>
      </c>
      <c r="F233" s="1126">
        <v>0</v>
      </c>
      <c r="G233" s="1127">
        <v>0</v>
      </c>
      <c r="H233" s="1128">
        <v>0</v>
      </c>
      <c r="I233" s="1126">
        <v>0</v>
      </c>
      <c r="J233" s="1129">
        <v>0</v>
      </c>
      <c r="K233" s="1125">
        <v>0</v>
      </c>
      <c r="L233" s="1126">
        <v>0</v>
      </c>
      <c r="M233" s="1127">
        <v>0</v>
      </c>
    </row>
    <row r="234" spans="1:13" s="5" customFormat="1" ht="11.25" customHeight="1" x14ac:dyDescent="0.25">
      <c r="A234" s="1161"/>
      <c r="B234" s="137"/>
      <c r="C234" s="1170" t="s">
        <v>1448</v>
      </c>
      <c r="D234" s="1119"/>
      <c r="E234" s="1135">
        <f>SUM(E231:E233)</f>
        <v>0</v>
      </c>
      <c r="F234" s="893">
        <f t="shared" ref="F234:M234" si="46">SUM(F231:F233)</f>
        <v>0</v>
      </c>
      <c r="G234" s="1136">
        <f t="shared" si="46"/>
        <v>0</v>
      </c>
      <c r="H234" s="1137">
        <f t="shared" si="46"/>
        <v>0</v>
      </c>
      <c r="I234" s="893">
        <f t="shared" si="46"/>
        <v>0</v>
      </c>
      <c r="J234" s="1138">
        <f t="shared" si="46"/>
        <v>0</v>
      </c>
      <c r="K234" s="1135">
        <f t="shared" si="46"/>
        <v>0</v>
      </c>
      <c r="L234" s="893">
        <f t="shared" si="46"/>
        <v>0</v>
      </c>
      <c r="M234" s="1136">
        <f t="shared" si="46"/>
        <v>0</v>
      </c>
    </row>
    <row r="235" spans="1:13" s="5" customFormat="1" ht="11.25" customHeight="1" x14ac:dyDescent="0.25">
      <c r="A235" s="1162"/>
      <c r="B235" s="137"/>
      <c r="C235" s="1139" t="s">
        <v>1061</v>
      </c>
      <c r="D235" s="1119"/>
      <c r="E235" s="1140">
        <f>E230+E234</f>
        <v>0</v>
      </c>
      <c r="F235" s="895">
        <f t="shared" ref="F235:M235" si="47">F230+F234</f>
        <v>0</v>
      </c>
      <c r="G235" s="1141">
        <f t="shared" si="47"/>
        <v>0</v>
      </c>
      <c r="H235" s="1142">
        <f t="shared" si="47"/>
        <v>0</v>
      </c>
      <c r="I235" s="895">
        <f t="shared" si="47"/>
        <v>0</v>
      </c>
      <c r="J235" s="1143">
        <f t="shared" si="47"/>
        <v>0</v>
      </c>
      <c r="K235" s="1140">
        <f t="shared" si="47"/>
        <v>0</v>
      </c>
      <c r="L235" s="895">
        <f t="shared" si="47"/>
        <v>0</v>
      </c>
      <c r="M235" s="1141">
        <f t="shared" si="47"/>
        <v>0</v>
      </c>
    </row>
    <row r="236" spans="1:13" s="5" customFormat="1" ht="11.25" customHeight="1" x14ac:dyDescent="0.25">
      <c r="A236" s="1160" t="s">
        <v>1456</v>
      </c>
      <c r="B236" s="137"/>
      <c r="C236" s="1118" t="s">
        <v>601</v>
      </c>
      <c r="D236" s="1119"/>
      <c r="E236" s="1144"/>
      <c r="F236" s="891"/>
      <c r="G236" s="1145"/>
      <c r="H236" s="1146"/>
      <c r="I236" s="891"/>
      <c r="J236" s="1145"/>
      <c r="K236" s="1144"/>
      <c r="L236" s="891"/>
      <c r="M236" s="1147"/>
    </row>
    <row r="237" spans="1:13" s="5" customFormat="1" ht="11.25" customHeight="1" x14ac:dyDescent="0.25">
      <c r="A237" s="1161"/>
      <c r="B237" s="137"/>
      <c r="C237" s="1124" t="s">
        <v>1451</v>
      </c>
      <c r="D237" s="1119"/>
      <c r="E237" s="1148">
        <v>0</v>
      </c>
      <c r="F237" s="1149">
        <v>0</v>
      </c>
      <c r="G237" s="1150">
        <v>0</v>
      </c>
      <c r="H237" s="1151">
        <v>0</v>
      </c>
      <c r="I237" s="1149">
        <v>0</v>
      </c>
      <c r="J237" s="1152">
        <v>0</v>
      </c>
      <c r="K237" s="1148">
        <v>0</v>
      </c>
      <c r="L237" s="1149">
        <v>0</v>
      </c>
      <c r="M237" s="1150">
        <v>0</v>
      </c>
    </row>
    <row r="238" spans="1:13" s="5" customFormat="1" ht="11.25" customHeight="1" x14ac:dyDescent="0.25">
      <c r="A238" s="1161"/>
      <c r="B238" s="137"/>
      <c r="C238" s="1170" t="s">
        <v>1117</v>
      </c>
      <c r="D238" s="1119"/>
      <c r="E238" s="1144">
        <f>SUM(E237)</f>
        <v>0</v>
      </c>
      <c r="F238" s="891">
        <f t="shared" ref="F238:M238" si="48">SUM(F237)</f>
        <v>0</v>
      </c>
      <c r="G238" s="1147">
        <f t="shared" si="48"/>
        <v>0</v>
      </c>
      <c r="H238" s="1146">
        <f t="shared" si="48"/>
        <v>0</v>
      </c>
      <c r="I238" s="891">
        <f t="shared" si="48"/>
        <v>0</v>
      </c>
      <c r="J238" s="1145">
        <f t="shared" si="48"/>
        <v>0</v>
      </c>
      <c r="K238" s="1144">
        <f t="shared" si="48"/>
        <v>0</v>
      </c>
      <c r="L238" s="891">
        <f t="shared" si="48"/>
        <v>0</v>
      </c>
      <c r="M238" s="1147">
        <f t="shared" si="48"/>
        <v>0</v>
      </c>
    </row>
    <row r="239" spans="1:13" s="5" customFormat="1" ht="11.25" customHeight="1" x14ac:dyDescent="0.25">
      <c r="A239" s="1161"/>
      <c r="B239" s="137"/>
      <c r="C239" s="1124" t="s">
        <v>1070</v>
      </c>
      <c r="D239" s="1119"/>
      <c r="E239" s="1125">
        <v>0</v>
      </c>
      <c r="F239" s="1126">
        <v>0</v>
      </c>
      <c r="G239" s="1127">
        <v>0</v>
      </c>
      <c r="H239" s="1128">
        <v>0</v>
      </c>
      <c r="I239" s="1126">
        <v>0</v>
      </c>
      <c r="J239" s="1129">
        <v>0</v>
      </c>
      <c r="K239" s="1125">
        <v>0</v>
      </c>
      <c r="L239" s="1126">
        <v>0</v>
      </c>
      <c r="M239" s="1127">
        <v>0</v>
      </c>
    </row>
    <row r="240" spans="1:13" s="5" customFormat="1" ht="11.25" customHeight="1" x14ac:dyDescent="0.25">
      <c r="A240" s="1161"/>
      <c r="B240" s="137"/>
      <c r="C240" s="1124" t="s">
        <v>1071</v>
      </c>
      <c r="D240" s="1119"/>
      <c r="E240" s="1125">
        <v>0</v>
      </c>
      <c r="F240" s="1126">
        <v>0</v>
      </c>
      <c r="G240" s="1127">
        <v>0</v>
      </c>
      <c r="H240" s="1128">
        <v>0</v>
      </c>
      <c r="I240" s="1126">
        <v>0</v>
      </c>
      <c r="J240" s="1129">
        <v>0</v>
      </c>
      <c r="K240" s="1125">
        <v>0</v>
      </c>
      <c r="L240" s="1126">
        <v>0</v>
      </c>
      <c r="M240" s="1127">
        <v>0</v>
      </c>
    </row>
    <row r="241" spans="1:15" s="5" customFormat="1" ht="11.25" customHeight="1" x14ac:dyDescent="0.25">
      <c r="A241" s="1161"/>
      <c r="B241" s="137"/>
      <c r="C241" s="1124" t="s">
        <v>1072</v>
      </c>
      <c r="D241" s="1119"/>
      <c r="E241" s="1125">
        <v>0</v>
      </c>
      <c r="F241" s="1126">
        <v>0</v>
      </c>
      <c r="G241" s="1127">
        <v>0</v>
      </c>
      <c r="H241" s="1128">
        <v>0</v>
      </c>
      <c r="I241" s="1126">
        <v>0</v>
      </c>
      <c r="J241" s="1129">
        <v>0</v>
      </c>
      <c r="K241" s="1125">
        <v>0</v>
      </c>
      <c r="L241" s="1126">
        <v>0</v>
      </c>
      <c r="M241" s="1127">
        <v>0</v>
      </c>
    </row>
    <row r="242" spans="1:15" s="5" customFormat="1" ht="11.25" customHeight="1" x14ac:dyDescent="0.25">
      <c r="A242" s="1161"/>
      <c r="B242" s="137"/>
      <c r="C242" s="1124" t="s">
        <v>1073</v>
      </c>
      <c r="D242" s="1119"/>
      <c r="E242" s="1125">
        <v>0</v>
      </c>
      <c r="F242" s="1126">
        <v>0</v>
      </c>
      <c r="G242" s="1127">
        <v>0</v>
      </c>
      <c r="H242" s="1128">
        <v>0</v>
      </c>
      <c r="I242" s="1126">
        <v>0</v>
      </c>
      <c r="J242" s="1129">
        <v>0</v>
      </c>
      <c r="K242" s="1125">
        <v>0</v>
      </c>
      <c r="L242" s="1126">
        <v>0</v>
      </c>
      <c r="M242" s="1127">
        <v>0</v>
      </c>
    </row>
    <row r="243" spans="1:15" s="5" customFormat="1" ht="11.25" customHeight="1" x14ac:dyDescent="0.25">
      <c r="A243" s="1161"/>
      <c r="B243" s="137"/>
      <c r="C243" s="1124" t="s">
        <v>1074</v>
      </c>
      <c r="D243" s="1119"/>
      <c r="E243" s="1125">
        <v>0</v>
      </c>
      <c r="F243" s="1126">
        <v>0</v>
      </c>
      <c r="G243" s="1127">
        <v>0</v>
      </c>
      <c r="H243" s="1128">
        <v>0</v>
      </c>
      <c r="I243" s="1126">
        <v>0</v>
      </c>
      <c r="J243" s="1129">
        <v>0</v>
      </c>
      <c r="K243" s="1125">
        <v>0</v>
      </c>
      <c r="L243" s="1126">
        <v>0</v>
      </c>
      <c r="M243" s="1127">
        <v>0</v>
      </c>
    </row>
    <row r="244" spans="1:15" s="5" customFormat="1" ht="11.25" customHeight="1" x14ac:dyDescent="0.25">
      <c r="A244" s="1161"/>
      <c r="B244" s="137"/>
      <c r="C244" s="1170" t="s">
        <v>1448</v>
      </c>
      <c r="D244" s="1119"/>
      <c r="E244" s="1135">
        <f t="shared" ref="E244:M244" si="49">SUM(E239:E243)</f>
        <v>0</v>
      </c>
      <c r="F244" s="893">
        <f t="shared" si="49"/>
        <v>0</v>
      </c>
      <c r="G244" s="1136">
        <f t="shared" si="49"/>
        <v>0</v>
      </c>
      <c r="H244" s="1137">
        <f t="shared" si="49"/>
        <v>0</v>
      </c>
      <c r="I244" s="893">
        <f t="shared" si="49"/>
        <v>0</v>
      </c>
      <c r="J244" s="1138">
        <f t="shared" si="49"/>
        <v>0</v>
      </c>
      <c r="K244" s="1135">
        <f t="shared" si="49"/>
        <v>0</v>
      </c>
      <c r="L244" s="893">
        <f t="shared" si="49"/>
        <v>0</v>
      </c>
      <c r="M244" s="1136">
        <f t="shared" si="49"/>
        <v>0</v>
      </c>
    </row>
    <row r="245" spans="1:15" s="5" customFormat="1" ht="11.25" customHeight="1" x14ac:dyDescent="0.25">
      <c r="B245" s="137"/>
      <c r="C245" s="1139" t="s">
        <v>1061</v>
      </c>
      <c r="D245" s="1119"/>
      <c r="E245" s="1140">
        <f>E238+E244</f>
        <v>0</v>
      </c>
      <c r="F245" s="895">
        <f t="shared" ref="F245:M245" si="50">F238+F244</f>
        <v>0</v>
      </c>
      <c r="G245" s="1141">
        <f t="shared" si="50"/>
        <v>0</v>
      </c>
      <c r="H245" s="1142">
        <f t="shared" si="50"/>
        <v>0</v>
      </c>
      <c r="I245" s="895">
        <f t="shared" si="50"/>
        <v>0</v>
      </c>
      <c r="J245" s="1143">
        <f t="shared" si="50"/>
        <v>0</v>
      </c>
      <c r="K245" s="1140">
        <f t="shared" si="50"/>
        <v>0</v>
      </c>
      <c r="L245" s="895">
        <f t="shared" si="50"/>
        <v>0</v>
      </c>
      <c r="M245" s="1141">
        <f t="shared" si="50"/>
        <v>0</v>
      </c>
    </row>
    <row r="246" spans="1:15" s="5" customFormat="1" ht="5.0999999999999996" customHeight="1" x14ac:dyDescent="0.25">
      <c r="A246" s="1102"/>
      <c r="B246" s="1101"/>
      <c r="C246" s="1163"/>
      <c r="D246" s="1164"/>
      <c r="E246" s="1165"/>
      <c r="F246" s="1166"/>
      <c r="G246" s="1167"/>
      <c r="H246" s="1168"/>
      <c r="I246" s="1166"/>
      <c r="J246" s="1169"/>
      <c r="K246" s="1165"/>
      <c r="L246" s="1166"/>
      <c r="M246" s="1167"/>
    </row>
    <row r="247" spans="1:15" s="5" customFormat="1" ht="22.9" customHeight="1" x14ac:dyDescent="0.25">
      <c r="A247" s="1444" t="s">
        <v>1695</v>
      </c>
      <c r="B247" s="1252"/>
      <c r="C247" s="1250"/>
      <c r="D247" s="1251"/>
      <c r="E247" s="1403" t="str">
        <f>Head2</f>
        <v>Budget Year 2020/21</v>
      </c>
      <c r="F247" s="1404"/>
      <c r="G247" s="1404"/>
      <c r="H247" s="1404"/>
      <c r="I247" s="1404"/>
      <c r="J247" s="1404"/>
      <c r="K247" s="1404"/>
      <c r="L247" s="1404"/>
      <c r="M247" s="1404"/>
      <c r="N247" s="103" t="str">
        <f>Head10</f>
        <v>Budget Year +1 2021/22</v>
      </c>
      <c r="O247" s="61" t="str">
        <f>Head11</f>
        <v>Budget Year +2 2022/23</v>
      </c>
    </row>
    <row r="248" spans="1:15" s="5" customFormat="1" ht="24.6" customHeight="1" x14ac:dyDescent="0.25">
      <c r="A248" s="1445"/>
      <c r="B248" s="1253"/>
      <c r="C248" s="1249"/>
      <c r="D248" s="1254"/>
      <c r="E248" s="1267" t="str">
        <f>Head6</f>
        <v>Original Budget</v>
      </c>
      <c r="F248" s="1268" t="str">
        <f>Head54</f>
        <v>Prior Adjusted</v>
      </c>
      <c r="G248" s="1268" t="str">
        <f>Head51</f>
        <v>Accum. Funds</v>
      </c>
      <c r="H248" s="1268" t="str">
        <f>Head52</f>
        <v>Multi-year capital</v>
      </c>
      <c r="I248" s="1268" t="str">
        <f>Head53</f>
        <v>Unfore. Unavoid.</v>
      </c>
      <c r="J248" s="1268" t="str">
        <f>Head55</f>
        <v>Nat. or Prov. Govt</v>
      </c>
      <c r="K248" s="1269" t="str">
        <f>Head50</f>
        <v>Other Adjusts.</v>
      </c>
      <c r="L248" s="1269" t="str">
        <f>Head56</f>
        <v>Total Adjusts.</v>
      </c>
      <c r="M248" s="1269" t="str">
        <f>Head7</f>
        <v>Adjusted Budget</v>
      </c>
      <c r="N248" s="1269" t="str">
        <f>Head7</f>
        <v>Adjusted Budget</v>
      </c>
      <c r="O248" s="1270" t="str">
        <f>Head7</f>
        <v>Adjusted Budget</v>
      </c>
    </row>
    <row r="249" spans="1:15" s="5" customFormat="1" ht="14.45" customHeight="1" x14ac:dyDescent="0.25">
      <c r="A249" s="1257" t="s">
        <v>626</v>
      </c>
      <c r="B249" s="1263" t="s">
        <v>1344</v>
      </c>
      <c r="C249" s="1262" t="s">
        <v>1696</v>
      </c>
      <c r="D249" s="1255"/>
      <c r="E249" s="240"/>
      <c r="F249" s="75"/>
      <c r="G249" s="75"/>
      <c r="H249" s="75"/>
      <c r="I249" s="75"/>
      <c r="J249" s="75"/>
      <c r="K249" s="75"/>
      <c r="L249" s="75"/>
      <c r="M249" s="75"/>
      <c r="N249" s="75"/>
      <c r="O249" s="76"/>
    </row>
    <row r="250" spans="1:15" s="5" customFormat="1" ht="14.45" customHeight="1" x14ac:dyDescent="0.25">
      <c r="A250" s="1248" t="s">
        <v>1697</v>
      </c>
      <c r="B250" s="1244"/>
      <c r="C250" s="1256" t="s">
        <v>1726</v>
      </c>
      <c r="D250" s="1245"/>
      <c r="E250" s="382">
        <v>33637440</v>
      </c>
      <c r="F250" s="109">
        <v>33637440</v>
      </c>
      <c r="G250" s="109">
        <v>0</v>
      </c>
      <c r="H250" s="109">
        <v>0</v>
      </c>
      <c r="I250" s="109">
        <v>0</v>
      </c>
      <c r="J250" s="109">
        <v>0</v>
      </c>
      <c r="K250" s="109">
        <v>0</v>
      </c>
      <c r="L250" s="171">
        <f>SUM(G250:K250)</f>
        <v>0</v>
      </c>
      <c r="M250" s="171">
        <f t="shared" ref="M250:M259" si="51">IF(F250=0,E250+L250,F250+L250)</f>
        <v>33637440</v>
      </c>
      <c r="N250" s="109">
        <v>37337558.400000006</v>
      </c>
      <c r="O250" s="110">
        <v>41444689.824000008</v>
      </c>
    </row>
    <row r="251" spans="1:15" s="5" customFormat="1" ht="12.6" customHeight="1" x14ac:dyDescent="0.25">
      <c r="A251" s="1248"/>
      <c r="B251" s="1244"/>
      <c r="C251" s="1259" t="s">
        <v>1698</v>
      </c>
      <c r="D251" s="1245"/>
      <c r="E251" s="382">
        <v>0</v>
      </c>
      <c r="F251" s="109">
        <v>0</v>
      </c>
      <c r="G251" s="109">
        <v>0</v>
      </c>
      <c r="H251" s="109">
        <v>0</v>
      </c>
      <c r="I251" s="109">
        <v>0</v>
      </c>
      <c r="J251" s="109">
        <v>0</v>
      </c>
      <c r="K251" s="109">
        <v>0</v>
      </c>
      <c r="L251" s="171">
        <f t="shared" ref="L251:L259" si="52">SUM(G251:K251)</f>
        <v>0</v>
      </c>
      <c r="M251" s="171">
        <f t="shared" si="51"/>
        <v>0</v>
      </c>
      <c r="N251" s="109">
        <v>0</v>
      </c>
      <c r="O251" s="110">
        <v>0</v>
      </c>
    </row>
    <row r="252" spans="1:15" s="5" customFormat="1" ht="14.45" customHeight="1" x14ac:dyDescent="0.25">
      <c r="A252" s="1248"/>
      <c r="B252" s="1244"/>
      <c r="C252" s="1256" t="s">
        <v>1728</v>
      </c>
      <c r="D252" s="1245"/>
      <c r="E252" s="382">
        <v>0</v>
      </c>
      <c r="F252" s="109">
        <v>0</v>
      </c>
      <c r="G252" s="109">
        <v>0</v>
      </c>
      <c r="H252" s="109">
        <v>0</v>
      </c>
      <c r="I252" s="109">
        <v>0</v>
      </c>
      <c r="J252" s="109">
        <v>0</v>
      </c>
      <c r="K252" s="109">
        <v>0</v>
      </c>
      <c r="L252" s="171">
        <f t="shared" si="52"/>
        <v>0</v>
      </c>
      <c r="M252" s="171">
        <f t="shared" si="51"/>
        <v>0</v>
      </c>
      <c r="N252" s="109">
        <v>0</v>
      </c>
      <c r="O252" s="110">
        <v>0</v>
      </c>
    </row>
    <row r="253" spans="1:15" s="5" customFormat="1" ht="12.6" customHeight="1" x14ac:dyDescent="0.25">
      <c r="A253" s="1248"/>
      <c r="B253" s="1244"/>
      <c r="C253" s="1259" t="s">
        <v>1698</v>
      </c>
      <c r="D253" s="1245"/>
      <c r="E253" s="382">
        <v>0</v>
      </c>
      <c r="F253" s="109">
        <v>0</v>
      </c>
      <c r="G253" s="109">
        <v>0</v>
      </c>
      <c r="H253" s="109">
        <v>0</v>
      </c>
      <c r="I253" s="109">
        <v>0</v>
      </c>
      <c r="J253" s="109">
        <v>0</v>
      </c>
      <c r="K253" s="109">
        <v>0</v>
      </c>
      <c r="L253" s="171">
        <f t="shared" si="52"/>
        <v>0</v>
      </c>
      <c r="M253" s="171">
        <f t="shared" si="51"/>
        <v>0</v>
      </c>
      <c r="N253" s="109">
        <v>0</v>
      </c>
      <c r="O253" s="110">
        <v>0</v>
      </c>
    </row>
    <row r="254" spans="1:15" s="5" customFormat="1" ht="12.6" customHeight="1" x14ac:dyDescent="0.25">
      <c r="A254" s="1248"/>
      <c r="B254" s="1244"/>
      <c r="C254" s="1243" t="s">
        <v>1731</v>
      </c>
      <c r="D254" s="1245"/>
      <c r="E254" s="382">
        <v>0</v>
      </c>
      <c r="F254" s="109">
        <v>0</v>
      </c>
      <c r="G254" s="109">
        <v>0</v>
      </c>
      <c r="H254" s="109">
        <v>0</v>
      </c>
      <c r="I254" s="109">
        <v>0</v>
      </c>
      <c r="J254" s="109">
        <v>0</v>
      </c>
      <c r="K254" s="109">
        <v>0</v>
      </c>
      <c r="L254" s="171">
        <f t="shared" si="52"/>
        <v>0</v>
      </c>
      <c r="M254" s="171">
        <f t="shared" si="51"/>
        <v>0</v>
      </c>
      <c r="N254" s="109">
        <v>0</v>
      </c>
      <c r="O254" s="110">
        <v>0</v>
      </c>
    </row>
    <row r="255" spans="1:15" s="5" customFormat="1" ht="12.6" customHeight="1" x14ac:dyDescent="0.25">
      <c r="A255" s="1248"/>
      <c r="B255" s="1244"/>
      <c r="C255" s="1259" t="s">
        <v>1698</v>
      </c>
      <c r="D255" s="1245"/>
      <c r="E255" s="382">
        <v>0</v>
      </c>
      <c r="F255" s="109">
        <v>0</v>
      </c>
      <c r="G255" s="109">
        <v>0</v>
      </c>
      <c r="H255" s="109">
        <v>0</v>
      </c>
      <c r="I255" s="109">
        <v>0</v>
      </c>
      <c r="J255" s="109">
        <v>0</v>
      </c>
      <c r="K255" s="109">
        <v>0</v>
      </c>
      <c r="L255" s="171">
        <f t="shared" si="52"/>
        <v>0</v>
      </c>
      <c r="M255" s="171">
        <f t="shared" si="51"/>
        <v>0</v>
      </c>
      <c r="N255" s="109">
        <v>0</v>
      </c>
      <c r="O255" s="110">
        <v>0</v>
      </c>
    </row>
    <row r="256" spans="1:15" s="5" customFormat="1" ht="12.6" customHeight="1" x14ac:dyDescent="0.25">
      <c r="A256" s="1248"/>
      <c r="B256" s="1244"/>
      <c r="C256" s="1243" t="s">
        <v>1729</v>
      </c>
      <c r="D256" s="1245"/>
      <c r="E256" s="382">
        <v>0</v>
      </c>
      <c r="F256" s="109">
        <v>0</v>
      </c>
      <c r="G256" s="109">
        <v>0</v>
      </c>
      <c r="H256" s="109">
        <v>0</v>
      </c>
      <c r="I256" s="109">
        <v>0</v>
      </c>
      <c r="J256" s="109">
        <v>0</v>
      </c>
      <c r="K256" s="109">
        <v>0</v>
      </c>
      <c r="L256" s="171">
        <f t="shared" si="52"/>
        <v>0</v>
      </c>
      <c r="M256" s="171">
        <f t="shared" si="51"/>
        <v>0</v>
      </c>
      <c r="N256" s="109">
        <v>0</v>
      </c>
      <c r="O256" s="110">
        <v>0</v>
      </c>
    </row>
    <row r="257" spans="1:15" s="5" customFormat="1" ht="12.6" customHeight="1" x14ac:dyDescent="0.25">
      <c r="A257" s="1248"/>
      <c r="B257" s="1244"/>
      <c r="C257" s="1259" t="s">
        <v>1698</v>
      </c>
      <c r="D257" s="1245"/>
      <c r="E257" s="382">
        <v>0</v>
      </c>
      <c r="F257" s="109">
        <v>0</v>
      </c>
      <c r="G257" s="109">
        <v>0</v>
      </c>
      <c r="H257" s="109">
        <v>0</v>
      </c>
      <c r="I257" s="109">
        <v>0</v>
      </c>
      <c r="J257" s="109">
        <v>0</v>
      </c>
      <c r="K257" s="109">
        <v>0</v>
      </c>
      <c r="L257" s="171">
        <f t="shared" si="52"/>
        <v>0</v>
      </c>
      <c r="M257" s="171">
        <f t="shared" si="51"/>
        <v>0</v>
      </c>
      <c r="N257" s="109">
        <v>0</v>
      </c>
      <c r="O257" s="110">
        <v>0</v>
      </c>
    </row>
    <row r="258" spans="1:15" s="5" customFormat="1" ht="12.6" customHeight="1" x14ac:dyDescent="0.25">
      <c r="A258" s="1248"/>
      <c r="B258" s="1244"/>
      <c r="C258" s="1243" t="s">
        <v>1730</v>
      </c>
      <c r="D258" s="1245"/>
      <c r="E258" s="382">
        <v>0</v>
      </c>
      <c r="F258" s="109">
        <v>0</v>
      </c>
      <c r="G258" s="109">
        <v>0</v>
      </c>
      <c r="H258" s="109">
        <v>0</v>
      </c>
      <c r="I258" s="109">
        <v>0</v>
      </c>
      <c r="J258" s="109">
        <v>0</v>
      </c>
      <c r="K258" s="109">
        <v>0</v>
      </c>
      <c r="L258" s="171">
        <f t="shared" si="52"/>
        <v>0</v>
      </c>
      <c r="M258" s="171">
        <f t="shared" si="51"/>
        <v>0</v>
      </c>
      <c r="N258" s="109">
        <v>0</v>
      </c>
      <c r="O258" s="110">
        <v>0</v>
      </c>
    </row>
    <row r="259" spans="1:15" s="5" customFormat="1" ht="12.6" customHeight="1" x14ac:dyDescent="0.25">
      <c r="A259" s="1248"/>
      <c r="B259" s="1244"/>
      <c r="C259" s="1260" t="s">
        <v>1698</v>
      </c>
      <c r="D259" s="1246"/>
      <c r="E259" s="382">
        <v>0</v>
      </c>
      <c r="F259" s="109">
        <v>0</v>
      </c>
      <c r="G259" s="109">
        <v>0</v>
      </c>
      <c r="H259" s="109">
        <v>0</v>
      </c>
      <c r="I259" s="109">
        <v>0</v>
      </c>
      <c r="J259" s="109">
        <v>0</v>
      </c>
      <c r="K259" s="109">
        <v>0</v>
      </c>
      <c r="L259" s="171">
        <f t="shared" si="52"/>
        <v>0</v>
      </c>
      <c r="M259" s="171">
        <f t="shared" si="51"/>
        <v>0</v>
      </c>
      <c r="N259" s="109">
        <v>0</v>
      </c>
      <c r="O259" s="110">
        <v>0</v>
      </c>
    </row>
    <row r="260" spans="1:15" s="5" customFormat="1" ht="12.6" customHeight="1" x14ac:dyDescent="0.25">
      <c r="A260" s="1264"/>
      <c r="B260" s="1261"/>
      <c r="C260" s="1258" t="s">
        <v>1699</v>
      </c>
      <c r="D260" s="1247"/>
      <c r="E260" s="1283">
        <f>E252+E254+E256+E258</f>
        <v>0</v>
      </c>
      <c r="F260" s="1282">
        <f t="shared" ref="F260:O260" si="53">F252+F254+F256+F258</f>
        <v>0</v>
      </c>
      <c r="G260" s="1265">
        <f t="shared" si="53"/>
        <v>0</v>
      </c>
      <c r="H260" s="1284">
        <f t="shared" si="53"/>
        <v>0</v>
      </c>
      <c r="I260" s="1282">
        <f t="shared" si="53"/>
        <v>0</v>
      </c>
      <c r="J260" s="1285">
        <f t="shared" si="53"/>
        <v>0</v>
      </c>
      <c r="K260" s="1283">
        <f t="shared" si="53"/>
        <v>0</v>
      </c>
      <c r="L260" s="1282">
        <f>L252+L254+L256+L258</f>
        <v>0</v>
      </c>
      <c r="M260" s="1285">
        <f t="shared" si="53"/>
        <v>0</v>
      </c>
      <c r="N260" s="1282">
        <f>N252+N254+N256+N258</f>
        <v>0</v>
      </c>
      <c r="O260" s="1265">
        <f t="shared" si="53"/>
        <v>0</v>
      </c>
    </row>
    <row r="261" spans="1:15" s="5" customFormat="1" ht="12.6" customHeight="1" x14ac:dyDescent="0.25">
      <c r="A261" s="1257" t="s">
        <v>627</v>
      </c>
      <c r="B261" s="1263" t="s">
        <v>1344</v>
      </c>
      <c r="C261" s="1262" t="s">
        <v>1696</v>
      </c>
      <c r="D261" s="1255"/>
      <c r="E261" s="240"/>
      <c r="F261" s="75"/>
      <c r="G261" s="75"/>
      <c r="H261" s="75"/>
      <c r="I261" s="75"/>
      <c r="J261" s="75"/>
      <c r="K261" s="75"/>
      <c r="L261" s="75"/>
      <c r="M261" s="75"/>
      <c r="N261" s="75"/>
      <c r="O261" s="76"/>
    </row>
    <row r="262" spans="1:15" s="5" customFormat="1" ht="12.6" customHeight="1" x14ac:dyDescent="0.25">
      <c r="A262" s="1248" t="s">
        <v>1697</v>
      </c>
      <c r="B262" s="1244"/>
      <c r="C262" s="1256" t="s">
        <v>1727</v>
      </c>
      <c r="D262" s="1245"/>
      <c r="E262" s="382">
        <v>18586657</v>
      </c>
      <c r="F262" s="109">
        <v>18586657</v>
      </c>
      <c r="G262" s="109">
        <v>0</v>
      </c>
      <c r="H262" s="109">
        <v>0</v>
      </c>
      <c r="I262" s="109">
        <v>0</v>
      </c>
      <c r="J262" s="109">
        <v>0</v>
      </c>
      <c r="K262" s="109">
        <v>0</v>
      </c>
      <c r="L262" s="171">
        <f t="shared" ref="L262:L271" si="54">SUM(G262:K262)</f>
        <v>0</v>
      </c>
      <c r="M262" s="171">
        <f t="shared" ref="M262:M271" si="55">IF(F262=0,E262+L262,F262+L262)</f>
        <v>18586657</v>
      </c>
      <c r="N262" s="109">
        <v>19478816.793893125</v>
      </c>
      <c r="O262" s="110">
        <v>20413799.999999996</v>
      </c>
    </row>
    <row r="263" spans="1:15" s="5" customFormat="1" ht="12.6" customHeight="1" x14ac:dyDescent="0.25">
      <c r="A263" s="1248"/>
      <c r="B263" s="1244"/>
      <c r="C263" s="1259" t="s">
        <v>1698</v>
      </c>
      <c r="D263" s="1245"/>
      <c r="E263" s="382">
        <v>13897</v>
      </c>
      <c r="F263" s="109">
        <v>13897</v>
      </c>
      <c r="G263" s="109">
        <v>0</v>
      </c>
      <c r="H263" s="109">
        <v>0</v>
      </c>
      <c r="I263" s="109">
        <v>0</v>
      </c>
      <c r="J263" s="109">
        <v>0</v>
      </c>
      <c r="K263" s="109">
        <v>0</v>
      </c>
      <c r="L263" s="171">
        <f t="shared" si="54"/>
        <v>0</v>
      </c>
      <c r="M263" s="171">
        <f t="shared" si="55"/>
        <v>13897</v>
      </c>
      <c r="N263" s="109">
        <v>14564.348759541981</v>
      </c>
      <c r="O263" s="110">
        <v>15263.437499999996</v>
      </c>
    </row>
    <row r="264" spans="1:15" s="5" customFormat="1" ht="12.6" customHeight="1" x14ac:dyDescent="0.25">
      <c r="A264" s="1248"/>
      <c r="B264" s="1244"/>
      <c r="C264" s="1243" t="s">
        <v>1728</v>
      </c>
      <c r="D264" s="1245"/>
      <c r="E264" s="382">
        <v>215800895</v>
      </c>
      <c r="F264" s="109">
        <v>215800895</v>
      </c>
      <c r="G264" s="109">
        <v>0</v>
      </c>
      <c r="H264" s="109">
        <v>0</v>
      </c>
      <c r="I264" s="109">
        <v>0</v>
      </c>
      <c r="J264" s="109">
        <v>0</v>
      </c>
      <c r="K264" s="109">
        <v>0</v>
      </c>
      <c r="L264" s="171">
        <f t="shared" si="54"/>
        <v>0</v>
      </c>
      <c r="M264" s="171">
        <f t="shared" si="55"/>
        <v>215800895</v>
      </c>
      <c r="N264" s="109">
        <v>226159337.85704905</v>
      </c>
      <c r="O264" s="110">
        <v>237014986.0741874</v>
      </c>
    </row>
    <row r="265" spans="1:15" s="5" customFormat="1" ht="12.6" customHeight="1" x14ac:dyDescent="0.25">
      <c r="A265" s="1248"/>
      <c r="B265" s="1244"/>
      <c r="C265" s="1259" t="s">
        <v>1698</v>
      </c>
      <c r="D265" s="1245"/>
      <c r="E265" s="382">
        <v>154152</v>
      </c>
      <c r="F265" s="109">
        <v>154152</v>
      </c>
      <c r="G265" s="109">
        <v>0</v>
      </c>
      <c r="H265" s="109">
        <v>0</v>
      </c>
      <c r="I265" s="109">
        <v>0</v>
      </c>
      <c r="J265" s="109">
        <v>0</v>
      </c>
      <c r="K265" s="109">
        <v>0</v>
      </c>
      <c r="L265" s="171">
        <f t="shared" si="54"/>
        <v>0</v>
      </c>
      <c r="M265" s="171">
        <f t="shared" si="55"/>
        <v>154152</v>
      </c>
      <c r="N265" s="109">
        <v>161551.23449427477</v>
      </c>
      <c r="O265" s="110">
        <v>169305.69374999998</v>
      </c>
    </row>
    <row r="266" spans="1:15" s="5" customFormat="1" ht="12.6" customHeight="1" x14ac:dyDescent="0.25">
      <c r="A266" s="1248"/>
      <c r="B266" s="1244"/>
      <c r="C266" s="1243" t="s">
        <v>1731</v>
      </c>
      <c r="D266" s="1245"/>
      <c r="E266" s="382">
        <v>0</v>
      </c>
      <c r="F266" s="109">
        <v>0</v>
      </c>
      <c r="G266" s="109">
        <v>0</v>
      </c>
      <c r="H266" s="109">
        <v>0</v>
      </c>
      <c r="I266" s="109">
        <v>0</v>
      </c>
      <c r="J266" s="109">
        <v>0</v>
      </c>
      <c r="K266" s="109">
        <v>0</v>
      </c>
      <c r="L266" s="171">
        <f>SUM(G266:K266)</f>
        <v>0</v>
      </c>
      <c r="M266" s="171">
        <f t="shared" si="55"/>
        <v>0</v>
      </c>
      <c r="N266" s="109">
        <v>0</v>
      </c>
      <c r="O266" s="110">
        <v>0</v>
      </c>
    </row>
    <row r="267" spans="1:15" s="5" customFormat="1" ht="12.6" customHeight="1" x14ac:dyDescent="0.25">
      <c r="A267" s="1248"/>
      <c r="B267" s="1244"/>
      <c r="C267" s="1259" t="s">
        <v>1698</v>
      </c>
      <c r="D267" s="1245"/>
      <c r="E267" s="382">
        <v>0</v>
      </c>
      <c r="F267" s="109">
        <v>0</v>
      </c>
      <c r="G267" s="109">
        <v>0</v>
      </c>
      <c r="H267" s="109">
        <v>0</v>
      </c>
      <c r="I267" s="109">
        <v>0</v>
      </c>
      <c r="J267" s="109">
        <v>0</v>
      </c>
      <c r="K267" s="109">
        <v>0</v>
      </c>
      <c r="L267" s="171">
        <f t="shared" si="54"/>
        <v>0</v>
      </c>
      <c r="M267" s="171">
        <f t="shared" si="55"/>
        <v>0</v>
      </c>
      <c r="N267" s="109">
        <v>0</v>
      </c>
      <c r="O267" s="110">
        <v>0</v>
      </c>
    </row>
    <row r="268" spans="1:15" s="5" customFormat="1" ht="12.6" customHeight="1" x14ac:dyDescent="0.25">
      <c r="A268" s="1248"/>
      <c r="B268" s="1244"/>
      <c r="C268" s="1243" t="s">
        <v>1729</v>
      </c>
      <c r="D268" s="1245"/>
      <c r="E268" s="382">
        <v>0</v>
      </c>
      <c r="F268" s="109">
        <v>0</v>
      </c>
      <c r="G268" s="109">
        <v>0</v>
      </c>
      <c r="H268" s="109">
        <v>0</v>
      </c>
      <c r="I268" s="109">
        <v>0</v>
      </c>
      <c r="J268" s="109">
        <v>0</v>
      </c>
      <c r="K268" s="109">
        <v>0</v>
      </c>
      <c r="L268" s="171">
        <f t="shared" si="54"/>
        <v>0</v>
      </c>
      <c r="M268" s="171">
        <f t="shared" si="55"/>
        <v>0</v>
      </c>
      <c r="N268" s="109">
        <v>0</v>
      </c>
      <c r="O268" s="110">
        <v>0</v>
      </c>
    </row>
    <row r="269" spans="1:15" s="5" customFormat="1" ht="12.6" customHeight="1" x14ac:dyDescent="0.25">
      <c r="A269" s="1248"/>
      <c r="B269" s="1244"/>
      <c r="C269" s="1259" t="s">
        <v>1698</v>
      </c>
      <c r="D269" s="1245"/>
      <c r="E269" s="382">
        <v>0</v>
      </c>
      <c r="F269" s="109">
        <v>0</v>
      </c>
      <c r="G269" s="109">
        <v>0</v>
      </c>
      <c r="H269" s="109">
        <v>0</v>
      </c>
      <c r="I269" s="109">
        <v>0</v>
      </c>
      <c r="J269" s="109">
        <v>0</v>
      </c>
      <c r="K269" s="109">
        <v>0</v>
      </c>
      <c r="L269" s="171">
        <f t="shared" si="54"/>
        <v>0</v>
      </c>
      <c r="M269" s="171">
        <f t="shared" si="55"/>
        <v>0</v>
      </c>
      <c r="N269" s="109">
        <v>0</v>
      </c>
      <c r="O269" s="110">
        <v>0</v>
      </c>
    </row>
    <row r="270" spans="1:15" s="5" customFormat="1" ht="12.6" customHeight="1" x14ac:dyDescent="0.25">
      <c r="A270" s="1248"/>
      <c r="B270" s="1244"/>
      <c r="C270" s="1243" t="s">
        <v>1730</v>
      </c>
      <c r="D270" s="1245"/>
      <c r="E270" s="382">
        <v>0</v>
      </c>
      <c r="F270" s="109">
        <v>0</v>
      </c>
      <c r="G270" s="109">
        <v>0</v>
      </c>
      <c r="H270" s="109">
        <v>0</v>
      </c>
      <c r="I270" s="109">
        <v>0</v>
      </c>
      <c r="J270" s="109">
        <v>0</v>
      </c>
      <c r="K270" s="109">
        <v>0</v>
      </c>
      <c r="L270" s="171">
        <f t="shared" si="54"/>
        <v>0</v>
      </c>
      <c r="M270" s="171">
        <f t="shared" si="55"/>
        <v>0</v>
      </c>
      <c r="N270" s="109">
        <v>0</v>
      </c>
      <c r="O270" s="110">
        <v>0</v>
      </c>
    </row>
    <row r="271" spans="1:15" s="5" customFormat="1" ht="12.6" customHeight="1" x14ac:dyDescent="0.25">
      <c r="A271" s="1248"/>
      <c r="B271" s="1244"/>
      <c r="C271" s="1260" t="s">
        <v>1698</v>
      </c>
      <c r="D271" s="1246"/>
      <c r="E271" s="382">
        <v>0</v>
      </c>
      <c r="F271" s="109">
        <v>0</v>
      </c>
      <c r="G271" s="109">
        <v>0</v>
      </c>
      <c r="H271" s="109">
        <v>0</v>
      </c>
      <c r="I271" s="109">
        <v>0</v>
      </c>
      <c r="J271" s="109">
        <v>0</v>
      </c>
      <c r="K271" s="109">
        <v>0</v>
      </c>
      <c r="L271" s="171">
        <f t="shared" si="54"/>
        <v>0</v>
      </c>
      <c r="M271" s="171">
        <f t="shared" si="55"/>
        <v>0</v>
      </c>
      <c r="N271" s="109">
        <v>0</v>
      </c>
      <c r="O271" s="110">
        <v>0</v>
      </c>
    </row>
    <row r="272" spans="1:15" s="5" customFormat="1" ht="12.6" customHeight="1" x14ac:dyDescent="0.25">
      <c r="A272" s="1264"/>
      <c r="B272" s="1261"/>
      <c r="C272" s="1258" t="s">
        <v>1700</v>
      </c>
      <c r="D272" s="1247"/>
      <c r="E272" s="1283">
        <f>E264+E266+E268+E270</f>
        <v>215800895</v>
      </c>
      <c r="F272" s="1282">
        <f t="shared" ref="F272:M272" si="56">F264+F266+F268+F270</f>
        <v>215800895</v>
      </c>
      <c r="G272" s="1265">
        <f t="shared" si="56"/>
        <v>0</v>
      </c>
      <c r="H272" s="1284">
        <f t="shared" si="56"/>
        <v>0</v>
      </c>
      <c r="I272" s="1282">
        <f t="shared" si="56"/>
        <v>0</v>
      </c>
      <c r="J272" s="1285">
        <f t="shared" si="56"/>
        <v>0</v>
      </c>
      <c r="K272" s="1283">
        <f t="shared" si="56"/>
        <v>0</v>
      </c>
      <c r="L272" s="1282">
        <f t="shared" si="56"/>
        <v>0</v>
      </c>
      <c r="M272" s="1285">
        <f t="shared" si="56"/>
        <v>215800895</v>
      </c>
      <c r="N272" s="1282">
        <f>N264+N266+N268+N270</f>
        <v>226159337.85704905</v>
      </c>
      <c r="O272" s="1265">
        <f>O264+O266+O268+O270</f>
        <v>237014986.0741874</v>
      </c>
    </row>
    <row r="273" spans="1:15" s="5" customFormat="1" ht="12.6" customHeight="1" x14ac:dyDescent="0.25">
      <c r="A273" s="1257" t="s">
        <v>1086</v>
      </c>
      <c r="B273" s="1263" t="s">
        <v>1344</v>
      </c>
      <c r="C273" s="1262" t="s">
        <v>1696</v>
      </c>
      <c r="D273" s="1255"/>
      <c r="E273" s="240"/>
      <c r="F273" s="75"/>
      <c r="G273" s="75"/>
      <c r="H273" s="75"/>
      <c r="I273" s="75"/>
      <c r="J273" s="75"/>
      <c r="K273" s="75"/>
      <c r="L273" s="75"/>
      <c r="M273" s="75"/>
      <c r="N273" s="75"/>
      <c r="O273" s="76"/>
    </row>
    <row r="274" spans="1:15" s="5" customFormat="1" ht="12.6" customHeight="1" x14ac:dyDescent="0.25">
      <c r="A274" s="1248" t="s">
        <v>1697</v>
      </c>
      <c r="B274" s="1244"/>
      <c r="C274" s="1256" t="s">
        <v>1732</v>
      </c>
      <c r="D274" s="1245"/>
      <c r="E274" s="382">
        <v>17543476</v>
      </c>
      <c r="F274" s="109">
        <v>17543476</v>
      </c>
      <c r="G274" s="109">
        <v>0</v>
      </c>
      <c r="H274" s="109">
        <v>0</v>
      </c>
      <c r="I274" s="109">
        <v>0</v>
      </c>
      <c r="J274" s="109">
        <v>0</v>
      </c>
      <c r="K274" s="109">
        <v>0</v>
      </c>
      <c r="L274" s="171">
        <f t="shared" ref="L274:L283" si="57">SUM(G274:K274)</f>
        <v>0</v>
      </c>
      <c r="M274" s="171">
        <f t="shared" ref="M274:M283" si="58">IF(F274=0,E274+L274,F274+L274)</f>
        <v>17543476</v>
      </c>
      <c r="N274" s="109">
        <v>18385562.848000001</v>
      </c>
      <c r="O274" s="110">
        <v>19268069.864704002</v>
      </c>
    </row>
    <row r="275" spans="1:15" s="5" customFormat="1" ht="12.6" customHeight="1" x14ac:dyDescent="0.25">
      <c r="A275" s="1248"/>
      <c r="B275" s="1244"/>
      <c r="C275" s="1259" t="s">
        <v>1698</v>
      </c>
      <c r="D275" s="1245"/>
      <c r="E275" s="382">
        <v>16548</v>
      </c>
      <c r="F275" s="109">
        <v>16548</v>
      </c>
      <c r="G275" s="109">
        <v>0</v>
      </c>
      <c r="H275" s="109">
        <v>0</v>
      </c>
      <c r="I275" s="109">
        <v>0</v>
      </c>
      <c r="J275" s="109">
        <v>0</v>
      </c>
      <c r="K275" s="109">
        <v>0</v>
      </c>
      <c r="L275" s="171">
        <f t="shared" si="57"/>
        <v>0</v>
      </c>
      <c r="M275" s="171">
        <f t="shared" si="58"/>
        <v>16548</v>
      </c>
      <c r="N275" s="109">
        <v>17342.074419879998</v>
      </c>
      <c r="O275" s="110">
        <v>18174.49399203424</v>
      </c>
    </row>
    <row r="276" spans="1:15" s="5" customFormat="1" ht="12.6" customHeight="1" x14ac:dyDescent="0.25">
      <c r="A276" s="1248"/>
      <c r="B276" s="1244"/>
      <c r="C276" s="1243" t="s">
        <v>1728</v>
      </c>
      <c r="D276" s="1245"/>
      <c r="E276" s="382">
        <v>199183417</v>
      </c>
      <c r="F276" s="109">
        <v>199183417</v>
      </c>
      <c r="G276" s="109">
        <v>0</v>
      </c>
      <c r="H276" s="109">
        <v>0</v>
      </c>
      <c r="I276" s="109">
        <v>0</v>
      </c>
      <c r="J276" s="109">
        <v>0</v>
      </c>
      <c r="K276" s="109">
        <v>0</v>
      </c>
      <c r="L276" s="171">
        <f t="shared" si="57"/>
        <v>0</v>
      </c>
      <c r="M276" s="171">
        <f t="shared" si="58"/>
        <v>199183417</v>
      </c>
      <c r="N276" s="109">
        <v>208744220.78469539</v>
      </c>
      <c r="O276" s="110">
        <v>218763943.38236079</v>
      </c>
    </row>
    <row r="277" spans="1:15" s="5" customFormat="1" ht="12.6" customHeight="1" x14ac:dyDescent="0.25">
      <c r="A277" s="1248"/>
      <c r="B277" s="1244"/>
      <c r="C277" s="1259" t="s">
        <v>1698</v>
      </c>
      <c r="D277" s="1245"/>
      <c r="E277" s="382">
        <v>183552</v>
      </c>
      <c r="F277" s="109">
        <v>0</v>
      </c>
      <c r="G277" s="109">
        <v>0</v>
      </c>
      <c r="H277" s="109">
        <v>0</v>
      </c>
      <c r="I277" s="109">
        <v>0</v>
      </c>
      <c r="J277" s="109">
        <v>0</v>
      </c>
      <c r="K277" s="109">
        <v>0</v>
      </c>
      <c r="L277" s="171">
        <f t="shared" si="57"/>
        <v>0</v>
      </c>
      <c r="M277" s="171">
        <f t="shared" si="58"/>
        <v>183552</v>
      </c>
      <c r="N277" s="109">
        <v>192362.99931384926</v>
      </c>
      <c r="O277" s="110">
        <v>201596.42328091402</v>
      </c>
    </row>
    <row r="278" spans="1:15" s="5" customFormat="1" ht="12.6" customHeight="1" x14ac:dyDescent="0.25">
      <c r="A278" s="1248"/>
      <c r="B278" s="1244"/>
      <c r="C278" s="1243" t="s">
        <v>1731</v>
      </c>
      <c r="D278" s="1245"/>
      <c r="E278" s="382">
        <v>0</v>
      </c>
      <c r="F278" s="109">
        <v>0</v>
      </c>
      <c r="G278" s="109">
        <v>0</v>
      </c>
      <c r="H278" s="109">
        <v>0</v>
      </c>
      <c r="I278" s="109">
        <v>0</v>
      </c>
      <c r="J278" s="109">
        <v>0</v>
      </c>
      <c r="K278" s="109">
        <v>0</v>
      </c>
      <c r="L278" s="171">
        <f t="shared" si="57"/>
        <v>0</v>
      </c>
      <c r="M278" s="171">
        <f t="shared" si="58"/>
        <v>0</v>
      </c>
      <c r="N278" s="109">
        <v>0</v>
      </c>
      <c r="O278" s="110">
        <v>0</v>
      </c>
    </row>
    <row r="279" spans="1:15" s="5" customFormat="1" ht="12.6" customHeight="1" x14ac:dyDescent="0.25">
      <c r="A279" s="1248"/>
      <c r="B279" s="1244"/>
      <c r="C279" s="1259" t="s">
        <v>1698</v>
      </c>
      <c r="D279" s="1245"/>
      <c r="E279" s="382">
        <v>0</v>
      </c>
      <c r="F279" s="109">
        <v>0</v>
      </c>
      <c r="G279" s="109">
        <v>0</v>
      </c>
      <c r="H279" s="109">
        <v>0</v>
      </c>
      <c r="I279" s="109">
        <v>0</v>
      </c>
      <c r="J279" s="109">
        <v>0</v>
      </c>
      <c r="K279" s="109">
        <v>0</v>
      </c>
      <c r="L279" s="171">
        <f t="shared" si="57"/>
        <v>0</v>
      </c>
      <c r="M279" s="171">
        <f t="shared" si="58"/>
        <v>0</v>
      </c>
      <c r="N279" s="109">
        <v>0</v>
      </c>
      <c r="O279" s="110">
        <v>0</v>
      </c>
    </row>
    <row r="280" spans="1:15" s="5" customFormat="1" ht="12.6" customHeight="1" x14ac:dyDescent="0.25">
      <c r="A280" s="1248"/>
      <c r="B280" s="1244"/>
      <c r="C280" s="1243" t="s">
        <v>1729</v>
      </c>
      <c r="D280" s="1245"/>
      <c r="E280" s="382">
        <v>0</v>
      </c>
      <c r="F280" s="109">
        <v>0</v>
      </c>
      <c r="G280" s="109">
        <v>0</v>
      </c>
      <c r="H280" s="109">
        <v>0</v>
      </c>
      <c r="I280" s="109">
        <v>0</v>
      </c>
      <c r="J280" s="109">
        <v>0</v>
      </c>
      <c r="K280" s="109">
        <v>0</v>
      </c>
      <c r="L280" s="171">
        <f t="shared" si="57"/>
        <v>0</v>
      </c>
      <c r="M280" s="171">
        <f t="shared" si="58"/>
        <v>0</v>
      </c>
      <c r="N280" s="109">
        <v>0</v>
      </c>
      <c r="O280" s="110">
        <v>0</v>
      </c>
    </row>
    <row r="281" spans="1:15" s="5" customFormat="1" ht="12.6" customHeight="1" x14ac:dyDescent="0.25">
      <c r="A281" s="1248"/>
      <c r="B281" s="1244"/>
      <c r="C281" s="1259" t="s">
        <v>1698</v>
      </c>
      <c r="D281" s="1245"/>
      <c r="E281" s="382">
        <v>0</v>
      </c>
      <c r="F281" s="109">
        <v>0</v>
      </c>
      <c r="G281" s="109">
        <v>0</v>
      </c>
      <c r="H281" s="109">
        <v>0</v>
      </c>
      <c r="I281" s="109">
        <v>0</v>
      </c>
      <c r="J281" s="109">
        <v>0</v>
      </c>
      <c r="K281" s="109">
        <v>0</v>
      </c>
      <c r="L281" s="171">
        <f t="shared" si="57"/>
        <v>0</v>
      </c>
      <c r="M281" s="171">
        <f t="shared" si="58"/>
        <v>0</v>
      </c>
      <c r="N281" s="109">
        <v>0</v>
      </c>
      <c r="O281" s="110">
        <v>0</v>
      </c>
    </row>
    <row r="282" spans="1:15" s="5" customFormat="1" ht="12.6" customHeight="1" x14ac:dyDescent="0.25">
      <c r="A282" s="1248"/>
      <c r="B282" s="1244"/>
      <c r="C282" s="1243" t="s">
        <v>1730</v>
      </c>
      <c r="D282" s="1245"/>
      <c r="E282" s="382">
        <v>0</v>
      </c>
      <c r="F282" s="109">
        <v>0</v>
      </c>
      <c r="G282" s="109">
        <v>0</v>
      </c>
      <c r="H282" s="109">
        <v>0</v>
      </c>
      <c r="I282" s="109">
        <v>0</v>
      </c>
      <c r="J282" s="109">
        <v>0</v>
      </c>
      <c r="K282" s="109">
        <v>0</v>
      </c>
      <c r="L282" s="171">
        <f t="shared" si="57"/>
        <v>0</v>
      </c>
      <c r="M282" s="171">
        <f t="shared" si="58"/>
        <v>0</v>
      </c>
      <c r="N282" s="109">
        <v>0</v>
      </c>
      <c r="O282" s="110">
        <v>0</v>
      </c>
    </row>
    <row r="283" spans="1:15" s="5" customFormat="1" ht="12.6" customHeight="1" x14ac:dyDescent="0.25">
      <c r="A283" s="1248"/>
      <c r="B283" s="1244"/>
      <c r="C283" s="1260" t="s">
        <v>1698</v>
      </c>
      <c r="D283" s="1246"/>
      <c r="E283" s="382">
        <v>0</v>
      </c>
      <c r="F283" s="109">
        <v>0</v>
      </c>
      <c r="G283" s="109">
        <v>0</v>
      </c>
      <c r="H283" s="109">
        <v>0</v>
      </c>
      <c r="I283" s="109">
        <v>0</v>
      </c>
      <c r="J283" s="109">
        <v>0</v>
      </c>
      <c r="K283" s="109">
        <v>0</v>
      </c>
      <c r="L283" s="171">
        <f t="shared" si="57"/>
        <v>0</v>
      </c>
      <c r="M283" s="171">
        <f t="shared" si="58"/>
        <v>0</v>
      </c>
      <c r="N283" s="109">
        <v>0</v>
      </c>
      <c r="O283" s="110">
        <v>0</v>
      </c>
    </row>
    <row r="284" spans="1:15" s="5" customFormat="1" ht="12.6" customHeight="1" x14ac:dyDescent="0.25">
      <c r="A284" s="1264"/>
      <c r="B284" s="1261"/>
      <c r="C284" s="1258" t="s">
        <v>1701</v>
      </c>
      <c r="D284" s="1247"/>
      <c r="E284" s="1283">
        <f>E276+E278+E280+E282</f>
        <v>199183417</v>
      </c>
      <c r="F284" s="1282">
        <f t="shared" ref="F284:M284" si="59">F276+F278+F280+F282</f>
        <v>199183417</v>
      </c>
      <c r="G284" s="1265">
        <f t="shared" si="59"/>
        <v>0</v>
      </c>
      <c r="H284" s="1284">
        <f t="shared" si="59"/>
        <v>0</v>
      </c>
      <c r="I284" s="1282">
        <f t="shared" si="59"/>
        <v>0</v>
      </c>
      <c r="J284" s="1285">
        <f t="shared" si="59"/>
        <v>0</v>
      </c>
      <c r="K284" s="1283">
        <f t="shared" si="59"/>
        <v>0</v>
      </c>
      <c r="L284" s="1282">
        <f t="shared" si="59"/>
        <v>0</v>
      </c>
      <c r="M284" s="1285">
        <f t="shared" si="59"/>
        <v>199183417</v>
      </c>
      <c r="N284" s="1282">
        <f>N276+N278+N280+N282</f>
        <v>208744220.78469539</v>
      </c>
      <c r="O284" s="1265">
        <f>O276+O278+O280+O282</f>
        <v>218763943.38236079</v>
      </c>
    </row>
    <row r="285" spans="1:15" s="5" customFormat="1" ht="12.6" customHeight="1" x14ac:dyDescent="0.25">
      <c r="A285" s="1257" t="s">
        <v>1702</v>
      </c>
      <c r="B285" s="1263" t="s">
        <v>1344</v>
      </c>
      <c r="C285" s="1262" t="s">
        <v>1696</v>
      </c>
      <c r="D285" s="1255"/>
      <c r="E285" s="240"/>
      <c r="F285" s="75"/>
      <c r="G285" s="75"/>
      <c r="H285" s="75"/>
      <c r="I285" s="75"/>
      <c r="J285" s="75"/>
      <c r="K285" s="75"/>
      <c r="L285" s="75"/>
      <c r="M285" s="75"/>
      <c r="N285" s="75"/>
      <c r="O285" s="76"/>
    </row>
    <row r="286" spans="1:15" s="5" customFormat="1" ht="12.6" customHeight="1" x14ac:dyDescent="0.25">
      <c r="A286" s="1248" t="s">
        <v>1697</v>
      </c>
      <c r="B286" s="1244"/>
      <c r="C286" s="1256" t="s">
        <v>1733</v>
      </c>
      <c r="D286" s="1245"/>
      <c r="E286" s="382">
        <v>14706979.999999998</v>
      </c>
      <c r="F286" s="109">
        <v>14706979.999999998</v>
      </c>
      <c r="G286" s="109">
        <v>0</v>
      </c>
      <c r="H286" s="109">
        <v>0</v>
      </c>
      <c r="I286" s="109">
        <v>0</v>
      </c>
      <c r="J286" s="109">
        <v>0</v>
      </c>
      <c r="K286" s="109">
        <v>0</v>
      </c>
      <c r="L286" s="171">
        <f t="shared" ref="L286:L295" si="60">SUM(G286:K286)</f>
        <v>0</v>
      </c>
      <c r="M286" s="171">
        <f t="shared" ref="M286:M295" si="61">IF(F286=0,E286+L286,F286+L286)</f>
        <v>14706979.999999998</v>
      </c>
      <c r="N286" s="109">
        <v>15412915.039999999</v>
      </c>
      <c r="O286" s="110">
        <v>16152734.961920001</v>
      </c>
    </row>
    <row r="287" spans="1:15" s="5" customFormat="1" ht="12.6" customHeight="1" x14ac:dyDescent="0.25">
      <c r="A287" s="1248"/>
      <c r="B287" s="1244"/>
      <c r="C287" s="1259" t="s">
        <v>1698</v>
      </c>
      <c r="D287" s="1245"/>
      <c r="E287" s="382">
        <v>16548</v>
      </c>
      <c r="F287" s="109">
        <v>16548</v>
      </c>
      <c r="G287" s="109">
        <v>0</v>
      </c>
      <c r="H287" s="109">
        <v>0</v>
      </c>
      <c r="I287" s="109">
        <v>0</v>
      </c>
      <c r="J287" s="109">
        <v>0</v>
      </c>
      <c r="K287" s="109">
        <v>0</v>
      </c>
      <c r="L287" s="171">
        <f t="shared" si="60"/>
        <v>0</v>
      </c>
      <c r="M287" s="171">
        <f t="shared" si="61"/>
        <v>16548</v>
      </c>
      <c r="N287" s="109">
        <v>17342.074419879998</v>
      </c>
      <c r="O287" s="110">
        <v>18174.49399203424</v>
      </c>
    </row>
    <row r="288" spans="1:15" s="5" customFormat="1" ht="12.6" customHeight="1" x14ac:dyDescent="0.25">
      <c r="A288" s="1248"/>
      <c r="B288" s="1244"/>
      <c r="C288" s="1243" t="s">
        <v>1728</v>
      </c>
      <c r="D288" s="1245"/>
      <c r="E288" s="382">
        <v>13914955</v>
      </c>
      <c r="F288" s="109">
        <v>13914955</v>
      </c>
      <c r="G288" s="109">
        <v>0</v>
      </c>
      <c r="H288" s="109">
        <v>0</v>
      </c>
      <c r="I288" s="109">
        <v>0</v>
      </c>
      <c r="J288" s="109">
        <v>0</v>
      </c>
      <c r="K288" s="109">
        <v>0</v>
      </c>
      <c r="L288" s="171">
        <f t="shared" si="60"/>
        <v>0</v>
      </c>
      <c r="M288" s="171">
        <f t="shared" si="61"/>
        <v>13914955</v>
      </c>
      <c r="N288" s="109">
        <v>14582873.322346665</v>
      </c>
      <c r="O288" s="110">
        <v>15282851.241819305</v>
      </c>
    </row>
    <row r="289" spans="1:15" s="5" customFormat="1" ht="12.6" customHeight="1" x14ac:dyDescent="0.25">
      <c r="A289" s="1248"/>
      <c r="B289" s="1244"/>
      <c r="C289" s="1259" t="s">
        <v>1698</v>
      </c>
      <c r="D289" s="1245"/>
      <c r="E289" s="382">
        <v>183552</v>
      </c>
      <c r="F289" s="109">
        <v>183552</v>
      </c>
      <c r="G289" s="109">
        <v>0</v>
      </c>
      <c r="H289" s="109">
        <v>0</v>
      </c>
      <c r="I289" s="109">
        <v>0</v>
      </c>
      <c r="J289" s="109">
        <v>0</v>
      </c>
      <c r="K289" s="109">
        <v>0</v>
      </c>
      <c r="L289" s="171">
        <f t="shared" si="60"/>
        <v>0</v>
      </c>
      <c r="M289" s="171">
        <f t="shared" si="61"/>
        <v>183552</v>
      </c>
      <c r="N289" s="109">
        <v>192362.99931384926</v>
      </c>
      <c r="O289" s="110">
        <v>201596.42328091402</v>
      </c>
    </row>
    <row r="290" spans="1:15" s="5" customFormat="1" ht="12.6" customHeight="1" x14ac:dyDescent="0.25">
      <c r="A290" s="1248"/>
      <c r="B290" s="1244"/>
      <c r="C290" s="1243" t="s">
        <v>1731</v>
      </c>
      <c r="D290" s="1245"/>
      <c r="E290" s="382">
        <v>0</v>
      </c>
      <c r="F290" s="109">
        <v>0</v>
      </c>
      <c r="G290" s="109">
        <v>0</v>
      </c>
      <c r="H290" s="109">
        <v>0</v>
      </c>
      <c r="I290" s="109">
        <v>0</v>
      </c>
      <c r="J290" s="109">
        <v>0</v>
      </c>
      <c r="K290" s="109">
        <v>0</v>
      </c>
      <c r="L290" s="171">
        <f t="shared" si="60"/>
        <v>0</v>
      </c>
      <c r="M290" s="171">
        <f t="shared" si="61"/>
        <v>0</v>
      </c>
      <c r="N290" s="109">
        <v>0</v>
      </c>
      <c r="O290" s="110">
        <v>0</v>
      </c>
    </row>
    <row r="291" spans="1:15" s="5" customFormat="1" ht="12.6" customHeight="1" x14ac:dyDescent="0.25">
      <c r="A291" s="1248"/>
      <c r="B291" s="1244"/>
      <c r="C291" s="1259" t="s">
        <v>1698</v>
      </c>
      <c r="D291" s="1245"/>
      <c r="E291" s="382">
        <v>0</v>
      </c>
      <c r="F291" s="109">
        <v>0</v>
      </c>
      <c r="G291" s="109">
        <v>0</v>
      </c>
      <c r="H291" s="109">
        <v>0</v>
      </c>
      <c r="I291" s="109">
        <v>0</v>
      </c>
      <c r="J291" s="109">
        <v>0</v>
      </c>
      <c r="K291" s="109">
        <v>0</v>
      </c>
      <c r="L291" s="171">
        <f t="shared" si="60"/>
        <v>0</v>
      </c>
      <c r="M291" s="171">
        <f t="shared" si="61"/>
        <v>0</v>
      </c>
      <c r="N291" s="109">
        <v>0</v>
      </c>
      <c r="O291" s="110">
        <v>0</v>
      </c>
    </row>
    <row r="292" spans="1:15" s="5" customFormat="1" ht="12.6" customHeight="1" x14ac:dyDescent="0.25">
      <c r="A292" s="1248"/>
      <c r="B292" s="1244"/>
      <c r="C292" s="1243" t="s">
        <v>1729</v>
      </c>
      <c r="D292" s="1245"/>
      <c r="E292" s="382">
        <v>0</v>
      </c>
      <c r="F292" s="109">
        <v>0</v>
      </c>
      <c r="G292" s="109">
        <v>0</v>
      </c>
      <c r="H292" s="109">
        <v>0</v>
      </c>
      <c r="I292" s="109">
        <v>0</v>
      </c>
      <c r="J292" s="109">
        <v>0</v>
      </c>
      <c r="K292" s="109">
        <v>0</v>
      </c>
      <c r="L292" s="171">
        <f t="shared" si="60"/>
        <v>0</v>
      </c>
      <c r="M292" s="171">
        <f t="shared" si="61"/>
        <v>0</v>
      </c>
      <c r="N292" s="109">
        <v>0</v>
      </c>
      <c r="O292" s="110">
        <v>0</v>
      </c>
    </row>
    <row r="293" spans="1:15" s="5" customFormat="1" ht="12.6" customHeight="1" x14ac:dyDescent="0.25">
      <c r="A293" s="1248"/>
      <c r="B293" s="1244"/>
      <c r="C293" s="1259" t="s">
        <v>1698</v>
      </c>
      <c r="D293" s="1245"/>
      <c r="E293" s="382">
        <v>0</v>
      </c>
      <c r="F293" s="109">
        <v>0</v>
      </c>
      <c r="G293" s="109">
        <v>0</v>
      </c>
      <c r="H293" s="109">
        <v>0</v>
      </c>
      <c r="I293" s="109">
        <v>0</v>
      </c>
      <c r="J293" s="109">
        <v>0</v>
      </c>
      <c r="K293" s="109">
        <v>0</v>
      </c>
      <c r="L293" s="171">
        <f t="shared" si="60"/>
        <v>0</v>
      </c>
      <c r="M293" s="171">
        <f t="shared" si="61"/>
        <v>0</v>
      </c>
      <c r="N293" s="109">
        <v>0</v>
      </c>
      <c r="O293" s="110">
        <v>0</v>
      </c>
    </row>
    <row r="294" spans="1:15" s="5" customFormat="1" ht="12.6" customHeight="1" x14ac:dyDescent="0.25">
      <c r="A294" s="1248"/>
      <c r="B294" s="1244"/>
      <c r="C294" s="1243" t="s">
        <v>1730</v>
      </c>
      <c r="D294" s="1245"/>
      <c r="E294" s="382">
        <v>0</v>
      </c>
      <c r="F294" s="109">
        <v>0</v>
      </c>
      <c r="G294" s="109">
        <v>0</v>
      </c>
      <c r="H294" s="109">
        <v>0</v>
      </c>
      <c r="I294" s="109">
        <v>0</v>
      </c>
      <c r="J294" s="109">
        <v>0</v>
      </c>
      <c r="K294" s="109">
        <v>0</v>
      </c>
      <c r="L294" s="171">
        <f t="shared" si="60"/>
        <v>0</v>
      </c>
      <c r="M294" s="171">
        <f t="shared" si="61"/>
        <v>0</v>
      </c>
      <c r="N294" s="109">
        <v>0</v>
      </c>
      <c r="O294" s="110">
        <v>0</v>
      </c>
    </row>
    <row r="295" spans="1:15" s="5" customFormat="1" ht="12.6" customHeight="1" x14ac:dyDescent="0.25">
      <c r="A295" s="1248"/>
      <c r="B295" s="1244"/>
      <c r="C295" s="1260" t="s">
        <v>1698</v>
      </c>
      <c r="D295" s="1246"/>
      <c r="E295" s="382">
        <v>0</v>
      </c>
      <c r="F295" s="109">
        <v>0</v>
      </c>
      <c r="G295" s="109">
        <v>0</v>
      </c>
      <c r="H295" s="109">
        <v>0</v>
      </c>
      <c r="I295" s="109">
        <v>0</v>
      </c>
      <c r="J295" s="109">
        <v>0</v>
      </c>
      <c r="K295" s="109">
        <v>0</v>
      </c>
      <c r="L295" s="171">
        <f t="shared" si="60"/>
        <v>0</v>
      </c>
      <c r="M295" s="171">
        <f t="shared" si="61"/>
        <v>0</v>
      </c>
      <c r="N295" s="109">
        <v>0</v>
      </c>
      <c r="O295" s="110">
        <v>0</v>
      </c>
    </row>
    <row r="296" spans="1:15" s="5" customFormat="1" ht="12.6" customHeight="1" x14ac:dyDescent="0.25">
      <c r="A296" s="1264"/>
      <c r="B296" s="1261"/>
      <c r="C296" s="1258" t="s">
        <v>1703</v>
      </c>
      <c r="D296" s="1247"/>
      <c r="E296" s="1283">
        <f>E288+E290+E292+E294</f>
        <v>13914955</v>
      </c>
      <c r="F296" s="1282">
        <f t="shared" ref="F296:M296" si="62">F288+F290+F292+F294</f>
        <v>13914955</v>
      </c>
      <c r="G296" s="1265">
        <f t="shared" si="62"/>
        <v>0</v>
      </c>
      <c r="H296" s="1284">
        <f t="shared" si="62"/>
        <v>0</v>
      </c>
      <c r="I296" s="1282">
        <f t="shared" si="62"/>
        <v>0</v>
      </c>
      <c r="J296" s="1285">
        <f t="shared" si="62"/>
        <v>0</v>
      </c>
      <c r="K296" s="1283">
        <f t="shared" si="62"/>
        <v>0</v>
      </c>
      <c r="L296" s="1282">
        <f t="shared" si="62"/>
        <v>0</v>
      </c>
      <c r="M296" s="1285">
        <f t="shared" si="62"/>
        <v>13914955</v>
      </c>
      <c r="N296" s="1282">
        <f>N288+N290+N292+N294</f>
        <v>14582873.322346665</v>
      </c>
      <c r="O296" s="1265">
        <f>O288+O290+O292+O294</f>
        <v>15282851.241819305</v>
      </c>
    </row>
    <row r="297" spans="1:15" s="5" customFormat="1" ht="11.25" customHeight="1" x14ac:dyDescent="0.25">
      <c r="B297" s="58"/>
    </row>
    <row r="298" spans="1:15" ht="11.25" customHeight="1" x14ac:dyDescent="0.25">
      <c r="A298" s="284" t="str">
        <f>head27a</f>
        <v>References</v>
      </c>
    </row>
    <row r="299" spans="1:15" ht="11.25" customHeight="1" x14ac:dyDescent="0.25">
      <c r="A299" s="287" t="s">
        <v>1352</v>
      </c>
    </row>
    <row r="300" spans="1:15" ht="11.25" customHeight="1" x14ac:dyDescent="0.25">
      <c r="A300" s="287" t="s">
        <v>1353</v>
      </c>
    </row>
    <row r="301" spans="1:15" ht="11.25" customHeight="1" x14ac:dyDescent="0.25">
      <c r="A301" s="287" t="s">
        <v>1354</v>
      </c>
    </row>
    <row r="302" spans="1:15" ht="11.25" customHeight="1" x14ac:dyDescent="0.25">
      <c r="A302" s="287" t="s">
        <v>1355</v>
      </c>
    </row>
    <row r="303" spans="1:15" ht="11.25" customHeight="1" x14ac:dyDescent="0.25">
      <c r="A303" s="287" t="s">
        <v>1356</v>
      </c>
    </row>
    <row r="304" spans="1:15" ht="11.25" customHeight="1" x14ac:dyDescent="0.25">
      <c r="A304" s="285" t="s">
        <v>1357</v>
      </c>
      <c r="B304" s="836"/>
      <c r="F304" s="446"/>
      <c r="G304" s="446"/>
      <c r="H304" s="446"/>
      <c r="I304" s="446"/>
      <c r="J304" s="446"/>
      <c r="K304" s="446"/>
    </row>
    <row r="305" spans="1:11" ht="11.25" customHeight="1" x14ac:dyDescent="0.25">
      <c r="A305" s="285" t="s">
        <v>1358</v>
      </c>
      <c r="F305" s="446"/>
      <c r="G305" s="446"/>
      <c r="H305" s="446"/>
      <c r="I305" s="446"/>
      <c r="J305" s="446"/>
      <c r="K305" s="446"/>
    </row>
    <row r="306" spans="1:11" ht="11.25" customHeight="1" x14ac:dyDescent="0.25">
      <c r="A306" s="828" t="s">
        <v>1359</v>
      </c>
      <c r="F306" s="446"/>
      <c r="G306" s="446"/>
      <c r="H306" s="446"/>
      <c r="I306" s="446"/>
      <c r="J306" s="446"/>
      <c r="K306" s="446"/>
    </row>
    <row r="307" spans="1:11" ht="11.25" customHeight="1" x14ac:dyDescent="0.25">
      <c r="A307" s="828" t="s">
        <v>1360</v>
      </c>
      <c r="F307" s="446"/>
      <c r="G307" s="446"/>
      <c r="H307" s="446"/>
      <c r="I307" s="446"/>
      <c r="J307" s="446"/>
      <c r="K307" s="446"/>
    </row>
    <row r="308" spans="1:11" ht="11.25" customHeight="1" x14ac:dyDescent="0.25">
      <c r="A308" s="828" t="s">
        <v>1361</v>
      </c>
      <c r="F308" s="446"/>
      <c r="G308" s="446"/>
      <c r="H308" s="446"/>
      <c r="I308" s="446"/>
      <c r="J308" s="446"/>
      <c r="K308" s="446"/>
    </row>
    <row r="309" spans="1:11" ht="11.25" customHeight="1" x14ac:dyDescent="0.25">
      <c r="A309" s="828" t="s">
        <v>1362</v>
      </c>
    </row>
    <row r="310" spans="1:11" ht="11.25" customHeight="1" x14ac:dyDescent="0.25">
      <c r="A310" s="287" t="s">
        <v>1363</v>
      </c>
      <c r="F310" s="447"/>
      <c r="G310" s="447"/>
      <c r="H310" s="447"/>
      <c r="I310" s="447"/>
      <c r="J310" s="447"/>
      <c r="K310" s="447"/>
    </row>
    <row r="311" spans="1:11" ht="11.25" customHeight="1" x14ac:dyDescent="0.25">
      <c r="A311" s="1008" t="s">
        <v>1364</v>
      </c>
      <c r="F311" s="447"/>
      <c r="G311" s="447"/>
      <c r="H311" s="447"/>
      <c r="I311" s="448"/>
      <c r="J311" s="448"/>
      <c r="K311" s="448"/>
    </row>
  </sheetData>
  <sheetProtection sheet="1" objects="1" scenarios="1"/>
  <mergeCells count="21">
    <mergeCell ref="K2:M2"/>
    <mergeCell ref="K63:M63"/>
    <mergeCell ref="H201:J201"/>
    <mergeCell ref="H109:J109"/>
    <mergeCell ref="A63:A64"/>
    <mergeCell ref="D2:D3"/>
    <mergeCell ref="H63:J63"/>
    <mergeCell ref="B2:B3"/>
    <mergeCell ref="E2:E3"/>
    <mergeCell ref="F2:F3"/>
    <mergeCell ref="A2:A3"/>
    <mergeCell ref="C2:C3"/>
    <mergeCell ref="A247:A248"/>
    <mergeCell ref="E247:M247"/>
    <mergeCell ref="A155:A156"/>
    <mergeCell ref="K109:M109"/>
    <mergeCell ref="H155:J155"/>
    <mergeCell ref="A201:A202"/>
    <mergeCell ref="K201:M201"/>
    <mergeCell ref="K155:M155"/>
    <mergeCell ref="A109:A110"/>
  </mergeCells>
  <phoneticPr fontId="4" type="noConversion"/>
  <dataValidations count="1">
    <dataValidation type="decimal" allowBlank="1" showInputMessage="1" showErrorMessage="1" sqref="E67:M70 E72:M74 E78:M82 E84:M86 E90:M91 E93:M95 E99:M99 E101:M105 E113:M116 E118:M120 E124:M128 E130:M132 E136:M137 E139:M141 E145:M145 E147:M151 E159:M162 E164:M166 E170:M174 E176:M178 E182:M183 E185:M187 E191:M191 E193:M197 E205:M208 E210:M212 E216:M220 E222:M224 E228:M229 E231:M233 E237:M237 E239:M243">
      <formula1>-9999999999999990000</formula1>
      <formula2>99999999999999900000</formula2>
    </dataValidation>
  </dataValidations>
  <printOptions horizontalCentered="1"/>
  <pageMargins left="0.39370078740157483" right="0.19685039370078741" top="0.59055118110236227" bottom="0.59055118110236227" header="0.51181102362204722" footer="0.51181102362204722"/>
  <pageSetup paperSize="9" scale="15"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6">
    <tabColor indexed="42"/>
    <pageSetUpPr fitToPage="1"/>
  </sheetPr>
  <dimension ref="A1:P93"/>
  <sheetViews>
    <sheetView showGridLines="0" zoomScaleNormal="100" workbookViewId="0">
      <pane xSplit="2" ySplit="3" topLeftCell="C4" activePane="bottomRight" state="frozen"/>
      <selection activeCell="C6" sqref="C6"/>
      <selection pane="topRight" activeCell="C6" sqref="C6"/>
      <selection pane="bottomLeft" activeCell="C6" sqref="C6"/>
      <selection pane="bottomRight" activeCell="P67" sqref="P67"/>
    </sheetView>
  </sheetViews>
  <sheetFormatPr defaultColWidth="9.140625" defaultRowHeight="12.75" x14ac:dyDescent="0.25"/>
  <cols>
    <col min="1" max="1" width="41.7109375" style="5" customWidth="1"/>
    <col min="2" max="2" width="3.5703125" style="58" customWidth="1"/>
    <col min="3" max="5" width="8.7109375" style="58" customWidth="1"/>
    <col min="6" max="11" width="8.7109375" style="5" customWidth="1"/>
    <col min="12" max="12" width="9.5703125" style="5" customWidth="1"/>
    <col min="13" max="13" width="10.140625" style="5" bestFit="1" customWidth="1"/>
    <col min="14" max="14" width="9.5703125" style="5" bestFit="1" customWidth="1"/>
    <col min="15" max="16384" width="9.140625" style="5"/>
  </cols>
  <sheetData>
    <row r="1" spans="1:11" ht="13.5" x14ac:dyDescent="0.25">
      <c r="A1" s="57" t="str">
        <f>muni &amp;" - "&amp;ADJB6&amp;" - "&amp;Date</f>
        <v>LIM354 Polokwane - Supporting Table SB6 Adjustments Budget - funding measurement - 2020</v>
      </c>
      <c r="C1" s="5"/>
      <c r="D1" s="5"/>
      <c r="E1" s="5"/>
    </row>
    <row r="2" spans="1:11" x14ac:dyDescent="0.25">
      <c r="A2" s="59" t="str">
        <f>desc</f>
        <v>Description</v>
      </c>
      <c r="B2" s="1450" t="str">
        <f>head27</f>
        <v>Ref</v>
      </c>
      <c r="C2" s="1450" t="s">
        <v>104</v>
      </c>
      <c r="D2" s="449" t="str">
        <f>Head1B</f>
        <v>2017/18</v>
      </c>
      <c r="E2" s="319" t="str">
        <f>Head1A</f>
        <v>2018/19</v>
      </c>
      <c r="F2" s="319" t="str">
        <f>Head1</f>
        <v>2019/20</v>
      </c>
      <c r="G2" s="450" t="str">
        <f>Head3a</f>
        <v>Medium Term Revenue and Expenditure Framework</v>
      </c>
      <c r="H2" s="169"/>
      <c r="I2" s="450"/>
      <c r="J2" s="169"/>
      <c r="K2" s="170"/>
    </row>
    <row r="3" spans="1:11" ht="38.25" x14ac:dyDescent="0.25">
      <c r="A3" s="451" t="s">
        <v>603</v>
      </c>
      <c r="B3" s="1454"/>
      <c r="C3" s="1454"/>
      <c r="D3" s="452" t="str">
        <f>Head5</f>
        <v>Audited Outcome</v>
      </c>
      <c r="E3" s="320" t="str">
        <f>Head5</f>
        <v>Audited Outcome</v>
      </c>
      <c r="F3" s="320" t="str">
        <f>Head5</f>
        <v>Audited Outcome</v>
      </c>
      <c r="G3" s="320" t="str">
        <f>Head6</f>
        <v>Original Budget</v>
      </c>
      <c r="H3" s="320" t="str">
        <f>Head54</f>
        <v>Prior Adjusted</v>
      </c>
      <c r="I3" s="320" t="str">
        <f>Head7</f>
        <v>Adjusted Budget</v>
      </c>
      <c r="J3" s="320" t="str">
        <f>Head10</f>
        <v>Budget Year +1 2021/22</v>
      </c>
      <c r="K3" s="322" t="str">
        <f>Head11</f>
        <v>Budget Year +2 2022/23</v>
      </c>
    </row>
    <row r="4" spans="1:11" ht="12.75" customHeight="1" x14ac:dyDescent="0.25">
      <c r="A4" s="126" t="s">
        <v>105</v>
      </c>
      <c r="B4" s="453"/>
      <c r="C4" s="453"/>
      <c r="D4" s="454"/>
      <c r="E4" s="455"/>
      <c r="F4" s="455"/>
      <c r="G4" s="455"/>
      <c r="H4" s="456"/>
      <c r="I4" s="455"/>
      <c r="J4" s="456"/>
      <c r="K4" s="457"/>
    </row>
    <row r="5" spans="1:11" ht="12.75" customHeight="1" x14ac:dyDescent="0.25">
      <c r="A5" s="129" t="s">
        <v>106</v>
      </c>
      <c r="B5" s="73">
        <v>1</v>
      </c>
      <c r="C5" s="73" t="s">
        <v>107</v>
      </c>
      <c r="D5" s="382">
        <v>4526280</v>
      </c>
      <c r="E5" s="109">
        <v>150517731</v>
      </c>
      <c r="F5" s="109">
        <v>420611235</v>
      </c>
      <c r="G5" s="171">
        <f>'B7-CFlow'!C42</f>
        <v>195851553</v>
      </c>
      <c r="H5" s="171">
        <f>'B7-CFlow'!D42</f>
        <v>283252904.76999998</v>
      </c>
      <c r="I5" s="171">
        <f>'B7-CFlow'!K42</f>
        <v>73368333.769999981</v>
      </c>
      <c r="J5" s="458">
        <f>'B7-CFlow'!L42</f>
        <v>267031998.88000107</v>
      </c>
      <c r="K5" s="235">
        <f>'B7-CFlow'!M42</f>
        <v>563181606.88000095</v>
      </c>
    </row>
    <row r="6" spans="1:11" ht="12.75" customHeight="1" x14ac:dyDescent="0.25">
      <c r="A6" s="129" t="s">
        <v>108</v>
      </c>
      <c r="B6" s="73">
        <v>2</v>
      </c>
      <c r="C6" s="73" t="s">
        <v>107</v>
      </c>
      <c r="D6" s="382">
        <v>188402466.26999992</v>
      </c>
      <c r="E6" s="109">
        <v>-205662243</v>
      </c>
      <c r="F6" s="109">
        <v>268228975.83421624</v>
      </c>
      <c r="G6" s="171">
        <f>'B8-ResRecon'!C21</f>
        <v>66976405.400000036</v>
      </c>
      <c r="H6" s="171">
        <f>'B8-ResRecon'!D21</f>
        <v>154377757.17000002</v>
      </c>
      <c r="I6" s="171">
        <f>'B8-ResRecon'!K21</f>
        <v>3290255.8699993193</v>
      </c>
      <c r="J6" s="458">
        <f>'B8-ResRecon'!L21</f>
        <v>283428797.19777894</v>
      </c>
      <c r="K6" s="235">
        <f>'B8-ResRecon'!M21</f>
        <v>472274021.63214409</v>
      </c>
    </row>
    <row r="7" spans="1:11" x14ac:dyDescent="0.25">
      <c r="A7" s="129" t="s">
        <v>109</v>
      </c>
      <c r="B7" s="73">
        <v>3</v>
      </c>
      <c r="C7" s="73" t="s">
        <v>107</v>
      </c>
      <c r="D7" s="382">
        <v>1.3748158397419139E-2</v>
      </c>
      <c r="E7" s="109">
        <v>0.36086765432827478</v>
      </c>
      <c r="F7" s="109">
        <v>1.3732865849380422</v>
      </c>
      <c r="G7" s="171">
        <f>'SB4'!F39</f>
        <v>0</v>
      </c>
      <c r="H7" s="171">
        <f>'SB4'!G39</f>
        <v>0</v>
      </c>
      <c r="I7" s="171">
        <f>'SB4'!H39</f>
        <v>0</v>
      </c>
      <c r="J7" s="458">
        <f>'SB4'!I39</f>
        <v>0</v>
      </c>
      <c r="K7" s="235">
        <f>'SB4'!J39</f>
        <v>0</v>
      </c>
    </row>
    <row r="8" spans="1:11" ht="12.75" customHeight="1" x14ac:dyDescent="0.25">
      <c r="A8" s="129" t="s">
        <v>110</v>
      </c>
      <c r="B8" s="73">
        <v>4</v>
      </c>
      <c r="C8" s="73" t="s">
        <v>111</v>
      </c>
      <c r="D8" s="382">
        <v>-285742608.09000111</v>
      </c>
      <c r="E8" s="109">
        <f>246153657+677042225</f>
        <v>923195882</v>
      </c>
      <c r="F8" s="109">
        <f>260614888+681734892</f>
        <v>942349780</v>
      </c>
      <c r="G8" s="171">
        <f>'B4-FinPerf RE'!C43+'SB2'!C54</f>
        <v>1003110791</v>
      </c>
      <c r="H8" s="171">
        <f>'B4-FinPerf RE'!D43+'SB2'!D54</f>
        <v>1032753791</v>
      </c>
      <c r="I8" s="171">
        <f>'B4-FinPerf RE'!K43+'SB2'!K54</f>
        <v>869379263</v>
      </c>
      <c r="J8" s="171">
        <f>'B4-FinPerf RE'!L43+'SB2'!L54</f>
        <v>808247957.23523617</v>
      </c>
      <c r="K8" s="235">
        <f>'B4-FinPerf RE'!M43+'SB2'!M54</f>
        <v>793472717.87607336</v>
      </c>
    </row>
    <row r="9" spans="1:11" ht="12.75" customHeight="1" x14ac:dyDescent="0.25">
      <c r="A9" s="30" t="s">
        <v>112</v>
      </c>
      <c r="B9" s="137">
        <v>5</v>
      </c>
      <c r="C9" s="137" t="s">
        <v>113</v>
      </c>
      <c r="D9" s="459">
        <v>8.6</v>
      </c>
      <c r="E9" s="327">
        <v>0</v>
      </c>
      <c r="F9" s="327">
        <v>0</v>
      </c>
      <c r="G9" s="328">
        <f>IF(ISERROR(((G36/G37)-1)-G35),0,(((G36/G37)-1)-G35))</f>
        <v>0</v>
      </c>
      <c r="H9" s="328">
        <f>IF(ISERROR(((H36/H37)-1)-H35),0,(((H36/H37)-1)-H35))</f>
        <v>0</v>
      </c>
      <c r="I9" s="328">
        <f>IF(ISERROR(((I36/I37)-1)-I35),0,(((I36/I37)-1)-I35))</f>
        <v>0</v>
      </c>
      <c r="J9" s="328">
        <f>IF(ISERROR(((J36/J37)-1)-J35),0,(((J36/J37)-1)-J35))</f>
        <v>4.173293098946812E-2</v>
      </c>
      <c r="K9" s="330">
        <f>IF(ISERROR(((K36/K37)-1)-K35),0,(((K36/K37)-1)-K35))</f>
        <v>2.207500907060439E-2</v>
      </c>
    </row>
    <row r="10" spans="1:11" ht="12.75" customHeight="1" x14ac:dyDescent="0.25">
      <c r="A10" s="30" t="s">
        <v>114</v>
      </c>
      <c r="B10" s="137">
        <v>6</v>
      </c>
      <c r="C10" s="137" t="s">
        <v>113</v>
      </c>
      <c r="D10" s="1056">
        <f>IF(ISERROR(D40/D41),0,(D40/D41))</f>
        <v>0</v>
      </c>
      <c r="E10" s="460">
        <f t="shared" ref="E10:K10" si="0">IF(ISERROR(E40/E41),0,(E40/E41))</f>
        <v>0</v>
      </c>
      <c r="F10" s="460">
        <f t="shared" si="0"/>
        <v>0</v>
      </c>
      <c r="G10" s="460">
        <f t="shared" si="0"/>
        <v>0.84250553859355815</v>
      </c>
      <c r="H10" s="460">
        <f t="shared" si="0"/>
        <v>0.84250553859355815</v>
      </c>
      <c r="I10" s="460">
        <f t="shared" si="0"/>
        <v>0.84213426329334595</v>
      </c>
      <c r="J10" s="460">
        <f t="shared" si="0"/>
        <v>0.85226599263599356</v>
      </c>
      <c r="K10" s="1057">
        <f t="shared" si="0"/>
        <v>0.85332348793053214</v>
      </c>
    </row>
    <row r="11" spans="1:11" ht="12.75" customHeight="1" x14ac:dyDescent="0.25">
      <c r="A11" s="30" t="s">
        <v>115</v>
      </c>
      <c r="B11" s="137">
        <v>7</v>
      </c>
      <c r="C11" s="137" t="s">
        <v>113</v>
      </c>
      <c r="D11" s="331">
        <v>8.8351153888389544E-2</v>
      </c>
      <c r="E11" s="327">
        <v>9.3508495824972004E-2</v>
      </c>
      <c r="F11" s="327">
        <v>8.9044380164295792E-2</v>
      </c>
      <c r="G11" s="328">
        <f>IF(ISERROR('B4-FinPerf RE'!C28/(SUM('B4-FinPerf RE'!C7:C13))),0,('B4-FinPerf RE'!C28/(SUM('B4-FinPerf RE'!C7:C13))))</f>
        <v>0.1074089282844158</v>
      </c>
      <c r="H11" s="328">
        <f>IF(ISERROR('B4-FinPerf RE'!D28/(SUM('B4-FinPerf RE'!D7:D13))),0,('B4-FinPerf RE'!D28/(SUM('B4-FinPerf RE'!D7:D13))))</f>
        <v>0.1074089282844158</v>
      </c>
      <c r="I11" s="328">
        <f>IF(ISERROR('B4-FinPerf RE'!K28/(SUM('B4-FinPerf RE'!K7:K13))),0,('B4-FinPerf RE'!K28/(SUM('B4-FinPerf RE'!K7:K13))))</f>
        <v>0.10976691768228335</v>
      </c>
      <c r="J11" s="329">
        <f>IF(ISERROR('B4-FinPerf RE'!L28/(SUM('B4-FinPerf RE'!L7:L13))),0,('B4-FinPerf RE'!L28/(SUM('B4-FinPerf RE'!L7:L13))))</f>
        <v>0.11904706627065387</v>
      </c>
      <c r="K11" s="330">
        <f>IF(ISERROR('B4-FinPerf RE'!M28/(SUM('B4-FinPerf RE'!M7:M13))),0,('B4-FinPerf RE'!M28/(SUM('B4-FinPerf RE'!M7:M13))))</f>
        <v>0.12839626487175043</v>
      </c>
    </row>
    <row r="12" spans="1:11" ht="12.75" customHeight="1" x14ac:dyDescent="0.25">
      <c r="A12" s="30" t="s">
        <v>116</v>
      </c>
      <c r="B12" s="137">
        <v>8</v>
      </c>
      <c r="C12" s="137" t="s">
        <v>117</v>
      </c>
      <c r="D12" s="331">
        <v>1</v>
      </c>
      <c r="E12" s="327">
        <v>1.0271497630003332</v>
      </c>
      <c r="F12" s="327">
        <v>0.96146161066291314</v>
      </c>
      <c r="G12" s="328">
        <f>IF(ISERROR(-'B7-CFlow'!C28/'B5-Capex'!C65),0,(-'B7-CFlow'!C28/'B5-Capex'!C65))</f>
        <v>0.96999999871826748</v>
      </c>
      <c r="H12" s="328">
        <f>IF(ISERROR(-'B7-CFlow'!D28/'B5-Capex'!D65),0,(-'B7-CFlow'!D28/'B5-Capex'!D65))</f>
        <v>0.97072232828520222</v>
      </c>
      <c r="I12" s="328">
        <f>IF(ISERROR(-'B7-CFlow'!E28/'B5-Capex'!E65),0,(-'B7-CFlow'!E28/'B5-Capex'!E65))</f>
        <v>0</v>
      </c>
      <c r="J12" s="328">
        <f>IF(ISERROR(-'B7-CFlow'!F28/'B5-Capex'!F65),0,(-'B7-CFlow'!F28/'B5-Capex'!F65))</f>
        <v>0</v>
      </c>
      <c r="K12" s="330">
        <f>IF(ISERROR(-'B7-CFlow'!G28/'B5-Capex'!G65),0,(-'B7-CFlow'!G28/'B5-Capex'!G65))</f>
        <v>0</v>
      </c>
    </row>
    <row r="13" spans="1:11" ht="12.75" customHeight="1" x14ac:dyDescent="0.25">
      <c r="A13" s="30" t="s">
        <v>118</v>
      </c>
      <c r="B13" s="137">
        <v>9</v>
      </c>
      <c r="C13" s="137" t="s">
        <v>119</v>
      </c>
      <c r="D13" s="331">
        <v>0.46471770469133972</v>
      </c>
      <c r="E13" s="327">
        <v>0</v>
      </c>
      <c r="F13" s="327">
        <v>0.49338047939047852</v>
      </c>
      <c r="G13" s="328">
        <f>IF(ISERROR('SB4'!F9),0,('SB4'!F9))</f>
        <v>0.72074543506011179</v>
      </c>
      <c r="H13" s="328">
        <f>IF(ISERROR('SB4'!G9),0,('SB4'!G9))</f>
        <v>0.51468003844118104</v>
      </c>
      <c r="I13" s="328">
        <f>IF(ISERROR('SB4'!H9),0,('SB4'!H9))</f>
        <v>0</v>
      </c>
      <c r="J13" s="329">
        <f>IF(ISERROR('SB4'!I9),0,('SB4'!I9))</f>
        <v>0</v>
      </c>
      <c r="K13" s="330">
        <f>IF(ISERROR('SB4'!J9),0,('SB4'!J9))</f>
        <v>0</v>
      </c>
    </row>
    <row r="14" spans="1:11" ht="12.75" customHeight="1" x14ac:dyDescent="0.25">
      <c r="A14" s="30" t="s">
        <v>120</v>
      </c>
      <c r="B14" s="137">
        <v>10</v>
      </c>
      <c r="C14" s="137" t="s">
        <v>121</v>
      </c>
      <c r="D14" s="331"/>
      <c r="E14" s="327"/>
      <c r="F14" s="327"/>
      <c r="G14" s="328">
        <f>IF(ISERROR(('B4-FinPerf RE'!C20+'B4-FinPerf RE'!C40)/('SB6'!G38+'SB6'!G39)),0,(('B4-FinPerf RE'!C20+'B4-FinPerf RE'!C40)/('SB6'!G38+'SB6'!G39)))</f>
        <v>1</v>
      </c>
      <c r="H14" s="328">
        <f>IF(ISERROR(('B4-FinPerf RE'!D20+'B4-FinPerf RE'!D40)/('SB6'!H38+'SB6'!H39)),0,(('B4-FinPerf RE'!D20+'B4-FinPerf RE'!D40)/('SB6'!H38+'SB6'!H39)))</f>
        <v>21.111391748004049</v>
      </c>
      <c r="I14" s="328">
        <f>IF(ISERROR(('B4-FinPerf RE'!K20+'B4-FinPerf RE'!K40)/('SB6'!I38+'SB6'!I39)),0,(('B4-FinPerf RE'!K20+'B4-FinPerf RE'!K40)/('SB6'!I38+'SB6'!I39)))</f>
        <v>1.0000000009025929</v>
      </c>
      <c r="J14" s="329">
        <f>IF(ISERROR(('B4-FinPerf RE'!L20+'B4-FinPerf RE'!L40)/('SB6'!J38+'SB6'!J39)),0,(('B4-FinPerf RE'!L20+'B4-FinPerf RE'!L40)/('SB6'!J38+'SB6'!J39)))</f>
        <v>1</v>
      </c>
      <c r="K14" s="330">
        <f>IF(ISERROR(('B4-FinPerf RE'!M20+'B4-FinPerf RE'!M40)/('SB6'!K38+'SB6'!K39)),0,(('B4-FinPerf RE'!M20+'B4-FinPerf RE'!M40)/('SB6'!K38+'SB6'!K39)))</f>
        <v>1</v>
      </c>
    </row>
    <row r="15" spans="1:11" ht="12.75" customHeight="1" x14ac:dyDescent="0.25">
      <c r="A15" s="30" t="s">
        <v>122</v>
      </c>
      <c r="B15" s="137">
        <v>11</v>
      </c>
      <c r="C15" s="137" t="s">
        <v>121</v>
      </c>
      <c r="D15" s="331">
        <v>0.47399999999999998</v>
      </c>
      <c r="E15" s="327">
        <v>-0.10199999999999999</v>
      </c>
      <c r="F15" s="327">
        <v>-0.17699999999999999</v>
      </c>
      <c r="G15" s="327">
        <v>-5.7000000000000002E-2</v>
      </c>
      <c r="H15" s="334">
        <v>-5.7000000000000002E-2</v>
      </c>
      <c r="I15" s="327">
        <v>-5.7000000000000002E-2</v>
      </c>
      <c r="J15" s="329">
        <f>IF(ISERROR((SUM('B6-FinPos'!L10:L12)-SUM('B6-FinPos'!K10:K12))/SUM('B6-FinPos'!K10:K12)), 0, (SUM('B6-FinPos'!L10:L12)-SUM('B6-FinPos'!K10:K12))/SUM('B6-FinPos'!K10:K12))</f>
        <v>5.9445812014350771E-2</v>
      </c>
      <c r="K15" s="330">
        <f>IF(ISERROR((SUM('B6-FinPos'!M10:M12)-SUM('B6-FinPos'!L10:L12))/SUM('B6-FinPos'!L10:L12)), 0, (SUM('B6-FinPos'!M10:M12)-SUM('B6-FinPos'!L10:L12))/SUM('B6-FinPos'!L10:L12))</f>
        <v>-8.626847302441791E-2</v>
      </c>
    </row>
    <row r="16" spans="1:11" ht="12.75" customHeight="1" x14ac:dyDescent="0.25">
      <c r="A16" s="129" t="s">
        <v>123</v>
      </c>
      <c r="B16" s="73">
        <v>12</v>
      </c>
      <c r="C16" s="73" t="s">
        <v>121</v>
      </c>
      <c r="D16" s="331">
        <v>-2.5999999999999999E-2</v>
      </c>
      <c r="E16" s="327">
        <v>0</v>
      </c>
      <c r="F16" s="327">
        <v>-1</v>
      </c>
      <c r="G16" s="327">
        <v>0</v>
      </c>
      <c r="H16" s="334">
        <v>0</v>
      </c>
      <c r="I16" s="327">
        <v>0</v>
      </c>
      <c r="J16" s="329">
        <f>IF(ISERROR(('B6-FinPos'!L17-'B6-FinPos'!K17)/'B6-FinPos'!K17),0,(('B6-FinPos'!L17-'B6-FinPos'!K17)/'B6-FinPos'!K17))</f>
        <v>0</v>
      </c>
      <c r="K16" s="330">
        <f>IF(ISERROR(('B6-FinPos'!M17-'B6-FinPos'!L17)/'B6-FinPos'!L17),0,(('B6-FinPos'!M17-'B6-FinPos'!L17)/'B6-FinPos'!L17))</f>
        <v>0</v>
      </c>
    </row>
    <row r="17" spans="1:11" ht="12.75" customHeight="1" x14ac:dyDescent="0.25">
      <c r="A17" s="129" t="s">
        <v>124</v>
      </c>
      <c r="B17" s="73">
        <v>13</v>
      </c>
      <c r="C17" s="461" t="s">
        <v>125</v>
      </c>
      <c r="D17" s="331">
        <v>2.2720152871878091E-2</v>
      </c>
      <c r="E17" s="327">
        <v>3.8419259691392628E-2</v>
      </c>
      <c r="F17" s="327">
        <v>3.7966234531586776E-2</v>
      </c>
      <c r="G17" s="328">
        <f>IF(ISERROR('B9-Asset'!C171/'B9-Asset'!C167),0,('B9-Asset'!C171/'B9-Asset'!C167))</f>
        <v>3.3356208901577672E-2</v>
      </c>
      <c r="H17" s="328">
        <f>IF(ISERROR('B9-Asset'!D171/'B9-Asset'!D167),0,('B9-Asset'!D171/'B9-Asset'!D167))</f>
        <v>3.3296624729195763E-2</v>
      </c>
      <c r="I17" s="328">
        <f>IF(ISERROR('B9-Asset'!K171/'B9-Asset'!K167),0,('B9-Asset'!K171/'B9-Asset'!K167))</f>
        <v>4.6698356624781084E-2</v>
      </c>
      <c r="J17" s="329">
        <f>IF(ISERROR('B9-Asset'!L171/'B9-Asset'!L167),0,('B9-Asset'!L171/'B9-Asset'!L167))</f>
        <v>3.4691144542055137E-2</v>
      </c>
      <c r="K17" s="330">
        <f>IF(ISERROR('B9-Asset'!M171/'B9-Asset'!M167),0,('B9-Asset'!M171/'B9-Asset'!M167))</f>
        <v>3.4693617783289506E-2</v>
      </c>
    </row>
    <row r="18" spans="1:11" ht="12.75" customHeight="1" x14ac:dyDescent="0.25">
      <c r="A18" s="175" t="s">
        <v>126</v>
      </c>
      <c r="B18" s="88">
        <v>14</v>
      </c>
      <c r="C18" s="462" t="str">
        <f>C17</f>
        <v>20(1)(vi)</v>
      </c>
      <c r="D18" s="463">
        <v>0.23038160088493848</v>
      </c>
      <c r="E18" s="464">
        <v>0.25041931223251385</v>
      </c>
      <c r="F18" s="464">
        <v>0.12956215014370581</v>
      </c>
      <c r="G18" s="465">
        <f>IF(ISERROR('B9-Asset'!C39/'B9-Asset'!C134),0,('B9-Asset'!C39/'B9-Asset'!C134))</f>
        <v>8.7293345861531296E-3</v>
      </c>
      <c r="H18" s="465">
        <f>IF(ISERROR('B9-Asset'!D39/'B9-Asset'!D134),0,('B9-Asset'!D39/'B9-Asset'!D134))</f>
        <v>1.5057799009683761E-2</v>
      </c>
      <c r="I18" s="465">
        <f>IF(ISERROR('B9-Asset'!K39/'B9-Asset'!K134),0,('B9-Asset'!K39/'B9-Asset'!K134))</f>
        <v>3.1541208697839399E-2</v>
      </c>
      <c r="J18" s="466">
        <f>IF(ISERROR('B9-Asset'!L39/'B9-Asset'!L134),0,('B9-Asset'!L39/'B9-Asset'!L134))</f>
        <v>1.5840509893713776E-2</v>
      </c>
      <c r="K18" s="467">
        <f>IF(ISERROR('B9-Asset'!M39/'B9-Asset'!M134),0,('B9-Asset'!M39/'B9-Asset'!M134))</f>
        <v>2.0273913336594729E-2</v>
      </c>
    </row>
    <row r="19" spans="1:11" ht="12.75" customHeight="1" x14ac:dyDescent="0.25">
      <c r="A19" s="158" t="str">
        <f>head27a</f>
        <v>References</v>
      </c>
      <c r="B19" s="468"/>
      <c r="C19" s="468"/>
      <c r="D19" s="468"/>
      <c r="E19" s="468"/>
      <c r="F19" s="468"/>
      <c r="G19" s="468"/>
      <c r="H19" s="468"/>
      <c r="I19" s="468"/>
      <c r="J19" s="468"/>
      <c r="K19" s="468"/>
    </row>
    <row r="20" spans="1:11" ht="12.75" customHeight="1" x14ac:dyDescent="0.25">
      <c r="A20" s="95" t="s">
        <v>127</v>
      </c>
      <c r="B20" s="468"/>
      <c r="C20" s="468"/>
      <c r="D20" s="468"/>
      <c r="E20" s="468"/>
      <c r="F20" s="468"/>
      <c r="G20" s="468"/>
      <c r="H20" s="468"/>
      <c r="I20" s="468"/>
      <c r="J20" s="468"/>
      <c r="K20" s="468"/>
    </row>
    <row r="21" spans="1:11" ht="12.75" customHeight="1" x14ac:dyDescent="0.25">
      <c r="A21" s="99" t="s">
        <v>128</v>
      </c>
      <c r="B21" s="468"/>
      <c r="C21" s="468"/>
      <c r="D21" s="468"/>
      <c r="E21" s="468"/>
      <c r="F21" s="468"/>
      <c r="G21" s="468"/>
      <c r="H21" s="468"/>
      <c r="I21" s="468"/>
      <c r="J21" s="468"/>
      <c r="K21" s="468"/>
    </row>
    <row r="22" spans="1:11" ht="12.75" customHeight="1" x14ac:dyDescent="0.25">
      <c r="A22" s="99" t="s">
        <v>129</v>
      </c>
      <c r="B22" s="468"/>
      <c r="C22" s="468"/>
      <c r="D22" s="468"/>
      <c r="E22" s="468"/>
      <c r="F22" s="468"/>
      <c r="G22" s="468"/>
      <c r="H22" s="468"/>
      <c r="I22" s="468"/>
      <c r="J22" s="468"/>
      <c r="K22" s="468"/>
    </row>
    <row r="23" spans="1:11" ht="12.75" customHeight="1" x14ac:dyDescent="0.25">
      <c r="A23" s="99" t="s">
        <v>130</v>
      </c>
      <c r="B23" s="468"/>
      <c r="C23" s="468"/>
      <c r="D23" s="468"/>
      <c r="E23" s="468"/>
      <c r="F23" s="468"/>
      <c r="G23" s="468"/>
      <c r="H23" s="468"/>
      <c r="I23" s="468"/>
      <c r="J23" s="468"/>
      <c r="K23" s="468"/>
    </row>
    <row r="24" spans="1:11" ht="12.75" customHeight="1" x14ac:dyDescent="0.25">
      <c r="A24" s="99" t="s">
        <v>131</v>
      </c>
      <c r="B24" s="468"/>
      <c r="C24" s="468"/>
      <c r="D24" s="468"/>
      <c r="E24" s="468"/>
      <c r="F24" s="468"/>
      <c r="G24" s="468"/>
      <c r="H24" s="468"/>
      <c r="I24" s="468"/>
      <c r="J24" s="468"/>
      <c r="K24" s="468"/>
    </row>
    <row r="25" spans="1:11" ht="12.75" customHeight="1" x14ac:dyDescent="0.25">
      <c r="A25" s="99" t="s">
        <v>132</v>
      </c>
      <c r="B25" s="468"/>
      <c r="C25" s="468"/>
      <c r="D25" s="468"/>
      <c r="E25" s="468"/>
      <c r="F25" s="468"/>
      <c r="G25" s="468"/>
      <c r="H25" s="468"/>
      <c r="I25" s="468"/>
      <c r="J25" s="468"/>
      <c r="K25" s="468"/>
    </row>
    <row r="26" spans="1:11" ht="12.75" customHeight="1" x14ac:dyDescent="0.25">
      <c r="A26" s="99" t="s">
        <v>133</v>
      </c>
      <c r="B26" s="468"/>
      <c r="C26" s="468"/>
      <c r="D26" s="468"/>
      <c r="E26" s="468"/>
      <c r="F26" s="468"/>
      <c r="G26" s="468"/>
      <c r="H26" s="468"/>
      <c r="I26" s="468"/>
      <c r="J26" s="468"/>
      <c r="K26" s="468"/>
    </row>
    <row r="27" spans="1:11" ht="12.75" customHeight="1" x14ac:dyDescent="0.25">
      <c r="A27" s="99" t="s">
        <v>134</v>
      </c>
      <c r="B27" s="468"/>
      <c r="C27" s="468"/>
      <c r="D27" s="468"/>
      <c r="E27" s="468"/>
      <c r="F27" s="468"/>
      <c r="G27" s="468"/>
      <c r="H27" s="468"/>
      <c r="I27" s="468"/>
      <c r="J27" s="468"/>
      <c r="K27" s="468"/>
    </row>
    <row r="28" spans="1:11" ht="12.75" customHeight="1" x14ac:dyDescent="0.25">
      <c r="A28" s="99" t="s">
        <v>135</v>
      </c>
      <c r="B28" s="468"/>
      <c r="C28" s="468"/>
      <c r="D28" s="468"/>
      <c r="E28" s="468"/>
      <c r="F28" s="468"/>
      <c r="G28" s="468"/>
      <c r="H28" s="468"/>
      <c r="I28" s="468"/>
      <c r="J28" s="468"/>
      <c r="K28" s="468"/>
    </row>
    <row r="29" spans="1:11" ht="12.75" customHeight="1" x14ac:dyDescent="0.25">
      <c r="A29" s="99" t="s">
        <v>136</v>
      </c>
      <c r="B29" s="468"/>
      <c r="C29" s="468"/>
      <c r="D29" s="468"/>
      <c r="E29" s="468"/>
      <c r="F29" s="468"/>
      <c r="G29" s="468"/>
      <c r="H29" s="468"/>
      <c r="I29" s="468"/>
      <c r="J29" s="468"/>
      <c r="K29" s="468"/>
    </row>
    <row r="30" spans="1:11" ht="12.75" customHeight="1" x14ac:dyDescent="0.25">
      <c r="A30" s="99" t="s">
        <v>137</v>
      </c>
      <c r="B30" s="468"/>
      <c r="C30" s="468"/>
      <c r="D30" s="468"/>
      <c r="E30" s="468"/>
      <c r="F30" s="468"/>
      <c r="G30" s="468"/>
      <c r="H30" s="468"/>
      <c r="I30" s="468"/>
      <c r="J30" s="468"/>
      <c r="K30" s="468"/>
    </row>
    <row r="31" spans="1:11" ht="12.75" customHeight="1" x14ac:dyDescent="0.25">
      <c r="A31" s="99" t="s">
        <v>138</v>
      </c>
      <c r="B31" s="468"/>
      <c r="C31" s="468"/>
      <c r="D31" s="468"/>
      <c r="E31" s="468"/>
      <c r="F31" s="468"/>
      <c r="G31" s="468"/>
      <c r="H31" s="468"/>
      <c r="I31" s="468"/>
      <c r="J31" s="468"/>
      <c r="K31" s="468"/>
    </row>
    <row r="32" spans="1:11" ht="12.75" customHeight="1" x14ac:dyDescent="0.25">
      <c r="A32" s="99" t="s">
        <v>139</v>
      </c>
      <c r="B32" s="468"/>
      <c r="C32" s="468"/>
      <c r="D32" s="468"/>
      <c r="E32" s="468"/>
      <c r="F32" s="468"/>
      <c r="G32" s="468"/>
      <c r="H32" s="468"/>
      <c r="I32" s="468"/>
      <c r="J32" s="468"/>
      <c r="K32" s="468"/>
    </row>
    <row r="33" spans="1:16" ht="12.75" customHeight="1" x14ac:dyDescent="0.25">
      <c r="A33" s="99" t="s">
        <v>140</v>
      </c>
      <c r="B33" s="468"/>
      <c r="C33" s="468"/>
      <c r="D33" s="468"/>
      <c r="E33" s="468"/>
      <c r="F33" s="468"/>
      <c r="G33" s="468"/>
      <c r="H33" s="468"/>
      <c r="I33" s="468"/>
      <c r="J33" s="468"/>
      <c r="K33" s="468"/>
    </row>
    <row r="34" spans="1:16" ht="12.75" customHeight="1" x14ac:dyDescent="0.25">
      <c r="A34" s="99"/>
      <c r="B34" s="468"/>
      <c r="C34" s="468"/>
      <c r="D34" s="468"/>
      <c r="E34" s="468"/>
      <c r="F34" s="468"/>
      <c r="G34" s="468"/>
      <c r="H34" s="468"/>
      <c r="I34" s="468"/>
      <c r="J34" s="468"/>
      <c r="K34" s="468"/>
    </row>
    <row r="35" spans="1:16" ht="12.75" customHeight="1" x14ac:dyDescent="0.25">
      <c r="A35" s="99" t="s">
        <v>141</v>
      </c>
      <c r="B35" s="468"/>
      <c r="C35" s="468"/>
      <c r="D35" s="468"/>
      <c r="E35" s="468"/>
      <c r="F35" s="468"/>
      <c r="G35" s="799">
        <v>0.06</v>
      </c>
      <c r="H35" s="800">
        <v>0.06</v>
      </c>
      <c r="I35" s="800">
        <v>0.06</v>
      </c>
      <c r="J35" s="800">
        <v>0.06</v>
      </c>
      <c r="K35" s="801">
        <v>0.06</v>
      </c>
    </row>
    <row r="36" spans="1:16" ht="12.75" customHeight="1" x14ac:dyDescent="0.25">
      <c r="A36" s="469" t="s">
        <v>142</v>
      </c>
      <c r="B36" s="470"/>
      <c r="C36" s="470"/>
      <c r="D36" s="470"/>
      <c r="E36" s="470"/>
      <c r="F36" s="84"/>
      <c r="G36" s="340">
        <f>IF(ISERROR(SUM('B4-FinPerf RE'!C7:C12)),0,(SUM('B4-FinPerf RE'!C7:C12)))</f>
        <v>2306191299</v>
      </c>
      <c r="H36" s="340">
        <f>IF(ISERROR(SUM('B4-FinPerf RE'!D7:D12)),0,(SUM('B4-FinPerf RE'!D7:D12)))</f>
        <v>2306191299</v>
      </c>
      <c r="I36" s="340">
        <f>IF(ISERROR(SUM('B4-FinPerf RE'!K7:K12)),0,(SUM('B4-FinPerf RE'!K7:K12)))</f>
        <v>2263191299</v>
      </c>
      <c r="J36" s="340">
        <f>IF(ISERROR(SUM('B4-FinPerf RE'!L7:L12)),0,(SUM('B4-FinPerf RE'!L7:L12)))</f>
        <v>2493432383.2371316</v>
      </c>
      <c r="K36" s="340">
        <f>IF(ISERROR(SUM('B4-FinPerf RE'!M7:M12)),0,(SUM('B4-FinPerf RE'!M7:M12)))</f>
        <v>2698080868.7082582</v>
      </c>
    </row>
    <row r="37" spans="1:16" ht="12.75" customHeight="1" x14ac:dyDescent="0.25">
      <c r="A37" s="469" t="s">
        <v>143</v>
      </c>
      <c r="B37" s="121"/>
      <c r="C37" s="121"/>
      <c r="D37" s="341"/>
      <c r="E37" s="341"/>
      <c r="F37" s="341"/>
      <c r="G37" s="1058"/>
      <c r="H37" s="340"/>
      <c r="I37" s="340">
        <f>G37</f>
        <v>0</v>
      </c>
      <c r="J37" s="340">
        <f>I36</f>
        <v>2263191299</v>
      </c>
      <c r="K37" s="340">
        <f>J36</f>
        <v>2493432383.2371316</v>
      </c>
      <c r="O37" s="168"/>
      <c r="P37" s="168"/>
    </row>
    <row r="38" spans="1:16" ht="12.75" customHeight="1" x14ac:dyDescent="0.25">
      <c r="A38" s="471" t="s">
        <v>144</v>
      </c>
      <c r="B38" s="121"/>
      <c r="C38" s="121"/>
      <c r="D38" s="1059"/>
      <c r="E38" s="1060"/>
      <c r="F38" s="1060"/>
      <c r="G38" s="1060"/>
      <c r="H38" s="1060"/>
      <c r="I38" s="1060"/>
      <c r="J38" s="1060"/>
      <c r="K38" s="1061"/>
      <c r="O38" s="168"/>
      <c r="P38" s="168"/>
    </row>
    <row r="39" spans="1:16" ht="12.75" customHeight="1" x14ac:dyDescent="0.25">
      <c r="A39" s="471" t="s">
        <v>145</v>
      </c>
      <c r="B39" s="121"/>
      <c r="C39" s="121"/>
      <c r="D39" s="1062"/>
      <c r="E39" s="1063"/>
      <c r="F39" s="1063"/>
      <c r="G39" s="1064">
        <f>'SB7'!C49</f>
        <v>2061483000</v>
      </c>
      <c r="H39" s="1064">
        <f>'SB7'!F49</f>
        <v>100212531</v>
      </c>
      <c r="I39" s="1064">
        <f>'SB7'!I49</f>
        <v>2215838531</v>
      </c>
      <c r="J39" s="1064">
        <f>'SB7'!J49</f>
        <v>1909557999.7880187</v>
      </c>
      <c r="K39" s="1065">
        <f>'SB7'!K49</f>
        <v>1923557999.9974196</v>
      </c>
      <c r="O39" s="168"/>
      <c r="P39" s="168"/>
    </row>
    <row r="40" spans="1:16" ht="12.75" customHeight="1" x14ac:dyDescent="0.25">
      <c r="A40" s="471" t="s">
        <v>146</v>
      </c>
      <c r="B40" s="121"/>
      <c r="C40" s="121"/>
      <c r="D40" s="1062"/>
      <c r="E40" s="1063"/>
      <c r="F40" s="1066"/>
      <c r="G40" s="340">
        <f>'B7-CFlow'!C8+'B7-CFlow'!C9+'B7-CFlow'!C10</f>
        <v>2196012118</v>
      </c>
      <c r="H40" s="340">
        <f>'B7-CFlow'!D8+'B7-CFlow'!D9+'B7-CFlow'!D10</f>
        <v>2196012118</v>
      </c>
      <c r="I40" s="340">
        <f>'B7-CFlow'!K8+'B7-CFlow'!K9+'B7-CFlow'!K10</f>
        <v>2149749346</v>
      </c>
      <c r="J40" s="340">
        <f>'B7-CFlow'!L8+'B7-CFlow'!L9+'B7-CFlow'!L10</f>
        <v>2396358846.1900005</v>
      </c>
      <c r="K40" s="340">
        <f>'B7-CFlow'!M8+'B7-CFlow'!M9+'B7-CFlow'!M10</f>
        <v>2587001754.0100002</v>
      </c>
      <c r="O40" s="168"/>
      <c r="P40" s="168"/>
    </row>
    <row r="41" spans="1:16" ht="12.75" customHeight="1" x14ac:dyDescent="0.25">
      <c r="A41" s="471" t="s">
        <v>147</v>
      </c>
      <c r="B41" s="121"/>
      <c r="C41" s="121"/>
      <c r="D41" s="1062"/>
      <c r="E41" s="1063"/>
      <c r="F41" s="1066"/>
      <c r="G41" s="340">
        <f>SUM('B4-FinPerf RE'!C7:C13)+'B4-FinPerf RE'!C15+SUM('B4-FinPerf RE'!C17:C19)+'B4-FinPerf RE'!C21</f>
        <v>2606525438</v>
      </c>
      <c r="H41" s="340">
        <f>SUM('B4-FinPerf RE'!D7:D13)+'B4-FinPerf RE'!D15+SUM('B4-FinPerf RE'!D17:D19)+'B4-FinPerf RE'!D21</f>
        <v>2606525438</v>
      </c>
      <c r="I41" s="340">
        <f>SUM('B4-FinPerf RE'!K7:K13)+'B4-FinPerf RE'!K15+SUM('B4-FinPerf RE'!K17:K19)+'B4-FinPerf RE'!K21</f>
        <v>2552739438</v>
      </c>
      <c r="J41" s="340">
        <f>SUM('B4-FinPerf RE'!L7:L13)+'B4-FinPerf RE'!L15+SUM('B4-FinPerf RE'!L17:L19)+'B4-FinPerf RE'!L21</f>
        <v>2811749931.2371316</v>
      </c>
      <c r="K41" s="340">
        <f>SUM('B4-FinPerf RE'!M7:M13)+'B4-FinPerf RE'!M15+SUM('B4-FinPerf RE'!M17:M19)+'B4-FinPerf RE'!M21</f>
        <v>3031677658.7082582</v>
      </c>
      <c r="O41" s="168"/>
      <c r="P41" s="168"/>
    </row>
    <row r="42" spans="1:16" ht="12.75" customHeight="1" x14ac:dyDescent="0.25">
      <c r="A42" s="471" t="s">
        <v>148</v>
      </c>
      <c r="B42" s="121"/>
      <c r="C42" s="121"/>
      <c r="D42" s="1067"/>
      <c r="E42" s="1064"/>
      <c r="F42" s="1064"/>
      <c r="G42" s="1068"/>
      <c r="H42" s="1068"/>
      <c r="I42" s="1069"/>
      <c r="J42" s="340">
        <f>(SUM('B6-FinPos'!L10:L12)+'B6-FinPos'!L17)-(SUM('B6-FinPos'!K10:K12)+'B6-FinPos'!K17)</f>
        <v>32520739.200000048</v>
      </c>
      <c r="K42" s="340">
        <f>(SUM('B6-FinPos'!M10:M12)+'B6-FinPos'!M17)-(SUM('B6-FinPos'!L10:L12)+'B6-FinPos'!L17)</f>
        <v>-50000000.000000238</v>
      </c>
      <c r="O42" s="168"/>
      <c r="P42" s="168"/>
    </row>
    <row r="43" spans="1:16" ht="12.75" customHeight="1" x14ac:dyDescent="0.25">
      <c r="A43" s="471"/>
      <c r="B43" s="121"/>
      <c r="C43" s="121"/>
      <c r="D43" s="341"/>
      <c r="E43" s="341"/>
      <c r="F43" s="341"/>
      <c r="G43" s="341"/>
      <c r="H43" s="341"/>
      <c r="I43" s="341"/>
      <c r="J43" s="341"/>
      <c r="K43" s="341"/>
      <c r="O43" s="168"/>
      <c r="P43" s="168"/>
    </row>
    <row r="44" spans="1:16" ht="12.75" customHeight="1" x14ac:dyDescent="0.25">
      <c r="A44" s="471"/>
      <c r="B44" s="121"/>
      <c r="C44" s="121"/>
      <c r="D44" s="341"/>
      <c r="E44" s="341"/>
      <c r="F44" s="341"/>
      <c r="G44" s="341"/>
      <c r="H44" s="341"/>
      <c r="I44" s="341"/>
      <c r="J44" s="341"/>
      <c r="K44" s="341"/>
      <c r="O44" s="168"/>
      <c r="P44" s="168"/>
    </row>
    <row r="45" spans="1:16" ht="12.75" customHeight="1" x14ac:dyDescent="0.25">
      <c r="A45" s="471"/>
      <c r="B45" s="121"/>
      <c r="C45" s="121"/>
      <c r="D45" s="341"/>
      <c r="E45" s="341"/>
      <c r="F45" s="341"/>
      <c r="G45" s="341"/>
      <c r="H45" s="341"/>
      <c r="I45" s="341"/>
      <c r="J45" s="341"/>
      <c r="K45" s="341"/>
      <c r="O45" s="168"/>
      <c r="P45" s="168"/>
    </row>
    <row r="46" spans="1:16" ht="12.75" customHeight="1" x14ac:dyDescent="0.25">
      <c r="A46" s="471"/>
      <c r="B46" s="121"/>
      <c r="C46" s="121"/>
      <c r="D46" s="472"/>
      <c r="E46" s="472"/>
      <c r="F46" s="472"/>
      <c r="G46" s="472"/>
      <c r="H46" s="472"/>
      <c r="I46" s="472"/>
      <c r="J46" s="472"/>
      <c r="K46" s="472"/>
    </row>
    <row r="47" spans="1:16" ht="12.75" customHeight="1" x14ac:dyDescent="0.25">
      <c r="A47" s="471"/>
      <c r="B47" s="121"/>
      <c r="C47" s="121"/>
      <c r="D47" s="472"/>
      <c r="E47" s="472"/>
      <c r="F47" s="472"/>
      <c r="G47" s="472"/>
      <c r="H47" s="472"/>
      <c r="I47" s="472"/>
      <c r="J47" s="472"/>
      <c r="K47" s="472"/>
    </row>
    <row r="48" spans="1:16" ht="12.75" customHeight="1" x14ac:dyDescent="0.25">
      <c r="A48" s="471"/>
      <c r="B48" s="121"/>
      <c r="C48" s="121"/>
      <c r="D48" s="472"/>
      <c r="E48" s="472"/>
      <c r="F48" s="472"/>
      <c r="G48" s="472"/>
      <c r="H48" s="472"/>
      <c r="I48" s="472"/>
      <c r="J48" s="472"/>
      <c r="K48" s="472"/>
    </row>
    <row r="49" spans="1:11" ht="12.75" customHeight="1" x14ac:dyDescent="0.25">
      <c r="A49" s="471"/>
      <c r="B49" s="121"/>
      <c r="C49" s="121"/>
      <c r="D49" s="472"/>
      <c r="E49" s="472"/>
      <c r="F49" s="472"/>
      <c r="G49" s="472"/>
      <c r="H49" s="472"/>
      <c r="I49" s="472"/>
      <c r="J49" s="472"/>
      <c r="K49" s="472"/>
    </row>
    <row r="50" spans="1:11" ht="10.5" customHeight="1" x14ac:dyDescent="0.25">
      <c r="A50" s="471"/>
      <c r="B50" s="121"/>
      <c r="C50" s="121"/>
      <c r="D50" s="472"/>
      <c r="E50" s="472"/>
      <c r="F50" s="472"/>
      <c r="G50" s="472"/>
      <c r="H50" s="472"/>
      <c r="I50" s="472"/>
      <c r="J50" s="472"/>
      <c r="K50" s="472"/>
    </row>
    <row r="51" spans="1:11" ht="12.75" customHeight="1" x14ac:dyDescent="0.25">
      <c r="A51" s="471"/>
      <c r="B51" s="121"/>
      <c r="C51" s="121"/>
      <c r="D51" s="472"/>
      <c r="E51" s="472"/>
      <c r="F51" s="472"/>
      <c r="G51" s="472"/>
      <c r="H51" s="472"/>
      <c r="I51" s="472"/>
      <c r="J51" s="472"/>
      <c r="K51" s="472"/>
    </row>
    <row r="52" spans="1:11" ht="12.75" customHeight="1" x14ac:dyDescent="0.25">
      <c r="A52" s="471"/>
      <c r="B52" s="121"/>
      <c r="C52" s="121"/>
      <c r="D52" s="472"/>
      <c r="E52" s="472"/>
      <c r="F52" s="472"/>
      <c r="G52" s="472"/>
      <c r="H52" s="472"/>
      <c r="I52" s="472"/>
      <c r="J52" s="472"/>
      <c r="K52" s="472"/>
    </row>
    <row r="53" spans="1:11" ht="12.75" customHeight="1" x14ac:dyDescent="0.25">
      <c r="A53" s="471"/>
      <c r="B53" s="121"/>
      <c r="C53" s="121"/>
      <c r="D53" s="472"/>
      <c r="E53" s="472"/>
      <c r="F53" s="472"/>
      <c r="G53" s="472"/>
      <c r="H53" s="472"/>
      <c r="I53" s="472"/>
      <c r="J53" s="472"/>
      <c r="K53" s="472"/>
    </row>
    <row r="54" spans="1:11" ht="12.75" customHeight="1" x14ac:dyDescent="0.25">
      <c r="A54" s="471"/>
      <c r="B54" s="121"/>
      <c r="C54" s="121"/>
      <c r="D54" s="472"/>
      <c r="E54" s="472"/>
      <c r="F54" s="472"/>
      <c r="G54" s="472"/>
      <c r="H54" s="472"/>
      <c r="I54" s="472"/>
      <c r="J54" s="472"/>
      <c r="K54" s="472"/>
    </row>
    <row r="55" spans="1:11" ht="12.75" customHeight="1" x14ac:dyDescent="0.25">
      <c r="A55" s="471"/>
      <c r="B55" s="121"/>
      <c r="C55" s="121"/>
      <c r="D55" s="472"/>
      <c r="E55" s="472"/>
      <c r="F55" s="472"/>
      <c r="G55" s="472"/>
      <c r="H55" s="472"/>
      <c r="I55" s="472"/>
      <c r="J55" s="472"/>
      <c r="K55" s="472"/>
    </row>
    <row r="56" spans="1:11" ht="12.75" customHeight="1" x14ac:dyDescent="0.25">
      <c r="A56" s="471"/>
      <c r="B56" s="782"/>
      <c r="C56" s="121"/>
      <c r="D56" s="472"/>
      <c r="E56" s="472"/>
      <c r="F56" s="472"/>
      <c r="G56" s="472"/>
      <c r="H56" s="472"/>
      <c r="I56" s="472"/>
      <c r="J56" s="472"/>
      <c r="K56" s="472"/>
    </row>
    <row r="57" spans="1:11" ht="12.75" customHeight="1" x14ac:dyDescent="0.25">
      <c r="A57" s="469"/>
      <c r="B57" s="121"/>
      <c r="C57" s="121"/>
      <c r="D57" s="472"/>
      <c r="E57" s="472"/>
      <c r="F57" s="472"/>
      <c r="G57" s="472"/>
      <c r="H57" s="472"/>
      <c r="I57" s="472"/>
      <c r="J57" s="472"/>
      <c r="K57" s="472"/>
    </row>
    <row r="58" spans="1:11" ht="12.75" customHeight="1" x14ac:dyDescent="0.25">
      <c r="A58" s="469"/>
      <c r="B58" s="121"/>
      <c r="C58" s="121"/>
      <c r="D58" s="472"/>
      <c r="E58" s="472"/>
      <c r="F58" s="472"/>
      <c r="G58" s="472"/>
      <c r="H58" s="472"/>
      <c r="I58" s="472"/>
      <c r="J58" s="472"/>
      <c r="K58" s="472"/>
    </row>
    <row r="59" spans="1:11" ht="12.75" customHeight="1" x14ac:dyDescent="0.25">
      <c r="A59" s="469"/>
      <c r="B59" s="121"/>
      <c r="C59" s="473"/>
      <c r="D59" s="472"/>
      <c r="E59" s="472"/>
      <c r="F59" s="472"/>
      <c r="G59" s="472"/>
      <c r="H59" s="472"/>
      <c r="I59" s="472"/>
      <c r="J59" s="472"/>
      <c r="K59" s="472"/>
    </row>
    <row r="60" spans="1:11" ht="12.75" customHeight="1" x14ac:dyDescent="0.25">
      <c r="A60" s="469"/>
      <c r="B60" s="121"/>
      <c r="C60" s="473"/>
      <c r="D60" s="472"/>
      <c r="E60" s="472"/>
      <c r="F60" s="472"/>
      <c r="G60" s="472"/>
      <c r="H60" s="472"/>
      <c r="I60" s="472"/>
      <c r="J60" s="472"/>
      <c r="K60" s="472"/>
    </row>
    <row r="61" spans="1:11" ht="12.75" customHeight="1" x14ac:dyDescent="0.25">
      <c r="A61" s="469"/>
      <c r="B61" s="121"/>
      <c r="C61" s="121"/>
      <c r="D61" s="121"/>
      <c r="E61" s="121"/>
      <c r="F61" s="84"/>
      <c r="G61" s="84"/>
      <c r="H61" s="84"/>
      <c r="I61" s="84"/>
      <c r="J61" s="84"/>
      <c r="K61" s="84"/>
    </row>
    <row r="62" spans="1:11" ht="12.75" customHeight="1" x14ac:dyDescent="0.25">
      <c r="A62" s="474"/>
      <c r="B62" s="121"/>
      <c r="C62" s="121"/>
      <c r="D62" s="121"/>
      <c r="E62" s="121"/>
      <c r="F62" s="84"/>
      <c r="G62" s="84"/>
      <c r="H62" s="84"/>
      <c r="I62" s="84"/>
      <c r="J62" s="84"/>
      <c r="K62" s="84"/>
    </row>
    <row r="63" spans="1:11" ht="12.75" customHeight="1" x14ac:dyDescent="0.25">
      <c r="A63" s="469"/>
      <c r="B63" s="121"/>
      <c r="C63" s="121"/>
      <c r="D63" s="341"/>
      <c r="E63" s="341"/>
      <c r="F63" s="341"/>
      <c r="G63" s="341"/>
      <c r="H63" s="341"/>
      <c r="I63" s="341"/>
      <c r="J63" s="341"/>
      <c r="K63" s="341"/>
    </row>
    <row r="64" spans="1:11" ht="12.75" customHeight="1" x14ac:dyDescent="0.25">
      <c r="A64" s="469"/>
      <c r="B64" s="121"/>
      <c r="C64" s="121"/>
      <c r="D64" s="341"/>
      <c r="E64" s="341"/>
      <c r="F64" s="341"/>
      <c r="G64" s="341"/>
      <c r="H64" s="341"/>
      <c r="I64" s="341"/>
      <c r="J64" s="341"/>
      <c r="K64" s="341"/>
    </row>
    <row r="65" spans="1:11" ht="12.75" customHeight="1" x14ac:dyDescent="0.25">
      <c r="A65" s="469"/>
      <c r="B65" s="121"/>
      <c r="C65" s="121"/>
      <c r="D65" s="472"/>
      <c r="E65" s="472"/>
      <c r="F65" s="472"/>
      <c r="G65" s="472"/>
      <c r="H65" s="472"/>
      <c r="I65" s="472"/>
      <c r="J65" s="472"/>
      <c r="K65" s="472"/>
    </row>
    <row r="66" spans="1:11" ht="12.75" customHeight="1" x14ac:dyDescent="0.25">
      <c r="A66" s="469"/>
      <c r="B66" s="121"/>
      <c r="C66" s="121"/>
      <c r="D66" s="472"/>
      <c r="E66" s="472"/>
      <c r="F66" s="472"/>
      <c r="G66" s="472"/>
      <c r="H66" s="472"/>
      <c r="I66" s="472"/>
      <c r="J66" s="472"/>
      <c r="K66" s="472"/>
    </row>
    <row r="67" spans="1:11" ht="12.75" customHeight="1" x14ac:dyDescent="0.25">
      <c r="A67" s="469"/>
      <c r="B67" s="121"/>
      <c r="C67" s="121"/>
      <c r="D67" s="472"/>
      <c r="E67" s="472"/>
      <c r="F67" s="472"/>
      <c r="G67" s="472"/>
      <c r="H67" s="472"/>
      <c r="I67" s="472"/>
      <c r="J67" s="472"/>
      <c r="K67" s="472"/>
    </row>
    <row r="68" spans="1:11" ht="12.75" customHeight="1" x14ac:dyDescent="0.25">
      <c r="A68" s="469"/>
      <c r="B68" s="121"/>
      <c r="C68" s="121"/>
      <c r="D68" s="472"/>
      <c r="E68" s="472"/>
      <c r="F68" s="472"/>
      <c r="G68" s="472"/>
      <c r="H68" s="472"/>
      <c r="I68" s="472"/>
      <c r="J68" s="472"/>
      <c r="K68" s="472"/>
    </row>
    <row r="69" spans="1:11" ht="12.75" customHeight="1" x14ac:dyDescent="0.25">
      <c r="A69" s="469"/>
      <c r="B69" s="121"/>
      <c r="C69" s="121"/>
      <c r="D69" s="472"/>
      <c r="E69" s="472"/>
      <c r="F69" s="472"/>
      <c r="G69" s="472"/>
      <c r="H69" s="472"/>
      <c r="I69" s="472"/>
      <c r="J69" s="472"/>
      <c r="K69" s="472"/>
    </row>
    <row r="70" spans="1:11" ht="12.75" customHeight="1" x14ac:dyDescent="0.25">
      <c r="A70" s="469"/>
      <c r="B70" s="121"/>
      <c r="C70" s="121"/>
      <c r="D70" s="472"/>
      <c r="E70" s="472"/>
      <c r="F70" s="472"/>
      <c r="G70" s="472"/>
      <c r="H70" s="472"/>
      <c r="I70" s="472"/>
      <c r="J70" s="472"/>
      <c r="K70" s="472"/>
    </row>
    <row r="71" spans="1:11" ht="12.75" customHeight="1" x14ac:dyDescent="0.25">
      <c r="A71" s="469" t="s">
        <v>149</v>
      </c>
      <c r="B71" s="121"/>
      <c r="C71" s="121"/>
      <c r="D71" s="472"/>
      <c r="E71" s="472"/>
      <c r="F71" s="472"/>
      <c r="G71" s="472"/>
      <c r="H71" s="472"/>
      <c r="I71" s="472"/>
      <c r="J71" s="472"/>
      <c r="K71" s="472"/>
    </row>
    <row r="72" spans="1:11" ht="12.75" customHeight="1" x14ac:dyDescent="0.25">
      <c r="A72" s="469"/>
      <c r="B72" s="121"/>
      <c r="C72" s="121"/>
      <c r="D72" s="121"/>
      <c r="E72" s="121"/>
      <c r="F72" s="84"/>
      <c r="G72" s="84"/>
      <c r="H72" s="84"/>
      <c r="I72" s="84"/>
      <c r="J72" s="84"/>
      <c r="K72" s="84"/>
    </row>
    <row r="73" spans="1:11" ht="12.75" customHeight="1" x14ac:dyDescent="0.25">
      <c r="A73" s="48"/>
      <c r="B73" s="121"/>
      <c r="C73" s="121"/>
      <c r="D73" s="121"/>
      <c r="E73" s="121"/>
      <c r="F73" s="48"/>
      <c r="G73" s="48"/>
      <c r="H73" s="48"/>
      <c r="I73" s="48"/>
      <c r="J73" s="48"/>
      <c r="K73" s="48"/>
    </row>
    <row r="74" spans="1:11" ht="12.75" customHeight="1" x14ac:dyDescent="0.25">
      <c r="A74" s="48"/>
      <c r="B74" s="121"/>
      <c r="C74" s="121"/>
      <c r="D74" s="121"/>
      <c r="E74" s="121"/>
      <c r="F74" s="48"/>
      <c r="G74" s="48"/>
      <c r="H74" s="48"/>
      <c r="I74" s="48"/>
      <c r="J74" s="48"/>
      <c r="K74" s="48"/>
    </row>
    <row r="75" spans="1:11" ht="12.75" customHeight="1" x14ac:dyDescent="0.25">
      <c r="A75" s="48"/>
      <c r="B75" s="121"/>
      <c r="C75" s="121"/>
      <c r="D75" s="121"/>
      <c r="E75" s="121"/>
      <c r="F75" s="48"/>
      <c r="G75" s="48"/>
      <c r="H75" s="48"/>
      <c r="I75" s="48"/>
      <c r="J75" s="48"/>
      <c r="K75" s="48"/>
    </row>
    <row r="76" spans="1:11" ht="12.75" customHeight="1" x14ac:dyDescent="0.25">
      <c r="A76" s="48"/>
      <c r="B76" s="121"/>
      <c r="C76" s="121"/>
      <c r="D76" s="121"/>
      <c r="E76" s="121"/>
      <c r="F76" s="48"/>
      <c r="G76" s="48"/>
      <c r="H76" s="48"/>
      <c r="I76" s="48"/>
      <c r="J76" s="48"/>
      <c r="K76" s="48"/>
    </row>
    <row r="77" spans="1:11" ht="12.75" customHeight="1" x14ac:dyDescent="0.25">
      <c r="A77" s="48"/>
      <c r="B77" s="121"/>
      <c r="C77" s="121"/>
      <c r="D77" s="121"/>
      <c r="E77" s="121"/>
      <c r="F77" s="48"/>
      <c r="G77" s="48"/>
      <c r="H77" s="48"/>
      <c r="I77" s="48"/>
      <c r="J77" s="48"/>
      <c r="K77" s="48"/>
    </row>
    <row r="78" spans="1:11" ht="12.75" customHeight="1" x14ac:dyDescent="0.25">
      <c r="A78" s="48"/>
      <c r="B78" s="121"/>
      <c r="C78" s="121"/>
      <c r="D78" s="121"/>
      <c r="E78" s="121"/>
      <c r="F78" s="48"/>
      <c r="G78" s="48"/>
      <c r="H78" s="48"/>
      <c r="I78" s="48"/>
      <c r="J78" s="48"/>
      <c r="K78" s="48"/>
    </row>
    <row r="79" spans="1:11" ht="12.75" customHeight="1" x14ac:dyDescent="0.25">
      <c r="A79" s="48"/>
      <c r="B79" s="121"/>
      <c r="C79" s="121"/>
      <c r="D79" s="121"/>
      <c r="E79" s="121"/>
      <c r="F79" s="48"/>
      <c r="G79" s="48"/>
      <c r="H79" s="48"/>
      <c r="I79" s="48"/>
      <c r="J79" s="48"/>
      <c r="K79" s="48"/>
    </row>
    <row r="80" spans="1:11" ht="12.75" customHeight="1" x14ac:dyDescent="0.25">
      <c r="A80" s="48"/>
      <c r="B80" s="121"/>
      <c r="C80" s="121"/>
      <c r="D80" s="121"/>
      <c r="E80" s="121"/>
      <c r="F80" s="48"/>
      <c r="G80" s="48"/>
      <c r="H80" s="48"/>
      <c r="I80" s="48"/>
      <c r="J80" s="48"/>
      <c r="K80" s="48"/>
    </row>
    <row r="81" spans="1:11" ht="12.75" customHeight="1" x14ac:dyDescent="0.25">
      <c r="A81" s="48"/>
      <c r="B81" s="121"/>
      <c r="C81" s="121"/>
      <c r="D81" s="121"/>
      <c r="E81" s="121"/>
      <c r="F81" s="48"/>
      <c r="G81" s="48"/>
      <c r="H81" s="48"/>
      <c r="I81" s="48"/>
      <c r="J81" s="48"/>
      <c r="K81" s="48"/>
    </row>
    <row r="82" spans="1:11" ht="12.75" customHeight="1" x14ac:dyDescent="0.25">
      <c r="A82" s="48"/>
      <c r="B82" s="121"/>
      <c r="C82" s="121"/>
      <c r="D82" s="121"/>
      <c r="E82" s="121"/>
      <c r="F82" s="48"/>
      <c r="G82" s="48"/>
      <c r="H82" s="48"/>
      <c r="I82" s="48"/>
      <c r="J82" s="48"/>
      <c r="K82" s="48"/>
    </row>
    <row r="83" spans="1:11" ht="12.75" customHeight="1" x14ac:dyDescent="0.25">
      <c r="A83" s="48"/>
      <c r="B83" s="121"/>
      <c r="C83" s="121"/>
      <c r="D83" s="121"/>
      <c r="E83" s="121"/>
      <c r="F83" s="48"/>
      <c r="G83" s="48"/>
      <c r="H83" s="48"/>
      <c r="I83" s="48"/>
      <c r="J83" s="48"/>
      <c r="K83" s="48"/>
    </row>
    <row r="84" spans="1:11" ht="12.75" customHeight="1" x14ac:dyDescent="0.25">
      <c r="A84" s="48"/>
      <c r="B84" s="121"/>
      <c r="C84" s="121"/>
      <c r="D84" s="121"/>
      <c r="E84" s="121"/>
      <c r="F84" s="48"/>
      <c r="G84" s="48"/>
      <c r="H84" s="48"/>
      <c r="I84" s="48"/>
      <c r="J84" s="48"/>
      <c r="K84" s="48"/>
    </row>
    <row r="85" spans="1:11" ht="12.75" customHeight="1" x14ac:dyDescent="0.25">
      <c r="A85" s="48"/>
      <c r="B85" s="121"/>
      <c r="C85" s="121"/>
      <c r="D85" s="121"/>
      <c r="E85" s="121"/>
      <c r="F85" s="48"/>
      <c r="G85" s="48"/>
      <c r="H85" s="48"/>
      <c r="I85" s="48"/>
      <c r="J85" s="48"/>
      <c r="K85" s="48"/>
    </row>
    <row r="86" spans="1:11" ht="12.75" customHeight="1" x14ac:dyDescent="0.25">
      <c r="A86" s="48"/>
      <c r="B86" s="121"/>
      <c r="C86" s="121"/>
      <c r="D86" s="121"/>
      <c r="E86" s="121"/>
      <c r="F86" s="48"/>
      <c r="G86" s="48"/>
      <c r="H86" s="48"/>
      <c r="I86" s="48"/>
      <c r="J86" s="48"/>
      <c r="K86" s="48"/>
    </row>
    <row r="87" spans="1:11" ht="12.75" customHeight="1" x14ac:dyDescent="0.25">
      <c r="A87" s="48"/>
      <c r="B87" s="121"/>
      <c r="C87" s="121"/>
      <c r="D87" s="121"/>
      <c r="E87" s="121"/>
      <c r="F87" s="48"/>
      <c r="G87" s="48"/>
      <c r="H87" s="48"/>
      <c r="I87" s="48"/>
      <c r="J87" s="48"/>
      <c r="K87" s="48"/>
    </row>
    <row r="88" spans="1:11" ht="12.75" customHeight="1" x14ac:dyDescent="0.25">
      <c r="A88" s="48"/>
      <c r="B88" s="121"/>
      <c r="C88" s="121"/>
      <c r="D88" s="121"/>
      <c r="E88" s="121"/>
      <c r="F88" s="48"/>
      <c r="G88" s="48"/>
      <c r="H88" s="48"/>
      <c r="I88" s="48"/>
      <c r="J88" s="48"/>
      <c r="K88" s="48"/>
    </row>
    <row r="89" spans="1:11" ht="12.75" customHeight="1" x14ac:dyDescent="0.25">
      <c r="A89" s="48"/>
      <c r="B89" s="121"/>
      <c r="C89" s="121"/>
      <c r="D89" s="121"/>
      <c r="E89" s="121"/>
      <c r="F89" s="48"/>
      <c r="G89" s="48"/>
      <c r="H89" s="48"/>
      <c r="I89" s="48"/>
      <c r="J89" s="48"/>
      <c r="K89" s="48"/>
    </row>
    <row r="90" spans="1:11" ht="12.75" customHeight="1" x14ac:dyDescent="0.25">
      <c r="A90" s="48"/>
      <c r="B90" s="121"/>
      <c r="C90" s="121"/>
      <c r="D90" s="121"/>
      <c r="E90" s="121"/>
      <c r="F90" s="48"/>
      <c r="G90" s="48"/>
      <c r="H90" s="48"/>
      <c r="I90" s="48"/>
      <c r="J90" s="48"/>
      <c r="K90" s="48"/>
    </row>
    <row r="91" spans="1:11" ht="12.75" customHeight="1" x14ac:dyDescent="0.25">
      <c r="A91" s="48"/>
      <c r="B91" s="121"/>
      <c r="C91" s="121"/>
      <c r="D91" s="121"/>
      <c r="E91" s="121"/>
      <c r="F91" s="48"/>
      <c r="G91" s="48"/>
      <c r="H91" s="48"/>
      <c r="I91" s="48"/>
      <c r="J91" s="48"/>
      <c r="K91" s="48"/>
    </row>
    <row r="92" spans="1:11" ht="12.75" customHeight="1" x14ac:dyDescent="0.25">
      <c r="A92" s="48"/>
      <c r="B92" s="121"/>
      <c r="C92" s="121"/>
      <c r="D92" s="121"/>
      <c r="E92" s="121"/>
      <c r="F92" s="48"/>
      <c r="G92" s="48"/>
      <c r="H92" s="48"/>
      <c r="I92" s="48"/>
      <c r="J92" s="48"/>
      <c r="K92" s="48"/>
    </row>
    <row r="93" spans="1:11" ht="12.75" customHeight="1" x14ac:dyDescent="0.25">
      <c r="A93" s="48"/>
      <c r="B93" s="121"/>
      <c r="C93" s="121"/>
      <c r="D93" s="121"/>
      <c r="E93" s="121"/>
      <c r="F93" s="48"/>
      <c r="G93" s="48"/>
      <c r="H93" s="48"/>
      <c r="I93" s="48"/>
      <c r="J93" s="48"/>
      <c r="K93" s="48"/>
    </row>
  </sheetData>
  <sheetProtection sheet="1" objects="1" scenarios="1"/>
  <mergeCells count="2">
    <mergeCell ref="B2:B3"/>
    <mergeCell ref="C2:C3"/>
  </mergeCells>
  <phoneticPr fontId="4" type="noConversion"/>
  <printOptions horizontalCentered="1"/>
  <pageMargins left="0.37" right="0.16" top="0.77" bottom="0.79" header="0.51181102362204722" footer="0.51181102362204722"/>
  <pageSetup paperSize="9" scale="81"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7">
    <tabColor indexed="42"/>
    <pageSetUpPr fitToPage="1"/>
  </sheetPr>
  <dimension ref="A1:M86"/>
  <sheetViews>
    <sheetView showGridLines="0" zoomScaleNormal="100" workbookViewId="0">
      <pane xSplit="2" ySplit="5" topLeftCell="C6" activePane="bottomRight" state="frozen"/>
      <selection activeCell="C6" sqref="C6"/>
      <selection pane="topRight" activeCell="C6" sqref="C6"/>
      <selection pane="bottomLeft" activeCell="C6" sqref="C6"/>
      <selection pane="bottomRight" activeCell="K49" sqref="C48:K49"/>
    </sheetView>
  </sheetViews>
  <sheetFormatPr defaultColWidth="9.140625" defaultRowHeight="12.75" x14ac:dyDescent="0.25"/>
  <cols>
    <col min="1" max="1" width="35.7109375" style="5" customWidth="1"/>
    <col min="2" max="2" width="3.28515625" style="58" customWidth="1"/>
    <col min="3" max="11" width="8.7109375" style="5" customWidth="1"/>
    <col min="12" max="12" width="9.85546875" style="5" customWidth="1"/>
    <col min="13" max="13" width="9.5703125" style="5" customWidth="1"/>
    <col min="14" max="14" width="9.85546875" style="5" customWidth="1"/>
    <col min="15" max="17" width="9.5703125" style="5" customWidth="1"/>
    <col min="18" max="18" width="9.85546875" style="5" customWidth="1"/>
    <col min="19" max="21" width="9.5703125" style="5" customWidth="1"/>
    <col min="22" max="23" width="9.85546875" style="5" customWidth="1"/>
    <col min="24" max="16384" width="9.140625" style="5"/>
  </cols>
  <sheetData>
    <row r="1" spans="1:11" ht="13.5" x14ac:dyDescent="0.25">
      <c r="A1" s="57" t="str">
        <f>muni&amp;" - "&amp;ADJB7&amp;" - "&amp;Date</f>
        <v>LIM354 Polokwane - Supporting Table SB7 Adjustments Budget - transfers and grant receipts - 2020</v>
      </c>
      <c r="B1" s="5"/>
      <c r="C1" s="58"/>
    </row>
    <row r="2" spans="1:11" ht="38.25" x14ac:dyDescent="0.25">
      <c r="A2" s="1406" t="str">
        <f>desc</f>
        <v>Description</v>
      </c>
      <c r="B2" s="1406" t="str">
        <f>head27</f>
        <v>Ref</v>
      </c>
      <c r="C2" s="1403" t="str">
        <f>Head2</f>
        <v>Budget Year 2020/21</v>
      </c>
      <c r="D2" s="1404"/>
      <c r="E2" s="1404"/>
      <c r="F2" s="1404"/>
      <c r="G2" s="1404"/>
      <c r="H2" s="1404"/>
      <c r="I2" s="1404"/>
      <c r="J2" s="103" t="str">
        <f>Head10</f>
        <v>Budget Year +1 2021/22</v>
      </c>
      <c r="K2" s="61" t="str">
        <f>Head11</f>
        <v>Budget Year +2 2022/23</v>
      </c>
    </row>
    <row r="3" spans="1:11" ht="25.5" x14ac:dyDescent="0.25">
      <c r="A3" s="1407"/>
      <c r="B3" s="1407"/>
      <c r="C3" s="9" t="str">
        <f>Head6</f>
        <v>Original Budget</v>
      </c>
      <c r="D3" s="10" t="str">
        <f>Head54</f>
        <v>Prior Adjusted</v>
      </c>
      <c r="E3" s="10" t="str">
        <f>Head52</f>
        <v>Multi-year capital</v>
      </c>
      <c r="F3" s="10" t="str">
        <f>Head55</f>
        <v>Nat. or Prov. Govt</v>
      </c>
      <c r="G3" s="11" t="str">
        <f>Head50</f>
        <v>Other Adjusts.</v>
      </c>
      <c r="H3" s="11" t="str">
        <f>Head56</f>
        <v>Total Adjusts.</v>
      </c>
      <c r="I3" s="11" t="str">
        <f>Head7</f>
        <v>Adjusted Budget</v>
      </c>
      <c r="J3" s="10" t="str">
        <f>Head7</f>
        <v>Adjusted Budget</v>
      </c>
      <c r="K3" s="63" t="str">
        <f>Head7</f>
        <v>Adjusted Budget</v>
      </c>
    </row>
    <row r="4" spans="1:11" x14ac:dyDescent="0.25">
      <c r="A4" s="1407"/>
      <c r="B4" s="1407"/>
      <c r="C4" s="14"/>
      <c r="D4" s="15">
        <v>7</v>
      </c>
      <c r="E4" s="15">
        <v>8</v>
      </c>
      <c r="F4" s="15">
        <v>9</v>
      </c>
      <c r="G4" s="15">
        <v>10</v>
      </c>
      <c r="H4" s="15">
        <v>11</v>
      </c>
      <c r="I4" s="15">
        <v>12</v>
      </c>
      <c r="J4" s="15"/>
      <c r="K4" s="17"/>
    </row>
    <row r="5" spans="1:11" x14ac:dyDescent="0.25">
      <c r="A5" s="66" t="s">
        <v>603</v>
      </c>
      <c r="B5" s="104"/>
      <c r="C5" s="475" t="s">
        <v>547</v>
      </c>
      <c r="D5" s="68" t="s">
        <v>548</v>
      </c>
      <c r="E5" s="69" t="s">
        <v>549</v>
      </c>
      <c r="F5" s="69" t="s">
        <v>550</v>
      </c>
      <c r="G5" s="70" t="s">
        <v>551</v>
      </c>
      <c r="H5" s="70" t="s">
        <v>552</v>
      </c>
      <c r="I5" s="70" t="s">
        <v>553</v>
      </c>
      <c r="J5" s="70"/>
      <c r="K5" s="71"/>
    </row>
    <row r="6" spans="1:11" ht="12.75" customHeight="1" x14ac:dyDescent="0.25">
      <c r="A6" s="139" t="s">
        <v>150</v>
      </c>
      <c r="B6" s="73" t="s">
        <v>151</v>
      </c>
      <c r="C6" s="240"/>
      <c r="D6" s="75"/>
      <c r="E6" s="75"/>
      <c r="F6" s="75"/>
      <c r="G6" s="75"/>
      <c r="H6" s="75"/>
      <c r="I6" s="75"/>
      <c r="J6" s="75"/>
      <c r="K6" s="76"/>
    </row>
    <row r="7" spans="1:11" ht="5.0999999999999996" customHeight="1" x14ac:dyDescent="0.25">
      <c r="A7" s="126"/>
      <c r="B7" s="73"/>
      <c r="C7" s="240"/>
      <c r="D7" s="75"/>
      <c r="E7" s="75"/>
      <c r="F7" s="75"/>
      <c r="G7" s="75"/>
      <c r="H7" s="75"/>
      <c r="I7" s="75"/>
      <c r="J7" s="75"/>
      <c r="K7" s="76"/>
    </row>
    <row r="8" spans="1:11" ht="12.75" customHeight="1" x14ac:dyDescent="0.25">
      <c r="A8" s="486" t="s">
        <v>1109</v>
      </c>
      <c r="B8" s="73"/>
      <c r="C8" s="240"/>
      <c r="D8" s="75"/>
      <c r="E8" s="75"/>
      <c r="F8" s="75"/>
      <c r="G8" s="75"/>
      <c r="H8" s="75"/>
      <c r="I8" s="75"/>
      <c r="J8" s="75"/>
      <c r="K8" s="76"/>
    </row>
    <row r="9" spans="1:11" ht="12.75" customHeight="1" x14ac:dyDescent="0.25">
      <c r="A9" s="139" t="s">
        <v>152</v>
      </c>
      <c r="B9" s="73"/>
      <c r="C9" s="476">
        <f t="shared" ref="C9:K9" si="0">SUM(C10:C16)</f>
        <v>1187428150</v>
      </c>
      <c r="D9" s="141">
        <f t="shared" si="0"/>
        <v>1342428150</v>
      </c>
      <c r="E9" s="141">
        <f t="shared" si="0"/>
        <v>0</v>
      </c>
      <c r="F9" s="141">
        <f t="shared" si="0"/>
        <v>37266779</v>
      </c>
      <c r="G9" s="141">
        <f t="shared" si="0"/>
        <v>8282372</v>
      </c>
      <c r="H9" s="141">
        <f t="shared" si="0"/>
        <v>45549151</v>
      </c>
      <c r="I9" s="141">
        <f t="shared" si="0"/>
        <v>1387977301</v>
      </c>
      <c r="J9" s="141">
        <f t="shared" si="0"/>
        <v>1278156249.7880187</v>
      </c>
      <c r="K9" s="142">
        <f t="shared" si="0"/>
        <v>1396716549.9974196</v>
      </c>
    </row>
    <row r="10" spans="1:11" ht="12.75" customHeight="1" x14ac:dyDescent="0.25">
      <c r="A10" s="108" t="s">
        <v>1270</v>
      </c>
      <c r="B10" s="73"/>
      <c r="C10" s="478">
        <v>1007763000</v>
      </c>
      <c r="D10" s="479">
        <v>1181763000</v>
      </c>
      <c r="E10" s="479">
        <v>0</v>
      </c>
      <c r="F10" s="479">
        <v>0</v>
      </c>
      <c r="G10" s="479">
        <v>0</v>
      </c>
      <c r="H10" s="480">
        <f t="shared" ref="H10:H16" si="1">SUM(E10:G10)</f>
        <v>0</v>
      </c>
      <c r="I10" s="480">
        <f t="shared" ref="I10:I16" si="2">IF(D10=0,C10+H10,D10+H10)</f>
        <v>1181763000</v>
      </c>
      <c r="J10" s="479">
        <v>1102819000</v>
      </c>
      <c r="K10" s="481">
        <v>1196245000</v>
      </c>
    </row>
    <row r="11" spans="1:11" ht="12.75" customHeight="1" x14ac:dyDescent="0.25">
      <c r="A11" s="477" t="s">
        <v>2009</v>
      </c>
      <c r="B11" s="73">
        <v>3</v>
      </c>
      <c r="C11" s="382">
        <v>9527000</v>
      </c>
      <c r="D11" s="109">
        <v>9527000</v>
      </c>
      <c r="E11" s="109">
        <v>0</v>
      </c>
      <c r="F11" s="109">
        <v>0</v>
      </c>
      <c r="G11" s="109">
        <v>0</v>
      </c>
      <c r="H11" s="75">
        <f t="shared" si="1"/>
        <v>0</v>
      </c>
      <c r="I11" s="75">
        <f t="shared" si="2"/>
        <v>9527000</v>
      </c>
      <c r="J11" s="109">
        <v>0</v>
      </c>
      <c r="K11" s="110">
        <v>0</v>
      </c>
    </row>
    <row r="12" spans="1:11" ht="12.75" customHeight="1" x14ac:dyDescent="0.25">
      <c r="A12" s="477" t="s">
        <v>2010</v>
      </c>
      <c r="B12" s="73"/>
      <c r="C12" s="382">
        <v>49000000</v>
      </c>
      <c r="D12" s="109">
        <v>29000000</v>
      </c>
      <c r="E12" s="109">
        <v>0</v>
      </c>
      <c r="F12" s="109">
        <v>0</v>
      </c>
      <c r="G12" s="109">
        <v>0</v>
      </c>
      <c r="H12" s="75">
        <f t="shared" si="1"/>
        <v>0</v>
      </c>
      <c r="I12" s="75">
        <f t="shared" si="2"/>
        <v>29000000</v>
      </c>
      <c r="J12" s="109">
        <v>30000000</v>
      </c>
      <c r="K12" s="110">
        <v>30000000</v>
      </c>
    </row>
    <row r="13" spans="1:11" ht="12.75" customHeight="1" x14ac:dyDescent="0.25">
      <c r="A13" s="477" t="s">
        <v>2016</v>
      </c>
      <c r="B13" s="73"/>
      <c r="C13" s="382">
        <v>2500000</v>
      </c>
      <c r="D13" s="109">
        <v>2500000</v>
      </c>
      <c r="E13" s="109">
        <v>0</v>
      </c>
      <c r="F13" s="109">
        <v>0</v>
      </c>
      <c r="G13" s="109">
        <v>0</v>
      </c>
      <c r="H13" s="75">
        <f t="shared" si="1"/>
        <v>0</v>
      </c>
      <c r="I13" s="75">
        <f t="shared" si="2"/>
        <v>2500000</v>
      </c>
      <c r="J13" s="109">
        <v>2500000</v>
      </c>
      <c r="K13" s="110">
        <v>2500000</v>
      </c>
    </row>
    <row r="14" spans="1:11" ht="12.75" customHeight="1" x14ac:dyDescent="0.25">
      <c r="A14" s="477" t="s">
        <v>2008</v>
      </c>
      <c r="B14" s="73"/>
      <c r="C14" s="382">
        <v>47860150</v>
      </c>
      <c r="D14" s="109">
        <v>47860150</v>
      </c>
      <c r="E14" s="109">
        <v>0</v>
      </c>
      <c r="F14" s="109">
        <v>0</v>
      </c>
      <c r="G14" s="109">
        <v>800000</v>
      </c>
      <c r="H14" s="75">
        <f t="shared" si="1"/>
        <v>800000</v>
      </c>
      <c r="I14" s="75">
        <f t="shared" si="2"/>
        <v>48660150</v>
      </c>
      <c r="J14" s="109">
        <v>68337249.788018629</v>
      </c>
      <c r="K14" s="110">
        <v>90971549.997419581</v>
      </c>
    </row>
    <row r="15" spans="1:11" ht="12.75" customHeight="1" x14ac:dyDescent="0.25">
      <c r="A15" s="477" t="s">
        <v>2012</v>
      </c>
      <c r="B15" s="73"/>
      <c r="C15" s="382">
        <v>64500000</v>
      </c>
      <c r="D15" s="109">
        <v>65500000</v>
      </c>
      <c r="E15" s="109">
        <v>0</v>
      </c>
      <c r="F15" s="109">
        <v>37266779</v>
      </c>
      <c r="G15" s="109">
        <v>7482372</v>
      </c>
      <c r="H15" s="75">
        <f t="shared" si="1"/>
        <v>44749151</v>
      </c>
      <c r="I15" s="75">
        <f t="shared" si="2"/>
        <v>110249151</v>
      </c>
      <c r="J15" s="109">
        <v>68500000</v>
      </c>
      <c r="K15" s="110">
        <v>71000000</v>
      </c>
    </row>
    <row r="16" spans="1:11" ht="12.75" customHeight="1" x14ac:dyDescent="0.25">
      <c r="A16" s="477" t="s">
        <v>2015</v>
      </c>
      <c r="B16" s="73"/>
      <c r="C16" s="482">
        <v>6278000</v>
      </c>
      <c r="D16" s="144">
        <v>6278000</v>
      </c>
      <c r="E16" s="144">
        <v>0</v>
      </c>
      <c r="F16" s="144">
        <v>0</v>
      </c>
      <c r="G16" s="144">
        <v>0</v>
      </c>
      <c r="H16" s="145">
        <f t="shared" si="1"/>
        <v>0</v>
      </c>
      <c r="I16" s="145">
        <f t="shared" si="2"/>
        <v>6278000</v>
      </c>
      <c r="J16" s="144">
        <v>6000000</v>
      </c>
      <c r="K16" s="113">
        <v>6000000</v>
      </c>
    </row>
    <row r="17" spans="1:11" ht="12.75" customHeight="1" x14ac:dyDescent="0.25">
      <c r="A17" s="139" t="s">
        <v>154</v>
      </c>
      <c r="B17" s="73"/>
      <c r="C17" s="476">
        <f t="shared" ref="C17:K17" si="3">SUM(C18:C22)</f>
        <v>0</v>
      </c>
      <c r="D17" s="141">
        <f t="shared" si="3"/>
        <v>0</v>
      </c>
      <c r="E17" s="141">
        <f t="shared" si="3"/>
        <v>0</v>
      </c>
      <c r="F17" s="141">
        <f t="shared" si="3"/>
        <v>653891</v>
      </c>
      <c r="G17" s="141">
        <f t="shared" si="3"/>
        <v>0</v>
      </c>
      <c r="H17" s="141">
        <f t="shared" si="3"/>
        <v>653891</v>
      </c>
      <c r="I17" s="141">
        <f t="shared" si="3"/>
        <v>653891</v>
      </c>
      <c r="J17" s="141">
        <f t="shared" si="3"/>
        <v>8000000</v>
      </c>
      <c r="K17" s="142">
        <f t="shared" si="3"/>
        <v>0</v>
      </c>
    </row>
    <row r="18" spans="1:11" ht="12.75" customHeight="1" x14ac:dyDescent="0.25">
      <c r="A18" s="477" t="s">
        <v>2014</v>
      </c>
      <c r="B18" s="73"/>
      <c r="C18" s="478">
        <v>0</v>
      </c>
      <c r="D18" s="483">
        <v>0</v>
      </c>
      <c r="E18" s="479">
        <v>0</v>
      </c>
      <c r="F18" s="479">
        <v>653891</v>
      </c>
      <c r="G18" s="479">
        <v>0</v>
      </c>
      <c r="H18" s="480">
        <f>SUM(E18:G18)</f>
        <v>653891</v>
      </c>
      <c r="I18" s="480">
        <f>IF(D18=0,C18+H18,D18+H18)</f>
        <v>653891</v>
      </c>
      <c r="J18" s="479">
        <v>8000000</v>
      </c>
      <c r="K18" s="481">
        <v>0</v>
      </c>
    </row>
    <row r="19" spans="1:11" ht="12.75" customHeight="1" x14ac:dyDescent="0.25">
      <c r="A19" s="477"/>
      <c r="B19" s="73"/>
      <c r="C19" s="382">
        <v>0</v>
      </c>
      <c r="D19" s="130">
        <v>0</v>
      </c>
      <c r="E19" s="109">
        <v>0</v>
      </c>
      <c r="F19" s="109">
        <v>0</v>
      </c>
      <c r="G19" s="109">
        <v>0</v>
      </c>
      <c r="H19" s="75">
        <f>SUM(E19:G19)</f>
        <v>0</v>
      </c>
      <c r="I19" s="75">
        <f>IF(D19=0,C19+H19,D19+H19)</f>
        <v>0</v>
      </c>
      <c r="J19" s="109">
        <v>0</v>
      </c>
      <c r="K19" s="110">
        <v>0</v>
      </c>
    </row>
    <row r="20" spans="1:11" ht="12.75" customHeight="1" x14ac:dyDescent="0.25">
      <c r="A20" s="477"/>
      <c r="B20" s="73">
        <v>4</v>
      </c>
      <c r="C20" s="382">
        <v>0</v>
      </c>
      <c r="D20" s="130">
        <v>0</v>
      </c>
      <c r="E20" s="109">
        <v>0</v>
      </c>
      <c r="F20" s="109">
        <v>0</v>
      </c>
      <c r="G20" s="109">
        <v>0</v>
      </c>
      <c r="H20" s="75">
        <f>SUM(E20:G20)</f>
        <v>0</v>
      </c>
      <c r="I20" s="75">
        <f>IF(D20=0,C20+H20,D20+H20)</f>
        <v>0</v>
      </c>
      <c r="J20" s="109">
        <v>0</v>
      </c>
      <c r="K20" s="110">
        <v>0</v>
      </c>
    </row>
    <row r="21" spans="1:11" ht="12.75" customHeight="1" x14ac:dyDescent="0.25">
      <c r="A21" s="477"/>
      <c r="B21" s="73"/>
      <c r="C21" s="382">
        <v>0</v>
      </c>
      <c r="D21" s="130">
        <v>0</v>
      </c>
      <c r="E21" s="109">
        <v>0</v>
      </c>
      <c r="F21" s="109">
        <v>0</v>
      </c>
      <c r="G21" s="109">
        <v>0</v>
      </c>
      <c r="H21" s="75">
        <f>SUM(E21:G21)</f>
        <v>0</v>
      </c>
      <c r="I21" s="75">
        <f>IF(D21=0,C21+H21,D21+H21)</f>
        <v>0</v>
      </c>
      <c r="J21" s="109">
        <v>0</v>
      </c>
      <c r="K21" s="110">
        <v>0</v>
      </c>
    </row>
    <row r="22" spans="1:11" ht="12.75" customHeight="1" x14ac:dyDescent="0.25">
      <c r="A22" s="477" t="s">
        <v>153</v>
      </c>
      <c r="B22" s="73">
        <v>5</v>
      </c>
      <c r="C22" s="482">
        <v>0</v>
      </c>
      <c r="D22" s="143">
        <v>0</v>
      </c>
      <c r="E22" s="144">
        <v>0</v>
      </c>
      <c r="F22" s="144">
        <v>0</v>
      </c>
      <c r="G22" s="144">
        <v>0</v>
      </c>
      <c r="H22" s="145">
        <f>SUM(E22:G22)</f>
        <v>0</v>
      </c>
      <c r="I22" s="145">
        <f>IF(D22=0,C22+H22,D22+H22)</f>
        <v>0</v>
      </c>
      <c r="J22" s="144"/>
      <c r="K22" s="113">
        <v>0</v>
      </c>
    </row>
    <row r="23" spans="1:11" ht="12.75" customHeight="1" x14ac:dyDescent="0.25">
      <c r="A23" s="139" t="s">
        <v>155</v>
      </c>
      <c r="B23" s="73"/>
      <c r="C23" s="476">
        <f t="shared" ref="C23:K23" si="4">SUM(C24:C25)</f>
        <v>0</v>
      </c>
      <c r="D23" s="141">
        <f t="shared" si="4"/>
        <v>0</v>
      </c>
      <c r="E23" s="141">
        <f t="shared" si="4"/>
        <v>0</v>
      </c>
      <c r="F23" s="141">
        <f t="shared" si="4"/>
        <v>0</v>
      </c>
      <c r="G23" s="141">
        <f t="shared" si="4"/>
        <v>0</v>
      </c>
      <c r="H23" s="141">
        <f t="shared" si="4"/>
        <v>0</v>
      </c>
      <c r="I23" s="141">
        <f t="shared" si="4"/>
        <v>0</v>
      </c>
      <c r="J23" s="141">
        <f t="shared" si="4"/>
        <v>0</v>
      </c>
      <c r="K23" s="142">
        <f t="shared" si="4"/>
        <v>0</v>
      </c>
    </row>
    <row r="24" spans="1:11" ht="12.75" customHeight="1" x14ac:dyDescent="0.25">
      <c r="A24" s="293" t="s">
        <v>156</v>
      </c>
      <c r="B24" s="73"/>
      <c r="C24" s="478">
        <v>0</v>
      </c>
      <c r="D24" s="479">
        <v>0</v>
      </c>
      <c r="E24" s="479">
        <v>0</v>
      </c>
      <c r="F24" s="479">
        <v>0</v>
      </c>
      <c r="G24" s="479">
        <v>0</v>
      </c>
      <c r="H24" s="480">
        <f>SUM(E24:G24)</f>
        <v>0</v>
      </c>
      <c r="I24" s="480">
        <f>IF(D24=0,C24+H24,D24+H24)</f>
        <v>0</v>
      </c>
      <c r="J24" s="479">
        <v>0</v>
      </c>
      <c r="K24" s="481">
        <v>0</v>
      </c>
    </row>
    <row r="25" spans="1:11" ht="12.75" customHeight="1" x14ac:dyDescent="0.25">
      <c r="A25" s="293"/>
      <c r="B25" s="73"/>
      <c r="C25" s="482">
        <v>0</v>
      </c>
      <c r="D25" s="144">
        <v>0</v>
      </c>
      <c r="E25" s="144">
        <v>0</v>
      </c>
      <c r="F25" s="144">
        <v>0</v>
      </c>
      <c r="G25" s="144">
        <v>0</v>
      </c>
      <c r="H25" s="145">
        <f>SUM(E25:G25)</f>
        <v>0</v>
      </c>
      <c r="I25" s="145">
        <f>IF(D25=0,C25+H25,D25+H25)</f>
        <v>0</v>
      </c>
      <c r="J25" s="144">
        <v>0</v>
      </c>
      <c r="K25" s="113">
        <v>0</v>
      </c>
    </row>
    <row r="26" spans="1:11" ht="12.75" customHeight="1" x14ac:dyDescent="0.25">
      <c r="A26" s="139" t="s">
        <v>157</v>
      </c>
      <c r="B26" s="73"/>
      <c r="C26" s="240">
        <f t="shared" ref="C26:K26" si="5">SUM(C27:C28)</f>
        <v>0</v>
      </c>
      <c r="D26" s="75">
        <f t="shared" si="5"/>
        <v>0</v>
      </c>
      <c r="E26" s="75">
        <f t="shared" si="5"/>
        <v>0</v>
      </c>
      <c r="F26" s="75">
        <f t="shared" si="5"/>
        <v>0</v>
      </c>
      <c r="G26" s="75">
        <f t="shared" si="5"/>
        <v>0</v>
      </c>
      <c r="H26" s="75">
        <f t="shared" si="5"/>
        <v>0</v>
      </c>
      <c r="I26" s="75">
        <f t="shared" si="5"/>
        <v>0</v>
      </c>
      <c r="J26" s="75">
        <f t="shared" si="5"/>
        <v>0</v>
      </c>
      <c r="K26" s="76">
        <f t="shared" si="5"/>
        <v>0</v>
      </c>
    </row>
    <row r="27" spans="1:11" ht="12.75" customHeight="1" x14ac:dyDescent="0.25">
      <c r="A27" s="293" t="s">
        <v>156</v>
      </c>
      <c r="B27" s="73"/>
      <c r="C27" s="478">
        <v>0</v>
      </c>
      <c r="D27" s="479">
        <v>0</v>
      </c>
      <c r="E27" s="479">
        <v>0</v>
      </c>
      <c r="F27" s="479">
        <v>0</v>
      </c>
      <c r="G27" s="479">
        <v>0</v>
      </c>
      <c r="H27" s="480">
        <f>SUM(E27:G27)</f>
        <v>0</v>
      </c>
      <c r="I27" s="480">
        <f>IF(D27=0,C27+H27,D27+H27)</f>
        <v>0</v>
      </c>
      <c r="J27" s="479">
        <v>0</v>
      </c>
      <c r="K27" s="481">
        <v>0</v>
      </c>
    </row>
    <row r="28" spans="1:11" ht="12.75" customHeight="1" x14ac:dyDescent="0.25">
      <c r="A28" s="293"/>
      <c r="B28" s="73"/>
      <c r="C28" s="482">
        <v>0</v>
      </c>
      <c r="D28" s="144">
        <v>0</v>
      </c>
      <c r="E28" s="144">
        <v>0</v>
      </c>
      <c r="F28" s="144">
        <v>0</v>
      </c>
      <c r="G28" s="144">
        <v>0</v>
      </c>
      <c r="H28" s="145">
        <f>SUM(E28:G28)</f>
        <v>0</v>
      </c>
      <c r="I28" s="145">
        <f>IF(D28=0,C28+H28,D28+H28)</f>
        <v>0</v>
      </c>
      <c r="J28" s="144">
        <v>0</v>
      </c>
      <c r="K28" s="113">
        <v>0</v>
      </c>
    </row>
    <row r="29" spans="1:11" ht="12.75" customHeight="1" x14ac:dyDescent="0.25">
      <c r="A29" s="484" t="s">
        <v>1110</v>
      </c>
      <c r="B29" s="79">
        <v>6</v>
      </c>
      <c r="C29" s="485">
        <f t="shared" ref="C29:K29" si="6">C9+C17+C23+C26</f>
        <v>1187428150</v>
      </c>
      <c r="D29" s="81">
        <f t="shared" si="6"/>
        <v>1342428150</v>
      </c>
      <c r="E29" s="81">
        <f t="shared" si="6"/>
        <v>0</v>
      </c>
      <c r="F29" s="81">
        <f t="shared" si="6"/>
        <v>37920670</v>
      </c>
      <c r="G29" s="81">
        <f t="shared" si="6"/>
        <v>8282372</v>
      </c>
      <c r="H29" s="81">
        <f t="shared" si="6"/>
        <v>46203042</v>
      </c>
      <c r="I29" s="81">
        <f>I9+I17+I23+I26</f>
        <v>1388631192</v>
      </c>
      <c r="J29" s="81">
        <f t="shared" si="6"/>
        <v>1286156249.7880187</v>
      </c>
      <c r="K29" s="82">
        <f t="shared" si="6"/>
        <v>1396716549.9974196</v>
      </c>
    </row>
    <row r="30" spans="1:11" ht="5.0999999999999996" customHeight="1" x14ac:dyDescent="0.25">
      <c r="A30" s="136"/>
      <c r="B30" s="73"/>
      <c r="C30" s="240"/>
      <c r="D30" s="75"/>
      <c r="E30" s="75"/>
      <c r="F30" s="75"/>
      <c r="G30" s="75"/>
      <c r="H30" s="75"/>
      <c r="I30" s="75"/>
      <c r="J30" s="75"/>
      <c r="K30" s="76"/>
    </row>
    <row r="31" spans="1:11" ht="12.75" customHeight="1" x14ac:dyDescent="0.25">
      <c r="A31" s="486" t="s">
        <v>1111</v>
      </c>
      <c r="B31" s="73"/>
      <c r="C31" s="240"/>
      <c r="D31" s="75"/>
      <c r="E31" s="75"/>
      <c r="F31" s="75"/>
      <c r="G31" s="75"/>
      <c r="H31" s="75"/>
      <c r="I31" s="75"/>
      <c r="J31" s="75"/>
      <c r="K31" s="76"/>
    </row>
    <row r="32" spans="1:11" ht="12.75" customHeight="1" x14ac:dyDescent="0.25">
      <c r="A32" s="139" t="str">
        <f>A9</f>
        <v>National Government:</v>
      </c>
      <c r="B32" s="73"/>
      <c r="C32" s="476">
        <f t="shared" ref="C32:K32" si="7">SUM(C33:C38)</f>
        <v>874054850</v>
      </c>
      <c r="D32" s="141">
        <f t="shared" si="7"/>
        <v>773197850</v>
      </c>
      <c r="E32" s="141">
        <f t="shared" si="7"/>
        <v>0</v>
      </c>
      <c r="F32" s="141">
        <f t="shared" si="7"/>
        <v>62291861</v>
      </c>
      <c r="G32" s="141">
        <f t="shared" si="7"/>
        <v>-8282372</v>
      </c>
      <c r="H32" s="141">
        <f t="shared" si="7"/>
        <v>54009489</v>
      </c>
      <c r="I32" s="141">
        <f t="shared" si="7"/>
        <v>827207339</v>
      </c>
      <c r="J32" s="141">
        <f t="shared" si="7"/>
        <v>623401750</v>
      </c>
      <c r="K32" s="142">
        <f t="shared" si="7"/>
        <v>526841450</v>
      </c>
    </row>
    <row r="33" spans="1:13" ht="12.75" customHeight="1" x14ac:dyDescent="0.25">
      <c r="A33" s="477" t="s">
        <v>2012</v>
      </c>
      <c r="B33" s="73"/>
      <c r="C33" s="478">
        <v>124792000</v>
      </c>
      <c r="D33" s="479">
        <v>93746000</v>
      </c>
      <c r="E33" s="479">
        <v>0</v>
      </c>
      <c r="F33" s="479">
        <v>31374025</v>
      </c>
      <c r="G33" s="479">
        <v>-7482372</v>
      </c>
      <c r="H33" s="480">
        <f t="shared" ref="H33:H38" si="8">SUM(E33:G33)</f>
        <v>23891653</v>
      </c>
      <c r="I33" s="480">
        <f t="shared" ref="I33:I38" si="9">IF(D33=0,C33+H33,D33+H33)</f>
        <v>117637653</v>
      </c>
      <c r="J33" s="479">
        <v>124814000</v>
      </c>
      <c r="K33" s="481">
        <v>133382000</v>
      </c>
    </row>
    <row r="34" spans="1:13" ht="12.75" customHeight="1" x14ac:dyDescent="0.25">
      <c r="A34" s="477" t="s">
        <v>2017</v>
      </c>
      <c r="B34" s="73"/>
      <c r="C34" s="382">
        <v>361157000</v>
      </c>
      <c r="D34" s="109">
        <v>284846000</v>
      </c>
      <c r="E34" s="109">
        <v>0</v>
      </c>
      <c r="F34" s="109">
        <v>15512779</v>
      </c>
      <c r="G34" s="109">
        <v>0</v>
      </c>
      <c r="H34" s="75">
        <f t="shared" si="8"/>
        <v>15512779</v>
      </c>
      <c r="I34" s="75">
        <f t="shared" si="9"/>
        <v>300358779</v>
      </c>
      <c r="J34" s="109">
        <v>100180000</v>
      </c>
      <c r="K34" s="110">
        <v>0</v>
      </c>
    </row>
    <row r="35" spans="1:13" ht="12.75" customHeight="1" x14ac:dyDescent="0.25">
      <c r="A35" s="477" t="s">
        <v>2011</v>
      </c>
      <c r="B35" s="73"/>
      <c r="C35" s="382">
        <v>35000000</v>
      </c>
      <c r="D35" s="109">
        <v>31500000</v>
      </c>
      <c r="E35" s="109">
        <v>0</v>
      </c>
      <c r="F35" s="109">
        <v>0</v>
      </c>
      <c r="G35" s="109">
        <v>0</v>
      </c>
      <c r="H35" s="75">
        <f t="shared" si="8"/>
        <v>0</v>
      </c>
      <c r="I35" s="75">
        <f t="shared" si="9"/>
        <v>31500000</v>
      </c>
      <c r="J35" s="109">
        <v>35000000</v>
      </c>
      <c r="K35" s="110">
        <v>35000000</v>
      </c>
    </row>
    <row r="36" spans="1:13" ht="12.75" customHeight="1" x14ac:dyDescent="0.25">
      <c r="A36" s="477" t="s">
        <v>2013</v>
      </c>
      <c r="B36" s="73"/>
      <c r="C36" s="382">
        <v>50000000</v>
      </c>
      <c r="D36" s="109">
        <v>50000000</v>
      </c>
      <c r="E36" s="109">
        <v>0</v>
      </c>
      <c r="F36" s="109">
        <v>8067286</v>
      </c>
      <c r="G36" s="109">
        <v>0</v>
      </c>
      <c r="H36" s="75">
        <f t="shared" si="8"/>
        <v>8067286</v>
      </c>
      <c r="I36" s="75">
        <f t="shared" si="9"/>
        <v>58067286</v>
      </c>
      <c r="J36" s="109">
        <v>65000000</v>
      </c>
      <c r="K36" s="110">
        <v>60000000</v>
      </c>
      <c r="M36" s="5" t="s">
        <v>1269</v>
      </c>
    </row>
    <row r="37" spans="1:13" ht="12.75" customHeight="1" x14ac:dyDescent="0.25">
      <c r="A37" s="477" t="s">
        <v>2004</v>
      </c>
      <c r="B37" s="73"/>
      <c r="C37" s="382">
        <v>303105850</v>
      </c>
      <c r="D37" s="109">
        <v>303105850</v>
      </c>
      <c r="E37" s="109">
        <v>0</v>
      </c>
      <c r="F37" s="109">
        <v>0</v>
      </c>
      <c r="G37" s="109">
        <v>-800000</v>
      </c>
      <c r="H37" s="75">
        <f t="shared" si="8"/>
        <v>-800000</v>
      </c>
      <c r="I37" s="75">
        <f t="shared" si="9"/>
        <v>302305850</v>
      </c>
      <c r="J37" s="109">
        <v>298407750</v>
      </c>
      <c r="K37" s="110">
        <v>298459450</v>
      </c>
    </row>
    <row r="38" spans="1:13" ht="12.75" customHeight="1" x14ac:dyDescent="0.25">
      <c r="A38" s="477" t="s">
        <v>2010</v>
      </c>
      <c r="B38" s="73"/>
      <c r="C38" s="482">
        <v>0</v>
      </c>
      <c r="D38" s="144">
        <v>10000000</v>
      </c>
      <c r="E38" s="144">
        <v>0</v>
      </c>
      <c r="F38" s="144">
        <v>7337771</v>
      </c>
      <c r="G38" s="144">
        <v>0</v>
      </c>
      <c r="H38" s="145">
        <f t="shared" si="8"/>
        <v>7337771</v>
      </c>
      <c r="I38" s="145">
        <f t="shared" si="9"/>
        <v>17337771</v>
      </c>
      <c r="J38" s="144">
        <v>0</v>
      </c>
      <c r="K38" s="113">
        <v>0</v>
      </c>
    </row>
    <row r="39" spans="1:13" ht="12.75" customHeight="1" x14ac:dyDescent="0.25">
      <c r="A39" s="139" t="str">
        <f>A17</f>
        <v>Provincial Government:</v>
      </c>
      <c r="B39" s="73"/>
      <c r="C39" s="476">
        <f t="shared" ref="C39:K39" si="10">SUM(C40:C41)</f>
        <v>0</v>
      </c>
      <c r="D39" s="141">
        <f t="shared" si="10"/>
        <v>0</v>
      </c>
      <c r="E39" s="141">
        <f t="shared" si="10"/>
        <v>0</v>
      </c>
      <c r="F39" s="141">
        <f t="shared" si="10"/>
        <v>0</v>
      </c>
      <c r="G39" s="141">
        <f t="shared" si="10"/>
        <v>0</v>
      </c>
      <c r="H39" s="141">
        <f t="shared" si="10"/>
        <v>0</v>
      </c>
      <c r="I39" s="141">
        <f t="shared" si="10"/>
        <v>0</v>
      </c>
      <c r="J39" s="141">
        <f t="shared" si="10"/>
        <v>0</v>
      </c>
      <c r="K39" s="142">
        <f t="shared" si="10"/>
        <v>0</v>
      </c>
    </row>
    <row r="40" spans="1:13" ht="12.75" customHeight="1" x14ac:dyDescent="0.25">
      <c r="A40" s="1184" t="s">
        <v>1270</v>
      </c>
      <c r="B40" s="73"/>
      <c r="C40" s="478">
        <v>0</v>
      </c>
      <c r="D40" s="479">
        <v>0</v>
      </c>
      <c r="E40" s="479">
        <v>0</v>
      </c>
      <c r="F40" s="479">
        <v>0</v>
      </c>
      <c r="G40" s="479">
        <v>0</v>
      </c>
      <c r="H40" s="480">
        <f>SUM(E40:G40)</f>
        <v>0</v>
      </c>
      <c r="I40" s="480">
        <f>IF(D40=0,C40+H40,D40+H40)</f>
        <v>0</v>
      </c>
      <c r="J40" s="479">
        <v>0</v>
      </c>
      <c r="K40" s="481">
        <v>0</v>
      </c>
    </row>
    <row r="41" spans="1:13" ht="12.75" customHeight="1" x14ac:dyDescent="0.25">
      <c r="A41" s="477"/>
      <c r="B41" s="73"/>
      <c r="C41" s="482">
        <v>0</v>
      </c>
      <c r="D41" s="144">
        <v>0</v>
      </c>
      <c r="E41" s="144">
        <v>0</v>
      </c>
      <c r="F41" s="144">
        <v>0</v>
      </c>
      <c r="G41" s="144">
        <v>0</v>
      </c>
      <c r="H41" s="145">
        <f>SUM(E41:G41)</f>
        <v>0</v>
      </c>
      <c r="I41" s="145">
        <f>IF(D41=0,C41+H41,D41+H41)</f>
        <v>0</v>
      </c>
      <c r="J41" s="144">
        <v>0</v>
      </c>
      <c r="K41" s="113">
        <v>0</v>
      </c>
    </row>
    <row r="42" spans="1:13" ht="12.75" customHeight="1" x14ac:dyDescent="0.25">
      <c r="A42" s="139" t="str">
        <f>A23</f>
        <v>District Municipality:</v>
      </c>
      <c r="B42" s="73"/>
      <c r="C42" s="476">
        <f t="shared" ref="C42:K42" si="11">SUM(C43:C44)</f>
        <v>0</v>
      </c>
      <c r="D42" s="141">
        <f t="shared" si="11"/>
        <v>0</v>
      </c>
      <c r="E42" s="141">
        <f t="shared" si="11"/>
        <v>0</v>
      </c>
      <c r="F42" s="141">
        <f t="shared" si="11"/>
        <v>0</v>
      </c>
      <c r="G42" s="141">
        <f t="shared" si="11"/>
        <v>0</v>
      </c>
      <c r="H42" s="141">
        <f t="shared" si="11"/>
        <v>0</v>
      </c>
      <c r="I42" s="141">
        <f t="shared" si="11"/>
        <v>0</v>
      </c>
      <c r="J42" s="141">
        <f t="shared" si="11"/>
        <v>0</v>
      </c>
      <c r="K42" s="142">
        <f t="shared" si="11"/>
        <v>0</v>
      </c>
    </row>
    <row r="43" spans="1:13" ht="12.75" customHeight="1" x14ac:dyDescent="0.25">
      <c r="A43" s="293" t="s">
        <v>156</v>
      </c>
      <c r="B43" s="73"/>
      <c r="C43" s="478">
        <v>0</v>
      </c>
      <c r="D43" s="479">
        <v>0</v>
      </c>
      <c r="E43" s="479">
        <v>0</v>
      </c>
      <c r="F43" s="479">
        <v>0</v>
      </c>
      <c r="G43" s="479">
        <v>0</v>
      </c>
      <c r="H43" s="480">
        <f>SUM(E43:G43)</f>
        <v>0</v>
      </c>
      <c r="I43" s="480">
        <f>IF(D43=0,C43+H43,D43+H43)</f>
        <v>0</v>
      </c>
      <c r="J43" s="479">
        <v>0</v>
      </c>
      <c r="K43" s="481">
        <v>0</v>
      </c>
    </row>
    <row r="44" spans="1:13" ht="12.75" customHeight="1" x14ac:dyDescent="0.25">
      <c r="A44" s="293"/>
      <c r="B44" s="73"/>
      <c r="C44" s="482">
        <v>0</v>
      </c>
      <c r="D44" s="144">
        <v>0</v>
      </c>
      <c r="E44" s="144">
        <v>0</v>
      </c>
      <c r="F44" s="144">
        <v>0</v>
      </c>
      <c r="G44" s="144">
        <v>0</v>
      </c>
      <c r="H44" s="145">
        <f>SUM(E44:G44)</f>
        <v>0</v>
      </c>
      <c r="I44" s="145">
        <f>IF(D44=0,C44+H44,D44+H44)</f>
        <v>0</v>
      </c>
      <c r="J44" s="144">
        <v>0</v>
      </c>
      <c r="K44" s="113">
        <v>0</v>
      </c>
    </row>
    <row r="45" spans="1:13" ht="12.75" customHeight="1" x14ac:dyDescent="0.25">
      <c r="A45" s="139" t="str">
        <f>A26</f>
        <v>Other grant providers:</v>
      </c>
      <c r="B45" s="73"/>
      <c r="C45" s="476">
        <f t="shared" ref="C45:K45" si="12">SUM(C46:C47)</f>
        <v>0</v>
      </c>
      <c r="D45" s="141">
        <f t="shared" si="12"/>
        <v>0</v>
      </c>
      <c r="E45" s="141">
        <f t="shared" si="12"/>
        <v>0</v>
      </c>
      <c r="F45" s="141">
        <f t="shared" si="12"/>
        <v>0</v>
      </c>
      <c r="G45" s="141">
        <f t="shared" si="12"/>
        <v>0</v>
      </c>
      <c r="H45" s="141">
        <f t="shared" si="12"/>
        <v>0</v>
      </c>
      <c r="I45" s="141">
        <f t="shared" si="12"/>
        <v>0</v>
      </c>
      <c r="J45" s="141">
        <f t="shared" si="12"/>
        <v>0</v>
      </c>
      <c r="K45" s="142">
        <f t="shared" si="12"/>
        <v>0</v>
      </c>
    </row>
    <row r="46" spans="1:13" ht="12.75" customHeight="1" x14ac:dyDescent="0.25">
      <c r="A46" s="293" t="s">
        <v>156</v>
      </c>
      <c r="B46" s="73"/>
      <c r="C46" s="478">
        <v>0</v>
      </c>
      <c r="D46" s="479">
        <v>0</v>
      </c>
      <c r="E46" s="479">
        <v>0</v>
      </c>
      <c r="F46" s="479">
        <v>0</v>
      </c>
      <c r="G46" s="479">
        <v>0</v>
      </c>
      <c r="H46" s="480">
        <f>SUM(E46:G46)</f>
        <v>0</v>
      </c>
      <c r="I46" s="480">
        <f>IF(D46=0,C46+H46,D46+H46)</f>
        <v>0</v>
      </c>
      <c r="J46" s="479">
        <v>0</v>
      </c>
      <c r="K46" s="481">
        <v>0</v>
      </c>
    </row>
    <row r="47" spans="1:13" ht="12.75" customHeight="1" x14ac:dyDescent="0.25">
      <c r="A47" s="293"/>
      <c r="B47" s="73"/>
      <c r="C47" s="482">
        <v>0</v>
      </c>
      <c r="D47" s="144">
        <v>0</v>
      </c>
      <c r="E47" s="144">
        <v>0</v>
      </c>
      <c r="F47" s="144">
        <v>0</v>
      </c>
      <c r="G47" s="144">
        <v>0</v>
      </c>
      <c r="H47" s="145">
        <f>SUM(E47:G47)</f>
        <v>0</v>
      </c>
      <c r="I47" s="145">
        <f>IF(D47=0,C47+H47,D47+H47)</f>
        <v>0</v>
      </c>
      <c r="J47" s="144">
        <v>0</v>
      </c>
      <c r="K47" s="113">
        <v>0</v>
      </c>
    </row>
    <row r="48" spans="1:13" ht="12.75" customHeight="1" x14ac:dyDescent="0.25">
      <c r="A48" s="487" t="s">
        <v>1112</v>
      </c>
      <c r="B48" s="79">
        <v>6</v>
      </c>
      <c r="C48" s="485">
        <f t="shared" ref="C48:K48" si="13">C32+C39+C42+C45</f>
        <v>874054850</v>
      </c>
      <c r="D48" s="81">
        <f t="shared" si="13"/>
        <v>773197850</v>
      </c>
      <c r="E48" s="81">
        <f t="shared" si="13"/>
        <v>0</v>
      </c>
      <c r="F48" s="81">
        <f t="shared" si="13"/>
        <v>62291861</v>
      </c>
      <c r="G48" s="81">
        <f t="shared" si="13"/>
        <v>-8282372</v>
      </c>
      <c r="H48" s="81">
        <f t="shared" si="13"/>
        <v>54009489</v>
      </c>
      <c r="I48" s="81">
        <f>I32+I39+I42+I45</f>
        <v>827207339</v>
      </c>
      <c r="J48" s="81">
        <f t="shared" si="13"/>
        <v>623401750</v>
      </c>
      <c r="K48" s="82">
        <f t="shared" si="13"/>
        <v>526841450</v>
      </c>
    </row>
    <row r="49" spans="1:13" ht="12.75" customHeight="1" x14ac:dyDescent="0.25">
      <c r="A49" s="488" t="s">
        <v>1113</v>
      </c>
      <c r="B49" s="156"/>
      <c r="C49" s="116">
        <f t="shared" ref="C49:K49" si="14">C29+C48</f>
        <v>2061483000</v>
      </c>
      <c r="D49" s="117">
        <f t="shared" si="14"/>
        <v>2115626000</v>
      </c>
      <c r="E49" s="117">
        <f t="shared" si="14"/>
        <v>0</v>
      </c>
      <c r="F49" s="117">
        <f t="shared" si="14"/>
        <v>100212531</v>
      </c>
      <c r="G49" s="117">
        <f t="shared" si="14"/>
        <v>0</v>
      </c>
      <c r="H49" s="117">
        <f t="shared" si="14"/>
        <v>100212531</v>
      </c>
      <c r="I49" s="117">
        <f>I29+I48</f>
        <v>2215838531</v>
      </c>
      <c r="J49" s="117">
        <f t="shared" si="14"/>
        <v>1909557999.7880187</v>
      </c>
      <c r="K49" s="118">
        <f t="shared" si="14"/>
        <v>1923557999.9974196</v>
      </c>
    </row>
    <row r="50" spans="1:13" ht="12.75" customHeight="1" x14ac:dyDescent="0.25">
      <c r="A50" s="158" t="str">
        <f>head27a</f>
        <v>References</v>
      </c>
      <c r="B50" s="93"/>
      <c r="C50" s="96"/>
      <c r="D50" s="96"/>
      <c r="E50" s="96"/>
      <c r="F50" s="96"/>
      <c r="G50" s="96"/>
      <c r="H50" s="96"/>
      <c r="I50" s="96"/>
      <c r="J50" s="96"/>
      <c r="K50" s="96"/>
    </row>
    <row r="51" spans="1:13" ht="12.75" customHeight="1" x14ac:dyDescent="0.25">
      <c r="A51" s="99" t="s">
        <v>158</v>
      </c>
      <c r="B51" s="93"/>
      <c r="C51" s="96"/>
      <c r="D51" s="96"/>
      <c r="E51" s="96"/>
      <c r="F51" s="96"/>
      <c r="G51" s="96"/>
      <c r="H51" s="96"/>
      <c r="I51" s="96"/>
      <c r="J51" s="96"/>
      <c r="K51" s="96"/>
    </row>
    <row r="52" spans="1:13" ht="12.75" customHeight="1" x14ac:dyDescent="0.25">
      <c r="A52" s="99" t="s">
        <v>544</v>
      </c>
      <c r="B52" s="93"/>
      <c r="C52" s="96"/>
      <c r="D52" s="96"/>
      <c r="E52" s="96"/>
      <c r="F52" s="96"/>
      <c r="G52" s="96"/>
      <c r="H52" s="96"/>
      <c r="I52" s="96"/>
      <c r="J52" s="96"/>
      <c r="K52" s="96"/>
    </row>
    <row r="53" spans="1:13" ht="12.75" customHeight="1" x14ac:dyDescent="0.25">
      <c r="A53" s="99" t="s">
        <v>159</v>
      </c>
      <c r="B53" s="93"/>
      <c r="C53" s="96"/>
      <c r="D53" s="96"/>
      <c r="E53" s="96"/>
      <c r="F53" s="96"/>
      <c r="G53" s="96"/>
      <c r="H53" s="96"/>
      <c r="I53" s="96"/>
      <c r="J53" s="96"/>
      <c r="K53" s="96"/>
    </row>
    <row r="54" spans="1:13" ht="12.75" customHeight="1" x14ac:dyDescent="0.25">
      <c r="A54" s="95" t="s">
        <v>161</v>
      </c>
      <c r="B54" s="93"/>
      <c r="C54" s="96"/>
      <c r="D54" s="96"/>
      <c r="E54" s="96"/>
      <c r="F54" s="96"/>
      <c r="G54" s="96"/>
      <c r="H54" s="96"/>
      <c r="I54" s="96"/>
      <c r="J54" s="96"/>
      <c r="K54" s="96"/>
    </row>
    <row r="55" spans="1:13" ht="12.75" customHeight="1" x14ac:dyDescent="0.25">
      <c r="A55" s="489" t="s">
        <v>162</v>
      </c>
      <c r="B55" s="93"/>
      <c r="C55" s="96"/>
      <c r="D55" s="96"/>
      <c r="E55" s="96"/>
      <c r="F55" s="96"/>
      <c r="G55" s="96"/>
      <c r="H55" s="96"/>
      <c r="I55" s="96"/>
      <c r="J55" s="96"/>
      <c r="K55" s="96"/>
    </row>
    <row r="56" spans="1:13" ht="12.75" customHeight="1" x14ac:dyDescent="0.25">
      <c r="A56" s="489" t="s">
        <v>163</v>
      </c>
      <c r="B56" s="160"/>
      <c r="C56" s="490"/>
      <c r="D56" s="490"/>
      <c r="E56" s="490"/>
      <c r="F56" s="490"/>
      <c r="G56" s="490"/>
      <c r="H56" s="490"/>
      <c r="I56" s="490"/>
      <c r="J56" s="490"/>
      <c r="K56" s="491"/>
    </row>
    <row r="57" spans="1:13" ht="12.75" customHeight="1" x14ac:dyDescent="0.25">
      <c r="A57" s="1402" t="s">
        <v>984</v>
      </c>
      <c r="B57" s="1402"/>
      <c r="C57" s="1402"/>
      <c r="D57" s="1402"/>
      <c r="E57" s="1402"/>
      <c r="F57" s="1402"/>
      <c r="G57" s="1402"/>
      <c r="H57" s="1402"/>
      <c r="I57" s="1402"/>
      <c r="J57" s="1402"/>
      <c r="K57" s="1402"/>
    </row>
    <row r="58" spans="1:13" ht="12.75" customHeight="1" x14ac:dyDescent="0.25">
      <c r="A58" s="99" t="s">
        <v>1180</v>
      </c>
      <c r="B58" s="99"/>
      <c r="C58" s="99"/>
      <c r="D58" s="99"/>
      <c r="E58" s="99"/>
      <c r="F58" s="99"/>
      <c r="G58" s="99"/>
      <c r="H58" s="99"/>
      <c r="I58" s="99"/>
      <c r="J58" s="99"/>
      <c r="K58" s="98"/>
    </row>
    <row r="59" spans="1:13" ht="12.75" customHeight="1" x14ac:dyDescent="0.25">
      <c r="A59" s="99" t="s">
        <v>634</v>
      </c>
      <c r="B59" s="93"/>
      <c r="C59" s="96"/>
      <c r="D59" s="96"/>
      <c r="E59" s="96"/>
      <c r="F59" s="96"/>
      <c r="G59" s="96"/>
      <c r="H59" s="96"/>
      <c r="I59" s="96"/>
      <c r="J59" s="96"/>
      <c r="K59" s="96"/>
    </row>
    <row r="60" spans="1:13" ht="24.95" customHeight="1" x14ac:dyDescent="0.25">
      <c r="A60" s="1402" t="s">
        <v>164</v>
      </c>
      <c r="B60" s="1402"/>
      <c r="C60" s="1402"/>
      <c r="D60" s="1402"/>
      <c r="E60" s="1402"/>
      <c r="F60" s="1402"/>
      <c r="G60" s="1402"/>
      <c r="H60" s="1402"/>
      <c r="I60" s="1402"/>
      <c r="J60" s="1402"/>
      <c r="K60" s="1402"/>
      <c r="L60" s="54"/>
      <c r="M60" s="54"/>
    </row>
    <row r="61" spans="1:13" ht="12.75" customHeight="1" x14ac:dyDescent="0.25">
      <c r="A61" s="99" t="s">
        <v>165</v>
      </c>
      <c r="B61" s="93"/>
      <c r="C61" s="96"/>
      <c r="D61" s="96"/>
      <c r="E61" s="96"/>
      <c r="F61" s="96"/>
      <c r="G61" s="96"/>
      <c r="H61" s="96"/>
      <c r="I61" s="96"/>
      <c r="J61" s="96"/>
      <c r="K61" s="96"/>
    </row>
    <row r="62" spans="1:13" ht="12.75" customHeight="1" x14ac:dyDescent="0.25">
      <c r="A62" s="99" t="s">
        <v>166</v>
      </c>
      <c r="B62" s="99"/>
      <c r="C62" s="99"/>
      <c r="D62" s="99"/>
      <c r="E62" s="99"/>
      <c r="F62" s="99"/>
      <c r="G62" s="99"/>
      <c r="H62" s="99"/>
      <c r="I62" s="99"/>
      <c r="J62" s="99"/>
      <c r="K62" s="99"/>
    </row>
    <row r="63" spans="1:13" ht="11.25" customHeight="1" x14ac:dyDescent="0.25"/>
    <row r="64" spans="1:13"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row r="80" ht="11.25" customHeight="1" x14ac:dyDescent="0.25"/>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sheetData>
  <sheetProtection sheet="1" objects="1" scenarios="1"/>
  <mergeCells count="5">
    <mergeCell ref="A60:K60"/>
    <mergeCell ref="A57:K57"/>
    <mergeCell ref="A2:A4"/>
    <mergeCell ref="B2:B4"/>
    <mergeCell ref="C2:I2"/>
  </mergeCells>
  <phoneticPr fontId="4" type="noConversion"/>
  <dataValidations count="4">
    <dataValidation type="list" allowBlank="1" showInputMessage="1" showErrorMessage="1" sqref="A11:A15">
      <formula1>NatOpexGrantNames</formula1>
    </dataValidation>
    <dataValidation type="list" allowBlank="1" showInputMessage="1" showErrorMessage="1" sqref="A18:A21">
      <formula1>ProvOpexGrantNames</formula1>
    </dataValidation>
    <dataValidation type="list" allowBlank="1" showInputMessage="1" showErrorMessage="1" sqref="A33:A37">
      <formula1>NatCapexGrantNames</formula1>
    </dataValidation>
    <dataValidation showInputMessage="1" showErrorMessage="1" prompt="Select transfer/grant description" sqref="A10"/>
  </dataValidations>
  <printOptions horizontalCentered="1"/>
  <pageMargins left="0.35433070866141736" right="0.15748031496062992" top="0.78740157480314965" bottom="0.78740157480314965" header="0.51181102362204722" footer="0.51181102362204722"/>
  <pageSetup paperSize="9" scale="86"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8">
    <tabColor indexed="42"/>
    <pageSetUpPr fitToPage="1"/>
  </sheetPr>
  <dimension ref="A1:K83"/>
  <sheetViews>
    <sheetView showGridLines="0" showZeros="0" zoomScaleNormal="100" workbookViewId="0">
      <pane xSplit="2" ySplit="5" topLeftCell="C21" activePane="bottomRight" state="frozen"/>
      <selection activeCell="C6" sqref="C6"/>
      <selection pane="topRight" activeCell="C6" sqref="C6"/>
      <selection pane="bottomLeft" activeCell="C6" sqref="C6"/>
      <selection pane="bottomRight" activeCell="K50" sqref="C50:K50"/>
    </sheetView>
  </sheetViews>
  <sheetFormatPr defaultColWidth="9.140625" defaultRowHeight="12.75" x14ac:dyDescent="0.25"/>
  <cols>
    <col min="1" max="1" width="40.7109375" style="5" customWidth="1"/>
    <col min="2" max="2" width="3.140625" style="58" customWidth="1"/>
    <col min="3" max="11" width="9.140625" style="5"/>
    <col min="12" max="12" width="9.85546875" style="5" customWidth="1"/>
    <col min="13" max="13" width="9.5703125" style="5" customWidth="1"/>
    <col min="14" max="14" width="9.85546875" style="5" customWidth="1"/>
    <col min="15" max="17" width="9.5703125" style="5" customWidth="1"/>
    <col min="18" max="18" width="9.85546875" style="5" customWidth="1"/>
    <col min="19" max="21" width="9.5703125" style="5" customWidth="1"/>
    <col min="22" max="23" width="9.85546875" style="5" customWidth="1"/>
    <col min="24" max="16384" width="9.140625" style="5"/>
  </cols>
  <sheetData>
    <row r="1" spans="1:11" ht="13.5" x14ac:dyDescent="0.25">
      <c r="A1" s="57" t="str">
        <f>muni&amp;" - "&amp;ADJB8&amp;" - "&amp;Date</f>
        <v>LIM354 Polokwane - Supporting Table SB8 Adjustments Budget - expenditure on transfers and grant programme - 2020</v>
      </c>
      <c r="B1" s="5"/>
      <c r="C1" s="58"/>
    </row>
    <row r="2" spans="1:11" ht="25.5" x14ac:dyDescent="0.25">
      <c r="A2" s="1406" t="str">
        <f>desc</f>
        <v>Description</v>
      </c>
      <c r="B2" s="1406" t="str">
        <f>head27</f>
        <v>Ref</v>
      </c>
      <c r="C2" s="1403" t="str">
        <f>Head2</f>
        <v>Budget Year 2020/21</v>
      </c>
      <c r="D2" s="1404"/>
      <c r="E2" s="1404"/>
      <c r="F2" s="1404"/>
      <c r="G2" s="1404"/>
      <c r="H2" s="1404"/>
      <c r="I2" s="1404"/>
      <c r="J2" s="103" t="str">
        <f>Head10</f>
        <v>Budget Year +1 2021/22</v>
      </c>
      <c r="K2" s="61" t="str">
        <f>Head11</f>
        <v>Budget Year +2 2022/23</v>
      </c>
    </row>
    <row r="3" spans="1:11" ht="25.5" x14ac:dyDescent="0.25">
      <c r="A3" s="1407"/>
      <c r="B3" s="1407"/>
      <c r="C3" s="62" t="str">
        <f>Head6</f>
        <v>Original Budget</v>
      </c>
      <c r="D3" s="10" t="str">
        <f>Head54</f>
        <v>Prior Adjusted</v>
      </c>
      <c r="E3" s="10" t="str">
        <f>Head52</f>
        <v>Multi-year capital</v>
      </c>
      <c r="F3" s="10" t="str">
        <f>Head55</f>
        <v>Nat. or Prov. Govt</v>
      </c>
      <c r="G3" s="11" t="str">
        <f>Head50</f>
        <v>Other Adjusts.</v>
      </c>
      <c r="H3" s="11" t="str">
        <f>Head56</f>
        <v>Total Adjusts.</v>
      </c>
      <c r="I3" s="11" t="str">
        <f>Head7</f>
        <v>Adjusted Budget</v>
      </c>
      <c r="J3" s="11" t="str">
        <f>Head7</f>
        <v>Adjusted Budget</v>
      </c>
      <c r="K3" s="13" t="str">
        <f>Head7</f>
        <v>Adjusted Budget</v>
      </c>
    </row>
    <row r="4" spans="1:11" x14ac:dyDescent="0.25">
      <c r="A4" s="1407"/>
      <c r="B4" s="1407"/>
      <c r="C4" s="65"/>
      <c r="D4" s="15">
        <v>2</v>
      </c>
      <c r="E4" s="15">
        <v>3</v>
      </c>
      <c r="F4" s="15">
        <v>4</v>
      </c>
      <c r="G4" s="15">
        <v>5</v>
      </c>
      <c r="H4" s="15">
        <v>6</v>
      </c>
      <c r="I4" s="15">
        <v>7</v>
      </c>
      <c r="J4" s="15"/>
      <c r="K4" s="17"/>
    </row>
    <row r="5" spans="1:11" x14ac:dyDescent="0.25">
      <c r="A5" s="66" t="s">
        <v>603</v>
      </c>
      <c r="B5" s="104"/>
      <c r="C5" s="67" t="s">
        <v>547</v>
      </c>
      <c r="D5" s="68" t="s">
        <v>548</v>
      </c>
      <c r="E5" s="69" t="s">
        <v>549</v>
      </c>
      <c r="F5" s="69" t="s">
        <v>550</v>
      </c>
      <c r="G5" s="70" t="s">
        <v>551</v>
      </c>
      <c r="H5" s="70" t="s">
        <v>552</v>
      </c>
      <c r="I5" s="70" t="s">
        <v>553</v>
      </c>
      <c r="J5" s="70"/>
      <c r="K5" s="71"/>
    </row>
    <row r="6" spans="1:11" ht="12.75" customHeight="1" x14ac:dyDescent="0.25">
      <c r="A6" s="139" t="s">
        <v>167</v>
      </c>
      <c r="B6" s="73">
        <v>1</v>
      </c>
      <c r="C6" s="240"/>
      <c r="D6" s="75"/>
      <c r="E6" s="75"/>
      <c r="F6" s="75"/>
      <c r="G6" s="75"/>
      <c r="H6" s="75"/>
      <c r="I6" s="75"/>
      <c r="J6" s="75"/>
      <c r="K6" s="76"/>
    </row>
    <row r="7" spans="1:11" ht="5.0999999999999996" customHeight="1" x14ac:dyDescent="0.25">
      <c r="A7" s="139"/>
      <c r="B7" s="73"/>
      <c r="C7" s="240"/>
      <c r="D7" s="75"/>
      <c r="E7" s="75"/>
      <c r="F7" s="75"/>
      <c r="G7" s="75"/>
      <c r="H7" s="75"/>
      <c r="I7" s="75"/>
      <c r="J7" s="75"/>
      <c r="K7" s="76"/>
    </row>
    <row r="8" spans="1:11" ht="12.75" customHeight="1" x14ac:dyDescent="0.25">
      <c r="A8" s="486" t="s">
        <v>1105</v>
      </c>
      <c r="B8" s="73"/>
      <c r="C8" s="240"/>
      <c r="D8" s="75"/>
      <c r="E8" s="75"/>
      <c r="F8" s="75"/>
      <c r="G8" s="75"/>
      <c r="H8" s="75"/>
      <c r="I8" s="75"/>
      <c r="J8" s="75"/>
      <c r="K8" s="76"/>
    </row>
    <row r="9" spans="1:11" ht="12.75" customHeight="1" x14ac:dyDescent="0.25">
      <c r="A9" s="139" t="s">
        <v>152</v>
      </c>
      <c r="B9" s="73"/>
      <c r="C9" s="476">
        <f t="shared" ref="C9:K9" si="0">SUM(C10:C16)</f>
        <v>1187428150</v>
      </c>
      <c r="D9" s="141">
        <f t="shared" si="0"/>
        <v>1342428150</v>
      </c>
      <c r="E9" s="141">
        <f t="shared" si="0"/>
        <v>0</v>
      </c>
      <c r="F9" s="141">
        <f t="shared" si="0"/>
        <v>37266779</v>
      </c>
      <c r="G9" s="141">
        <f t="shared" si="0"/>
        <v>8282372</v>
      </c>
      <c r="H9" s="141">
        <f t="shared" si="0"/>
        <v>45549151</v>
      </c>
      <c r="I9" s="141">
        <f t="shared" si="0"/>
        <v>1387977301</v>
      </c>
      <c r="J9" s="141">
        <f t="shared" si="0"/>
        <v>1278156249.7880187</v>
      </c>
      <c r="K9" s="142">
        <f t="shared" si="0"/>
        <v>1396716549.9974196</v>
      </c>
    </row>
    <row r="10" spans="1:11" ht="12.75" customHeight="1" x14ac:dyDescent="0.25">
      <c r="A10" s="492" t="str">
        <f>'SB7'!A10</f>
        <v>Local Government Equitable Share</v>
      </c>
      <c r="B10" s="73"/>
      <c r="C10" s="478">
        <v>1007763000</v>
      </c>
      <c r="D10" s="479">
        <f>'SB7'!D10</f>
        <v>1181763000</v>
      </c>
      <c r="E10" s="479">
        <v>0</v>
      </c>
      <c r="F10" s="479">
        <f>'SB7'!F10</f>
        <v>0</v>
      </c>
      <c r="G10" s="479">
        <f>'SB7'!G10</f>
        <v>0</v>
      </c>
      <c r="H10" s="480">
        <f t="shared" ref="H10:H16" si="1">SUM(E10:G10)</f>
        <v>0</v>
      </c>
      <c r="I10" s="480">
        <f t="shared" ref="I10:I16" si="2">IF(D10=0,C10+H10,D10+H10)</f>
        <v>1181763000</v>
      </c>
      <c r="J10" s="479">
        <v>1102819000</v>
      </c>
      <c r="K10" s="481">
        <v>1196245000</v>
      </c>
    </row>
    <row r="11" spans="1:11" ht="12.75" customHeight="1" x14ac:dyDescent="0.25">
      <c r="A11" s="492" t="str">
        <f>'SB7'!A11</f>
        <v>EPWP Incentive (EPWP)</v>
      </c>
      <c r="B11" s="73"/>
      <c r="C11" s="382">
        <v>9527000</v>
      </c>
      <c r="D11" s="109">
        <f>'SB7'!D11</f>
        <v>9527000</v>
      </c>
      <c r="E11" s="109">
        <v>0</v>
      </c>
      <c r="F11" s="109">
        <f>'SB7'!F11</f>
        <v>0</v>
      </c>
      <c r="G11" s="109">
        <f>'SB7'!G11</f>
        <v>0</v>
      </c>
      <c r="H11" s="75">
        <f t="shared" si="1"/>
        <v>0</v>
      </c>
      <c r="I11" s="75">
        <f t="shared" si="2"/>
        <v>9527000</v>
      </c>
      <c r="J11" s="109">
        <v>0</v>
      </c>
      <c r="K11" s="110">
        <v>0</v>
      </c>
    </row>
    <row r="12" spans="1:11" ht="12.75" customHeight="1" x14ac:dyDescent="0.25">
      <c r="A12" s="492" t="str">
        <f>'SB7'!A12</f>
        <v>Integrated National Electrification Programme (INEP)</v>
      </c>
      <c r="B12" s="73"/>
      <c r="C12" s="382">
        <v>49000000</v>
      </c>
      <c r="D12" s="109">
        <f>'SB7'!D12</f>
        <v>29000000</v>
      </c>
      <c r="E12" s="109">
        <v>0</v>
      </c>
      <c r="F12" s="109">
        <f>'SB7'!F12</f>
        <v>0</v>
      </c>
      <c r="G12" s="109">
        <f>'SB7'!G12</f>
        <v>0</v>
      </c>
      <c r="H12" s="75">
        <f t="shared" si="1"/>
        <v>0</v>
      </c>
      <c r="I12" s="75">
        <f t="shared" si="2"/>
        <v>29000000</v>
      </c>
      <c r="J12" s="109">
        <v>30000000</v>
      </c>
      <c r="K12" s="110">
        <v>30000000</v>
      </c>
    </row>
    <row r="13" spans="1:11" ht="12.75" customHeight="1" x14ac:dyDescent="0.25">
      <c r="A13" s="492" t="str">
        <f>'SB7'!A13</f>
        <v>Finance Management Grant (FMG)</v>
      </c>
      <c r="B13" s="73"/>
      <c r="C13" s="382">
        <v>2500000</v>
      </c>
      <c r="D13" s="109">
        <f>'SB7'!D13</f>
        <v>2500000</v>
      </c>
      <c r="E13" s="109">
        <v>0</v>
      </c>
      <c r="F13" s="109">
        <f>'SB7'!F13</f>
        <v>0</v>
      </c>
      <c r="G13" s="109">
        <f>'SB7'!G13</f>
        <v>0</v>
      </c>
      <c r="H13" s="75">
        <f t="shared" si="1"/>
        <v>0</v>
      </c>
      <c r="I13" s="75">
        <f t="shared" si="2"/>
        <v>2500000</v>
      </c>
      <c r="J13" s="109">
        <v>2500000</v>
      </c>
      <c r="K13" s="110">
        <v>2500000</v>
      </c>
    </row>
    <row r="14" spans="1:11" ht="12.75" customHeight="1" x14ac:dyDescent="0.25">
      <c r="A14" s="492" t="str">
        <f>'SB7'!A14</f>
        <v>Intergrated Urban Develpmet Grant (IUDG)</v>
      </c>
      <c r="B14" s="73"/>
      <c r="C14" s="382">
        <v>47860150</v>
      </c>
      <c r="D14" s="109">
        <f>'SB7'!D14</f>
        <v>47860150</v>
      </c>
      <c r="E14" s="109">
        <v>0</v>
      </c>
      <c r="F14" s="109">
        <f>'SB7'!F14</f>
        <v>0</v>
      </c>
      <c r="G14" s="109">
        <f>'SB7'!G14</f>
        <v>800000</v>
      </c>
      <c r="H14" s="75">
        <f t="shared" si="1"/>
        <v>800000</v>
      </c>
      <c r="I14" s="75">
        <f t="shared" si="2"/>
        <v>48660150</v>
      </c>
      <c r="J14" s="109">
        <v>68337249.788018629</v>
      </c>
      <c r="K14" s="110">
        <v>90971549.997419581</v>
      </c>
    </row>
    <row r="15" spans="1:11" ht="12.75" customHeight="1" x14ac:dyDescent="0.25">
      <c r="A15" s="492" t="str">
        <f>'SB7'!A15</f>
        <v>Public Transport Network Grant (PTNG)</v>
      </c>
      <c r="B15" s="73"/>
      <c r="C15" s="382">
        <v>64500000</v>
      </c>
      <c r="D15" s="109">
        <f>'SB7'!D15</f>
        <v>65500000</v>
      </c>
      <c r="E15" s="109">
        <v>0</v>
      </c>
      <c r="F15" s="109">
        <f>'SB7'!F15</f>
        <v>37266779</v>
      </c>
      <c r="G15" s="109">
        <f>'SB7'!G15</f>
        <v>7482372</v>
      </c>
      <c r="H15" s="75">
        <f t="shared" si="1"/>
        <v>44749151</v>
      </c>
      <c r="I15" s="75">
        <f t="shared" si="2"/>
        <v>110249151</v>
      </c>
      <c r="J15" s="109">
        <v>68500000</v>
      </c>
      <c r="K15" s="110">
        <v>71000000</v>
      </c>
    </row>
    <row r="16" spans="1:11" ht="12.75" customHeight="1" x14ac:dyDescent="0.25">
      <c r="A16" s="802" t="str">
        <f>'SB7'!A16</f>
        <v>Infrastruction Skills Development Grant (ISDG)</v>
      </c>
      <c r="B16" s="73"/>
      <c r="C16" s="482">
        <v>6278000</v>
      </c>
      <c r="D16" s="144">
        <f>'SB7'!D16</f>
        <v>6278000</v>
      </c>
      <c r="E16" s="144">
        <v>0</v>
      </c>
      <c r="F16" s="144">
        <f>'SB7'!F16</f>
        <v>0</v>
      </c>
      <c r="G16" s="144">
        <f>'SB7'!G16</f>
        <v>0</v>
      </c>
      <c r="H16" s="145">
        <f t="shared" si="1"/>
        <v>0</v>
      </c>
      <c r="I16" s="145">
        <f t="shared" si="2"/>
        <v>6278000</v>
      </c>
      <c r="J16" s="144">
        <v>6000000</v>
      </c>
      <c r="K16" s="113">
        <v>6000000</v>
      </c>
    </row>
    <row r="17" spans="1:11" ht="12.75" customHeight="1" x14ac:dyDescent="0.25">
      <c r="A17" s="493" t="s">
        <v>154</v>
      </c>
      <c r="B17" s="73"/>
      <c r="C17" s="476">
        <f t="shared" ref="C17:K17" si="3">SUM(C18:C22)</f>
        <v>0</v>
      </c>
      <c r="D17" s="141">
        <f t="shared" si="3"/>
        <v>0</v>
      </c>
      <c r="E17" s="141">
        <f t="shared" si="3"/>
        <v>0</v>
      </c>
      <c r="F17" s="141">
        <f t="shared" si="3"/>
        <v>653891</v>
      </c>
      <c r="G17" s="141">
        <f t="shared" si="3"/>
        <v>0</v>
      </c>
      <c r="H17" s="141">
        <f t="shared" si="3"/>
        <v>653891</v>
      </c>
      <c r="I17" s="141">
        <f t="shared" si="3"/>
        <v>653891</v>
      </c>
      <c r="J17" s="141">
        <f t="shared" si="3"/>
        <v>8000000</v>
      </c>
      <c r="K17" s="142">
        <f t="shared" si="3"/>
        <v>0</v>
      </c>
    </row>
    <row r="18" spans="1:11" ht="12.75" customHeight="1" x14ac:dyDescent="0.25">
      <c r="A18" s="492" t="str">
        <f>'SB7'!A18</f>
        <v xml:space="preserve"> Energy Efficiency and Demand Side Management Grant (EEDSMG)</v>
      </c>
      <c r="B18" s="73"/>
      <c r="C18" s="478">
        <v>0</v>
      </c>
      <c r="D18" s="483">
        <v>0</v>
      </c>
      <c r="E18" s="479">
        <v>0</v>
      </c>
      <c r="F18" s="479">
        <f>'SB7'!F18</f>
        <v>653891</v>
      </c>
      <c r="G18" s="479">
        <f>'SB7'!G18</f>
        <v>0</v>
      </c>
      <c r="H18" s="480">
        <f>SUM(E18:G18)</f>
        <v>653891</v>
      </c>
      <c r="I18" s="480">
        <f>IF(D18=0,C18+H18,D18+H18)</f>
        <v>653891</v>
      </c>
      <c r="J18" s="479">
        <v>8000000</v>
      </c>
      <c r="K18" s="481">
        <v>0</v>
      </c>
    </row>
    <row r="19" spans="1:11" ht="12.75" customHeight="1" x14ac:dyDescent="0.25">
      <c r="A19" s="492">
        <f>'SB7'!A19</f>
        <v>0</v>
      </c>
      <c r="B19" s="73"/>
      <c r="C19" s="382">
        <v>0</v>
      </c>
      <c r="D19" s="130">
        <v>0</v>
      </c>
      <c r="E19" s="109">
        <v>0</v>
      </c>
      <c r="F19" s="109">
        <v>0</v>
      </c>
      <c r="G19" s="109">
        <v>0</v>
      </c>
      <c r="H19" s="75">
        <f>SUM(E19:G19)</f>
        <v>0</v>
      </c>
      <c r="I19" s="75">
        <f>IF(D19=0,C19+H19,D19+H19)</f>
        <v>0</v>
      </c>
      <c r="J19" s="109">
        <v>0</v>
      </c>
      <c r="K19" s="110">
        <v>0</v>
      </c>
    </row>
    <row r="20" spans="1:11" ht="12.75" customHeight="1" x14ac:dyDescent="0.25">
      <c r="A20" s="492">
        <f>'SB7'!A20</f>
        <v>0</v>
      </c>
      <c r="B20" s="73"/>
      <c r="C20" s="382">
        <v>0</v>
      </c>
      <c r="D20" s="130">
        <v>0</v>
      </c>
      <c r="E20" s="109">
        <v>0</v>
      </c>
      <c r="F20" s="109">
        <v>0</v>
      </c>
      <c r="G20" s="109">
        <v>0</v>
      </c>
      <c r="H20" s="75">
        <f>SUM(E20:G20)</f>
        <v>0</v>
      </c>
      <c r="I20" s="75">
        <f>IF(D20=0,C20+H20,D20+H20)</f>
        <v>0</v>
      </c>
      <c r="J20" s="109">
        <v>0</v>
      </c>
      <c r="K20" s="110">
        <v>0</v>
      </c>
    </row>
    <row r="21" spans="1:11" ht="12.75" customHeight="1" x14ac:dyDescent="0.25">
      <c r="A21" s="492">
        <f>'SB7'!A21</f>
        <v>0</v>
      </c>
      <c r="B21" s="73"/>
      <c r="C21" s="382">
        <v>0</v>
      </c>
      <c r="D21" s="130">
        <v>0</v>
      </c>
      <c r="E21" s="109">
        <v>0</v>
      </c>
      <c r="F21" s="109">
        <v>0</v>
      </c>
      <c r="G21" s="109">
        <v>0</v>
      </c>
      <c r="H21" s="75">
        <f>SUM(E21:G21)</f>
        <v>0</v>
      </c>
      <c r="I21" s="75">
        <f>IF(D21=0,C21+H21,D21+H21)</f>
        <v>0</v>
      </c>
      <c r="J21" s="109">
        <v>0</v>
      </c>
      <c r="K21" s="110">
        <v>0</v>
      </c>
    </row>
    <row r="22" spans="1:11" ht="12.75" customHeight="1" x14ac:dyDescent="0.25">
      <c r="A22" s="492" t="str">
        <f>'SB7'!A22</f>
        <v>Other transfers and grants [insert description]</v>
      </c>
      <c r="B22" s="73"/>
      <c r="C22" s="482">
        <v>0</v>
      </c>
      <c r="D22" s="144">
        <v>0</v>
      </c>
      <c r="E22" s="144">
        <v>0</v>
      </c>
      <c r="F22" s="144">
        <v>0</v>
      </c>
      <c r="G22" s="144">
        <v>0</v>
      </c>
      <c r="H22" s="145">
        <f>SUM(E22:G22)</f>
        <v>0</v>
      </c>
      <c r="I22" s="145">
        <f>IF(D22=0,C22+H22,D22+H22)</f>
        <v>0</v>
      </c>
      <c r="J22" s="144">
        <v>0</v>
      </c>
      <c r="K22" s="113">
        <v>0</v>
      </c>
    </row>
    <row r="23" spans="1:11" ht="12.75" customHeight="1" x14ac:dyDescent="0.25">
      <c r="A23" s="493" t="s">
        <v>155</v>
      </c>
      <c r="B23" s="73"/>
      <c r="C23" s="476">
        <f t="shared" ref="C23:K23" si="4">SUM(C24:C25)</f>
        <v>0</v>
      </c>
      <c r="D23" s="141">
        <f t="shared" si="4"/>
        <v>0</v>
      </c>
      <c r="E23" s="141">
        <f t="shared" si="4"/>
        <v>0</v>
      </c>
      <c r="F23" s="141">
        <f t="shared" si="4"/>
        <v>0</v>
      </c>
      <c r="G23" s="141">
        <f t="shared" si="4"/>
        <v>0</v>
      </c>
      <c r="H23" s="141">
        <f t="shared" si="4"/>
        <v>0</v>
      </c>
      <c r="I23" s="141">
        <f t="shared" si="4"/>
        <v>0</v>
      </c>
      <c r="J23" s="141">
        <f t="shared" si="4"/>
        <v>0</v>
      </c>
      <c r="K23" s="142">
        <f t="shared" si="4"/>
        <v>0</v>
      </c>
    </row>
    <row r="24" spans="1:11" ht="12.75" customHeight="1" x14ac:dyDescent="0.25">
      <c r="A24" s="494" t="str">
        <f>'SB7'!A24</f>
        <v>[insert description]</v>
      </c>
      <c r="B24" s="73"/>
      <c r="C24" s="478">
        <v>0</v>
      </c>
      <c r="D24" s="479">
        <v>0</v>
      </c>
      <c r="E24" s="479">
        <v>0</v>
      </c>
      <c r="F24" s="479">
        <v>0</v>
      </c>
      <c r="G24" s="479">
        <v>0</v>
      </c>
      <c r="H24" s="480">
        <f>SUM(E24:G24)</f>
        <v>0</v>
      </c>
      <c r="I24" s="480">
        <f>IF(D24=0,C24+H24,D24+H24)</f>
        <v>0</v>
      </c>
      <c r="J24" s="479">
        <v>0</v>
      </c>
      <c r="K24" s="481">
        <v>0</v>
      </c>
    </row>
    <row r="25" spans="1:11" ht="12.75" customHeight="1" x14ac:dyDescent="0.25">
      <c r="A25" s="494">
        <f>'SB7'!A25</f>
        <v>0</v>
      </c>
      <c r="B25" s="73"/>
      <c r="C25" s="482">
        <v>0</v>
      </c>
      <c r="D25" s="144">
        <v>0</v>
      </c>
      <c r="E25" s="144">
        <v>0</v>
      </c>
      <c r="F25" s="144">
        <v>0</v>
      </c>
      <c r="G25" s="144">
        <v>0</v>
      </c>
      <c r="H25" s="145">
        <f>SUM(E25:G25)</f>
        <v>0</v>
      </c>
      <c r="I25" s="145">
        <f>IF(D25=0,C25+H25,D25+H25)</f>
        <v>0</v>
      </c>
      <c r="J25" s="144">
        <v>0</v>
      </c>
      <c r="K25" s="113">
        <v>0</v>
      </c>
    </row>
    <row r="26" spans="1:11" ht="12.75" customHeight="1" x14ac:dyDescent="0.25">
      <c r="A26" s="493" t="s">
        <v>157</v>
      </c>
      <c r="B26" s="73"/>
      <c r="C26" s="240">
        <f t="shared" ref="C26:K26" si="5">SUM(C27:C28)</f>
        <v>0</v>
      </c>
      <c r="D26" s="75">
        <f t="shared" si="5"/>
        <v>0</v>
      </c>
      <c r="E26" s="75">
        <f t="shared" si="5"/>
        <v>0</v>
      </c>
      <c r="F26" s="75">
        <f t="shared" si="5"/>
        <v>0</v>
      </c>
      <c r="G26" s="75">
        <f t="shared" si="5"/>
        <v>0</v>
      </c>
      <c r="H26" s="75">
        <f t="shared" si="5"/>
        <v>0</v>
      </c>
      <c r="I26" s="75">
        <f t="shared" si="5"/>
        <v>0</v>
      </c>
      <c r="J26" s="75">
        <f t="shared" si="5"/>
        <v>0</v>
      </c>
      <c r="K26" s="76">
        <f t="shared" si="5"/>
        <v>0</v>
      </c>
    </row>
    <row r="27" spans="1:11" ht="12.75" customHeight="1" x14ac:dyDescent="0.25">
      <c r="A27" s="494" t="str">
        <f>'SB7'!A27</f>
        <v>[insert description]</v>
      </c>
      <c r="B27" s="73"/>
      <c r="C27" s="478">
        <v>0</v>
      </c>
      <c r="D27" s="479">
        <v>0</v>
      </c>
      <c r="E27" s="479">
        <v>0</v>
      </c>
      <c r="F27" s="479">
        <v>0</v>
      </c>
      <c r="G27" s="479">
        <v>0</v>
      </c>
      <c r="H27" s="480">
        <f>SUM(E27:G27)</f>
        <v>0</v>
      </c>
      <c r="I27" s="480">
        <f>IF(D27=0,C27+H27,D27+H27)</f>
        <v>0</v>
      </c>
      <c r="J27" s="479">
        <v>0</v>
      </c>
      <c r="K27" s="481">
        <v>0</v>
      </c>
    </row>
    <row r="28" spans="1:11" ht="12.75" customHeight="1" x14ac:dyDescent="0.25">
      <c r="A28" s="494">
        <f>'SB7'!A28</f>
        <v>0</v>
      </c>
      <c r="B28" s="73"/>
      <c r="C28" s="482">
        <v>0</v>
      </c>
      <c r="D28" s="144">
        <v>0</v>
      </c>
      <c r="E28" s="144">
        <v>0</v>
      </c>
      <c r="F28" s="144">
        <v>0</v>
      </c>
      <c r="G28" s="144">
        <v>0</v>
      </c>
      <c r="H28" s="145">
        <f>SUM(E28:G28)</f>
        <v>0</v>
      </c>
      <c r="I28" s="145">
        <f>IF(D28=0,C28+H28,D28+H28)</f>
        <v>0</v>
      </c>
      <c r="J28" s="144">
        <v>0</v>
      </c>
      <c r="K28" s="113">
        <v>0</v>
      </c>
    </row>
    <row r="29" spans="1:11" ht="12.75" customHeight="1" x14ac:dyDescent="0.25">
      <c r="A29" s="484" t="s">
        <v>1106</v>
      </c>
      <c r="B29" s="79"/>
      <c r="C29" s="485">
        <f t="shared" ref="C29:K29" si="6">C9+C17+C23+C26</f>
        <v>1187428150</v>
      </c>
      <c r="D29" s="81">
        <f t="shared" si="6"/>
        <v>1342428150</v>
      </c>
      <c r="E29" s="81">
        <f t="shared" si="6"/>
        <v>0</v>
      </c>
      <c r="F29" s="81">
        <f t="shared" si="6"/>
        <v>37920670</v>
      </c>
      <c r="G29" s="81">
        <f t="shared" si="6"/>
        <v>8282372</v>
      </c>
      <c r="H29" s="81">
        <f t="shared" si="6"/>
        <v>46203042</v>
      </c>
      <c r="I29" s="81">
        <f>I9+I17+I23+I26</f>
        <v>1388631192</v>
      </c>
      <c r="J29" s="81">
        <f t="shared" si="6"/>
        <v>1286156249.7880187</v>
      </c>
      <c r="K29" s="82">
        <f t="shared" si="6"/>
        <v>1396716549.9974196</v>
      </c>
    </row>
    <row r="30" spans="1:11" ht="5.0999999999999996" customHeight="1" x14ac:dyDescent="0.25">
      <c r="A30" s="136"/>
      <c r="B30" s="73"/>
      <c r="C30" s="240"/>
      <c r="D30" s="75"/>
      <c r="E30" s="75"/>
      <c r="F30" s="75"/>
      <c r="G30" s="75"/>
      <c r="H30" s="75"/>
      <c r="I30" s="75"/>
      <c r="J30" s="75"/>
      <c r="K30" s="76"/>
    </row>
    <row r="31" spans="1:11" ht="12.75" customHeight="1" x14ac:dyDescent="0.25">
      <c r="A31" s="486" t="s">
        <v>1107</v>
      </c>
      <c r="B31" s="73"/>
      <c r="C31" s="240"/>
      <c r="D31" s="75"/>
      <c r="E31" s="75"/>
      <c r="F31" s="75"/>
      <c r="G31" s="75"/>
      <c r="H31" s="75"/>
      <c r="I31" s="75"/>
      <c r="J31" s="75"/>
      <c r="K31" s="76"/>
    </row>
    <row r="32" spans="1:11" ht="12.75" customHeight="1" x14ac:dyDescent="0.25">
      <c r="A32" s="493" t="s">
        <v>152</v>
      </c>
      <c r="B32" s="73"/>
      <c r="C32" s="476">
        <f t="shared" ref="C32:K32" si="7">SUM(C33:C38)</f>
        <v>874054850</v>
      </c>
      <c r="D32" s="141">
        <f t="shared" si="7"/>
        <v>773197850</v>
      </c>
      <c r="E32" s="141">
        <f t="shared" si="7"/>
        <v>0</v>
      </c>
      <c r="F32" s="141">
        <f t="shared" si="7"/>
        <v>62291861</v>
      </c>
      <c r="G32" s="141">
        <f t="shared" si="7"/>
        <v>-8282372</v>
      </c>
      <c r="H32" s="141">
        <f t="shared" si="7"/>
        <v>54009489</v>
      </c>
      <c r="I32" s="141">
        <f t="shared" si="7"/>
        <v>827207339</v>
      </c>
      <c r="J32" s="141">
        <f t="shared" si="7"/>
        <v>623401750</v>
      </c>
      <c r="K32" s="142">
        <f t="shared" si="7"/>
        <v>526841450</v>
      </c>
    </row>
    <row r="33" spans="1:11" ht="12.75" customHeight="1" x14ac:dyDescent="0.25">
      <c r="A33" s="495" t="str">
        <f>'SB7'!A33</f>
        <v>Public Transport Network Grant (PTNG)</v>
      </c>
      <c r="B33" s="73"/>
      <c r="C33" s="478">
        <v>124792000</v>
      </c>
      <c r="D33" s="479">
        <f>'SB7'!D33</f>
        <v>93746000</v>
      </c>
      <c r="E33" s="479">
        <v>0</v>
      </c>
      <c r="F33" s="479">
        <f>'SB7'!F33</f>
        <v>31374025</v>
      </c>
      <c r="G33" s="479">
        <f>'SB7'!G33</f>
        <v>-7482372</v>
      </c>
      <c r="H33" s="480">
        <f t="shared" ref="H33:H38" si="8">SUM(E33:G33)</f>
        <v>23891653</v>
      </c>
      <c r="I33" s="480">
        <f t="shared" ref="I33:I38" si="9">IF(D33=0,C33+H33,D33+H33)</f>
        <v>117637653</v>
      </c>
      <c r="J33" s="479">
        <v>124814000</v>
      </c>
      <c r="K33" s="481">
        <v>133382000</v>
      </c>
    </row>
    <row r="34" spans="1:11" ht="12.75" customHeight="1" x14ac:dyDescent="0.25">
      <c r="A34" s="495" t="str">
        <f>'SB7'!A34</f>
        <v>Regional Bulk Infrastructure Grant (RBIG)</v>
      </c>
      <c r="B34" s="73"/>
      <c r="C34" s="382">
        <v>361157000</v>
      </c>
      <c r="D34" s="109">
        <f>'SB7'!D34</f>
        <v>284846000</v>
      </c>
      <c r="E34" s="109">
        <v>0</v>
      </c>
      <c r="F34" s="109">
        <f>'SB7'!F34</f>
        <v>15512779</v>
      </c>
      <c r="G34" s="109">
        <f>'SB7'!G34</f>
        <v>0</v>
      </c>
      <c r="H34" s="75">
        <f t="shared" si="8"/>
        <v>15512779</v>
      </c>
      <c r="I34" s="75">
        <f t="shared" si="9"/>
        <v>300358779</v>
      </c>
      <c r="J34" s="109">
        <v>100180000</v>
      </c>
      <c r="K34" s="110">
        <v>0</v>
      </c>
    </row>
    <row r="35" spans="1:11" ht="12.75" customHeight="1" x14ac:dyDescent="0.25">
      <c r="A35" s="495" t="str">
        <f>'SB7'!A35</f>
        <v>Neighbourhood Development Partnership Grant (NDPG)</v>
      </c>
      <c r="B35" s="73"/>
      <c r="C35" s="382">
        <v>35000000</v>
      </c>
      <c r="D35" s="109">
        <f>'SB7'!D35</f>
        <v>31500000</v>
      </c>
      <c r="E35" s="109">
        <v>0</v>
      </c>
      <c r="F35" s="109">
        <f>'SB7'!F35</f>
        <v>0</v>
      </c>
      <c r="G35" s="109">
        <f>'SB7'!G35</f>
        <v>0</v>
      </c>
      <c r="H35" s="75">
        <f t="shared" si="8"/>
        <v>0</v>
      </c>
      <c r="I35" s="75">
        <f t="shared" si="9"/>
        <v>31500000</v>
      </c>
      <c r="J35" s="109">
        <v>35000000</v>
      </c>
      <c r="K35" s="110">
        <v>35000000</v>
      </c>
    </row>
    <row r="36" spans="1:11" ht="12.75" customHeight="1" x14ac:dyDescent="0.25">
      <c r="A36" s="495" t="str">
        <f>'SB7'!A36</f>
        <v>Water Services Infrastructure Grant (WSIG)</v>
      </c>
      <c r="B36" s="73"/>
      <c r="C36" s="382">
        <v>50000000</v>
      </c>
      <c r="D36" s="109">
        <f>'SB7'!D36</f>
        <v>50000000</v>
      </c>
      <c r="E36" s="109">
        <v>0</v>
      </c>
      <c r="F36" s="109">
        <f>'SB7'!F36</f>
        <v>8067286</v>
      </c>
      <c r="G36" s="109">
        <f>'SB7'!G36</f>
        <v>0</v>
      </c>
      <c r="H36" s="75">
        <f t="shared" si="8"/>
        <v>8067286</v>
      </c>
      <c r="I36" s="75">
        <f t="shared" si="9"/>
        <v>58067286</v>
      </c>
      <c r="J36" s="109">
        <v>65000000</v>
      </c>
      <c r="K36" s="110">
        <v>60000000</v>
      </c>
    </row>
    <row r="37" spans="1:11" ht="12.75" customHeight="1" x14ac:dyDescent="0.25">
      <c r="A37" s="495" t="str">
        <f>'SB7'!A37</f>
        <v xml:space="preserve">Intergrated Urban Development  Grant (IUDG) </v>
      </c>
      <c r="B37" s="73"/>
      <c r="C37" s="382">
        <v>303105850</v>
      </c>
      <c r="D37" s="109">
        <f>'SB7'!D37</f>
        <v>303105850</v>
      </c>
      <c r="E37" s="109">
        <v>0</v>
      </c>
      <c r="F37" s="109">
        <f>'SB7'!F37</f>
        <v>0</v>
      </c>
      <c r="G37" s="109">
        <f>'SB7'!G37</f>
        <v>-800000</v>
      </c>
      <c r="H37" s="75">
        <f t="shared" si="8"/>
        <v>-800000</v>
      </c>
      <c r="I37" s="75">
        <f t="shared" si="9"/>
        <v>302305850</v>
      </c>
      <c r="J37" s="109">
        <v>298407750</v>
      </c>
      <c r="K37" s="110">
        <v>298459450</v>
      </c>
    </row>
    <row r="38" spans="1:11" ht="12.75" customHeight="1" x14ac:dyDescent="0.25">
      <c r="A38" s="495" t="str">
        <f>'SB7'!A38</f>
        <v>Integrated National Electrification Programme (INEP)</v>
      </c>
      <c r="B38" s="73"/>
      <c r="C38" s="482">
        <v>0</v>
      </c>
      <c r="D38" s="144">
        <f>'SB7'!D38</f>
        <v>10000000</v>
      </c>
      <c r="E38" s="144">
        <v>0</v>
      </c>
      <c r="F38" s="144">
        <f>'SB7'!F38</f>
        <v>7337771</v>
      </c>
      <c r="G38" s="144">
        <f>'SB7'!G38</f>
        <v>0</v>
      </c>
      <c r="H38" s="145">
        <f t="shared" si="8"/>
        <v>7337771</v>
      </c>
      <c r="I38" s="145">
        <f t="shared" si="9"/>
        <v>17337771</v>
      </c>
      <c r="J38" s="144"/>
      <c r="K38" s="113"/>
    </row>
    <row r="39" spans="1:11" ht="12.75" customHeight="1" x14ac:dyDescent="0.25">
      <c r="A39" s="493" t="s">
        <v>154</v>
      </c>
      <c r="B39" s="73"/>
      <c r="C39" s="476">
        <f t="shared" ref="C39:K39" si="10">SUM(C40:C41)</f>
        <v>0</v>
      </c>
      <c r="D39" s="141">
        <f t="shared" si="10"/>
        <v>0</v>
      </c>
      <c r="E39" s="141">
        <f t="shared" si="10"/>
        <v>0</v>
      </c>
      <c r="F39" s="141">
        <f t="shared" si="10"/>
        <v>0</v>
      </c>
      <c r="G39" s="141">
        <f t="shared" si="10"/>
        <v>0</v>
      </c>
      <c r="H39" s="141">
        <f t="shared" si="10"/>
        <v>0</v>
      </c>
      <c r="I39" s="141">
        <f t="shared" si="10"/>
        <v>0</v>
      </c>
      <c r="J39" s="141">
        <f t="shared" si="10"/>
        <v>0</v>
      </c>
      <c r="K39" s="142">
        <f t="shared" si="10"/>
        <v>0</v>
      </c>
    </row>
    <row r="40" spans="1:11" ht="12.75" customHeight="1" x14ac:dyDescent="0.25">
      <c r="A40" s="495" t="str">
        <f>'SB7'!A40</f>
        <v>Local Government Equitable Share</v>
      </c>
      <c r="B40" s="73"/>
      <c r="C40" s="478">
        <v>0</v>
      </c>
      <c r="D40" s="479">
        <v>0</v>
      </c>
      <c r="E40" s="479">
        <v>0</v>
      </c>
      <c r="F40" s="479">
        <v>0</v>
      </c>
      <c r="G40" s="479">
        <v>0</v>
      </c>
      <c r="H40" s="480">
        <f>SUM(E40:G40)</f>
        <v>0</v>
      </c>
      <c r="I40" s="480">
        <f>IF(D40=0,C40+H40,D40+H40)</f>
        <v>0</v>
      </c>
      <c r="J40" s="479">
        <v>0</v>
      </c>
      <c r="K40" s="481">
        <v>0</v>
      </c>
    </row>
    <row r="41" spans="1:11" ht="12.75" customHeight="1" x14ac:dyDescent="0.25">
      <c r="A41" s="495">
        <f>'SB7'!A41</f>
        <v>0</v>
      </c>
      <c r="B41" s="73"/>
      <c r="C41" s="482">
        <v>0</v>
      </c>
      <c r="D41" s="144">
        <v>0</v>
      </c>
      <c r="E41" s="144">
        <v>0</v>
      </c>
      <c r="F41" s="144">
        <v>0</v>
      </c>
      <c r="G41" s="144">
        <v>0</v>
      </c>
      <c r="H41" s="145">
        <f>SUM(E41:G41)</f>
        <v>0</v>
      </c>
      <c r="I41" s="145">
        <f>IF(D41=0,C41+H41,D41+H41)</f>
        <v>0</v>
      </c>
      <c r="J41" s="144">
        <v>0</v>
      </c>
      <c r="K41" s="113">
        <v>0</v>
      </c>
    </row>
    <row r="42" spans="1:11" ht="12.75" customHeight="1" x14ac:dyDescent="0.25">
      <c r="A42" s="493" t="s">
        <v>155</v>
      </c>
      <c r="B42" s="73"/>
      <c r="C42" s="476">
        <f t="shared" ref="C42:K42" si="11">SUM(C43:C44)</f>
        <v>0</v>
      </c>
      <c r="D42" s="141">
        <f t="shared" si="11"/>
        <v>0</v>
      </c>
      <c r="E42" s="141">
        <f t="shared" si="11"/>
        <v>0</v>
      </c>
      <c r="F42" s="141">
        <f t="shared" si="11"/>
        <v>0</v>
      </c>
      <c r="G42" s="141">
        <f t="shared" si="11"/>
        <v>0</v>
      </c>
      <c r="H42" s="141">
        <f t="shared" si="11"/>
        <v>0</v>
      </c>
      <c r="I42" s="141">
        <f t="shared" si="11"/>
        <v>0</v>
      </c>
      <c r="J42" s="141">
        <f t="shared" si="11"/>
        <v>0</v>
      </c>
      <c r="K42" s="142">
        <f t="shared" si="11"/>
        <v>0</v>
      </c>
    </row>
    <row r="43" spans="1:11" ht="12.75" customHeight="1" x14ac:dyDescent="0.25">
      <c r="A43" s="494" t="str">
        <f>'SB7'!A43</f>
        <v>[insert description]</v>
      </c>
      <c r="B43" s="73"/>
      <c r="C43" s="478">
        <v>0</v>
      </c>
      <c r="D43" s="479">
        <v>0</v>
      </c>
      <c r="E43" s="479">
        <v>0</v>
      </c>
      <c r="F43" s="479">
        <v>0</v>
      </c>
      <c r="G43" s="479">
        <v>0</v>
      </c>
      <c r="H43" s="480">
        <f>SUM(E43:G43)</f>
        <v>0</v>
      </c>
      <c r="I43" s="480">
        <f>IF(D43=0,C43+H43,D43+H43)</f>
        <v>0</v>
      </c>
      <c r="J43" s="479">
        <v>0</v>
      </c>
      <c r="K43" s="481">
        <v>0</v>
      </c>
    </row>
    <row r="44" spans="1:11" ht="12.75" customHeight="1" x14ac:dyDescent="0.25">
      <c r="A44" s="494">
        <f>'SB7'!A44</f>
        <v>0</v>
      </c>
      <c r="B44" s="73"/>
      <c r="C44" s="482">
        <v>0</v>
      </c>
      <c r="D44" s="144">
        <v>0</v>
      </c>
      <c r="E44" s="144">
        <v>0</v>
      </c>
      <c r="F44" s="144">
        <v>0</v>
      </c>
      <c r="G44" s="144">
        <v>0</v>
      </c>
      <c r="H44" s="145">
        <f>SUM(E44:G44)</f>
        <v>0</v>
      </c>
      <c r="I44" s="145">
        <f>IF(D44=0,C44+H44,D44+H44)</f>
        <v>0</v>
      </c>
      <c r="J44" s="144">
        <v>0</v>
      </c>
      <c r="K44" s="113">
        <v>0</v>
      </c>
    </row>
    <row r="45" spans="1:11" ht="12.75" customHeight="1" x14ac:dyDescent="0.25">
      <c r="A45" s="493" t="s">
        <v>157</v>
      </c>
      <c r="B45" s="73"/>
      <c r="C45" s="476">
        <f t="shared" ref="C45:K45" si="12">SUM(C46:C47)</f>
        <v>0</v>
      </c>
      <c r="D45" s="141">
        <f t="shared" si="12"/>
        <v>0</v>
      </c>
      <c r="E45" s="141">
        <f t="shared" si="12"/>
        <v>0</v>
      </c>
      <c r="F45" s="141">
        <f t="shared" si="12"/>
        <v>0</v>
      </c>
      <c r="G45" s="141">
        <f t="shared" si="12"/>
        <v>0</v>
      </c>
      <c r="H45" s="141">
        <f t="shared" si="12"/>
        <v>0</v>
      </c>
      <c r="I45" s="141">
        <f t="shared" si="12"/>
        <v>0</v>
      </c>
      <c r="J45" s="141">
        <f t="shared" si="12"/>
        <v>0</v>
      </c>
      <c r="K45" s="142">
        <f t="shared" si="12"/>
        <v>0</v>
      </c>
    </row>
    <row r="46" spans="1:11" ht="12.75" customHeight="1" x14ac:dyDescent="0.25">
      <c r="A46" s="494" t="str">
        <f>'SB7'!A46</f>
        <v>[insert description]</v>
      </c>
      <c r="B46" s="73"/>
      <c r="C46" s="478">
        <v>0</v>
      </c>
      <c r="D46" s="479">
        <v>0</v>
      </c>
      <c r="E46" s="479">
        <v>0</v>
      </c>
      <c r="F46" s="479">
        <v>0</v>
      </c>
      <c r="G46" s="479">
        <v>0</v>
      </c>
      <c r="H46" s="480">
        <f>SUM(E46:G46)</f>
        <v>0</v>
      </c>
      <c r="I46" s="480">
        <f>IF(D46=0,C46+H46,D46+H46)</f>
        <v>0</v>
      </c>
      <c r="J46" s="479">
        <v>0</v>
      </c>
      <c r="K46" s="481">
        <v>0</v>
      </c>
    </row>
    <row r="47" spans="1:11" ht="12.75" customHeight="1" x14ac:dyDescent="0.25">
      <c r="A47" s="494">
        <f>'SB7'!A47</f>
        <v>0</v>
      </c>
      <c r="B47" s="73"/>
      <c r="C47" s="482">
        <v>0</v>
      </c>
      <c r="D47" s="144">
        <v>0</v>
      </c>
      <c r="E47" s="144">
        <v>0</v>
      </c>
      <c r="F47" s="144">
        <v>0</v>
      </c>
      <c r="G47" s="144">
        <v>0</v>
      </c>
      <c r="H47" s="145">
        <f>SUM(E47:G47)</f>
        <v>0</v>
      </c>
      <c r="I47" s="145">
        <f>IF(D47=0,C47+H47,D47+H47)</f>
        <v>0</v>
      </c>
      <c r="J47" s="144">
        <v>0</v>
      </c>
      <c r="K47" s="113">
        <v>0</v>
      </c>
    </row>
    <row r="48" spans="1:11" ht="12.75" customHeight="1" x14ac:dyDescent="0.25">
      <c r="A48" s="487" t="s">
        <v>1108</v>
      </c>
      <c r="B48" s="105"/>
      <c r="C48" s="302">
        <f t="shared" ref="C48:K48" si="13">C32+C39+C42+C45</f>
        <v>874054850</v>
      </c>
      <c r="D48" s="151">
        <f t="shared" si="13"/>
        <v>773197850</v>
      </c>
      <c r="E48" s="151">
        <f t="shared" si="13"/>
        <v>0</v>
      </c>
      <c r="F48" s="151">
        <f t="shared" si="13"/>
        <v>62291861</v>
      </c>
      <c r="G48" s="151">
        <f t="shared" si="13"/>
        <v>-8282372</v>
      </c>
      <c r="H48" s="151">
        <f t="shared" si="13"/>
        <v>54009489</v>
      </c>
      <c r="I48" s="151">
        <f t="shared" si="13"/>
        <v>827207339</v>
      </c>
      <c r="J48" s="151">
        <f t="shared" si="13"/>
        <v>623401750</v>
      </c>
      <c r="K48" s="152">
        <f t="shared" si="13"/>
        <v>526841450</v>
      </c>
    </row>
    <row r="49" spans="1:11" ht="5.0999999999999996" customHeight="1" x14ac:dyDescent="0.25">
      <c r="A49" s="136"/>
      <c r="B49" s="73"/>
      <c r="C49" s="240"/>
      <c r="D49" s="75"/>
      <c r="E49" s="75"/>
      <c r="F49" s="75"/>
      <c r="G49" s="75"/>
      <c r="H49" s="75"/>
      <c r="I49" s="75"/>
      <c r="J49" s="75"/>
      <c r="K49" s="76"/>
    </row>
    <row r="50" spans="1:11" ht="12.75" customHeight="1" x14ac:dyDescent="0.25">
      <c r="A50" s="496" t="s">
        <v>1108</v>
      </c>
      <c r="B50" s="156"/>
      <c r="C50" s="116">
        <f t="shared" ref="C50:K50" si="14">C29+C48</f>
        <v>2061483000</v>
      </c>
      <c r="D50" s="117">
        <f t="shared" si="14"/>
        <v>2115626000</v>
      </c>
      <c r="E50" s="117">
        <f t="shared" si="14"/>
        <v>0</v>
      </c>
      <c r="F50" s="117">
        <f t="shared" si="14"/>
        <v>100212531</v>
      </c>
      <c r="G50" s="117">
        <f t="shared" si="14"/>
        <v>0</v>
      </c>
      <c r="H50" s="117">
        <f t="shared" si="14"/>
        <v>100212531</v>
      </c>
      <c r="I50" s="117">
        <f t="shared" si="14"/>
        <v>2215838531</v>
      </c>
      <c r="J50" s="117">
        <f t="shared" si="14"/>
        <v>1909557999.7880187</v>
      </c>
      <c r="K50" s="118">
        <f t="shared" si="14"/>
        <v>1923557999.9974196</v>
      </c>
    </row>
    <row r="51" spans="1:11" ht="12.75" customHeight="1" x14ac:dyDescent="0.25">
      <c r="A51" s="158" t="str">
        <f>head27a</f>
        <v>References</v>
      </c>
      <c r="B51" s="93"/>
      <c r="C51" s="99"/>
      <c r="D51" s="99"/>
      <c r="E51" s="99"/>
      <c r="F51" s="99"/>
      <c r="G51" s="99"/>
      <c r="H51" s="99"/>
      <c r="I51" s="99"/>
      <c r="J51" s="99"/>
      <c r="K51" s="99"/>
    </row>
    <row r="52" spans="1:11" ht="12.75" customHeight="1" x14ac:dyDescent="0.25">
      <c r="A52" s="99" t="s">
        <v>168</v>
      </c>
      <c r="B52" s="93"/>
      <c r="C52" s="99"/>
      <c r="D52" s="99"/>
      <c r="E52" s="99"/>
      <c r="F52" s="99"/>
      <c r="G52" s="99"/>
      <c r="H52" s="99"/>
      <c r="I52" s="99"/>
      <c r="J52" s="99"/>
      <c r="K52" s="99"/>
    </row>
    <row r="53" spans="1:11" ht="12.75" customHeight="1" x14ac:dyDescent="0.25">
      <c r="A53" s="99" t="s">
        <v>985</v>
      </c>
      <c r="B53" s="99"/>
      <c r="C53" s="99"/>
      <c r="D53" s="99"/>
      <c r="E53" s="99"/>
      <c r="F53" s="99"/>
      <c r="G53" s="99"/>
      <c r="H53" s="99"/>
      <c r="I53" s="99"/>
      <c r="J53" s="99"/>
      <c r="K53" s="99"/>
    </row>
    <row r="54" spans="1:11" ht="12.75" customHeight="1" x14ac:dyDescent="0.25">
      <c r="A54" s="99" t="s">
        <v>169</v>
      </c>
      <c r="B54" s="93"/>
      <c r="C54" s="99"/>
      <c r="D54" s="99"/>
      <c r="E54" s="99"/>
      <c r="F54" s="99"/>
      <c r="G54" s="99"/>
      <c r="H54" s="99"/>
      <c r="I54" s="99"/>
      <c r="J54" s="99"/>
      <c r="K54" s="99"/>
    </row>
    <row r="55" spans="1:11" ht="12.75" customHeight="1" x14ac:dyDescent="0.25">
      <c r="A55" s="99" t="s">
        <v>170</v>
      </c>
      <c r="B55" s="93"/>
      <c r="C55" s="99"/>
      <c r="D55" s="99"/>
      <c r="E55" s="99"/>
      <c r="F55" s="99"/>
      <c r="G55" s="99"/>
      <c r="H55" s="99"/>
      <c r="I55" s="99"/>
      <c r="J55" s="99"/>
      <c r="K55" s="99"/>
    </row>
    <row r="56" spans="1:11" ht="24.95" customHeight="1" x14ac:dyDescent="0.25">
      <c r="A56" s="1402" t="s">
        <v>171</v>
      </c>
      <c r="B56" s="1408"/>
      <c r="C56" s="1402"/>
      <c r="D56" s="1402"/>
      <c r="E56" s="1402"/>
      <c r="F56" s="1402"/>
      <c r="G56" s="1402"/>
      <c r="H56" s="1402"/>
      <c r="I56" s="1402"/>
      <c r="J56" s="1402"/>
      <c r="K56" s="1402"/>
    </row>
    <row r="57" spans="1:11" ht="12.75" customHeight="1" x14ac:dyDescent="0.25">
      <c r="A57" s="99" t="s">
        <v>172</v>
      </c>
      <c r="B57" s="93"/>
      <c r="C57" s="99"/>
      <c r="D57" s="99"/>
      <c r="E57" s="99"/>
      <c r="F57" s="99"/>
      <c r="G57" s="99"/>
      <c r="H57" s="99"/>
      <c r="I57" s="99"/>
      <c r="J57" s="99"/>
      <c r="K57" s="99"/>
    </row>
    <row r="58" spans="1:11" ht="12.75" customHeight="1" x14ac:dyDescent="0.25">
      <c r="A58" s="99" t="s">
        <v>173</v>
      </c>
      <c r="B58" s="93"/>
      <c r="C58" s="99"/>
      <c r="D58" s="99"/>
      <c r="E58" s="99"/>
      <c r="F58" s="99"/>
      <c r="G58" s="99"/>
      <c r="H58" s="99"/>
      <c r="I58" s="99"/>
      <c r="J58" s="99"/>
      <c r="K58" s="99"/>
    </row>
    <row r="59" spans="1:11" ht="11.25" customHeight="1" x14ac:dyDescent="0.25"/>
    <row r="60" spans="1:11" ht="11.25" customHeight="1" x14ac:dyDescent="0.25"/>
    <row r="61" spans="1:11" ht="11.25" customHeight="1" x14ac:dyDescent="0.25"/>
    <row r="62" spans="1:11" ht="11.25" customHeight="1" x14ac:dyDescent="0.25"/>
    <row r="63" spans="1:11" ht="11.25" customHeight="1" x14ac:dyDescent="0.25"/>
    <row r="64" spans="1:11"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row r="80" ht="11.25" customHeight="1" x14ac:dyDescent="0.25"/>
    <row r="81" ht="11.25" customHeight="1" x14ac:dyDescent="0.25"/>
    <row r="82" ht="11.25" customHeight="1" x14ac:dyDescent="0.25"/>
    <row r="83" ht="11.25" customHeight="1" x14ac:dyDescent="0.25"/>
  </sheetData>
  <sheetProtection sheet="1" objects="1" scenarios="1"/>
  <mergeCells count="4">
    <mergeCell ref="A56:K56"/>
    <mergeCell ref="A2:A4"/>
    <mergeCell ref="B2:B4"/>
    <mergeCell ref="C2:I2"/>
  </mergeCells>
  <phoneticPr fontId="4" type="noConversion"/>
  <printOptions horizontalCentered="1"/>
  <pageMargins left="0.35433070866141736" right="0.15748031496062992" top="0.78740157480314965" bottom="0.78740157480314965" header="0.51181102362204722" footer="0.51181102362204722"/>
  <pageSetup paperSize="9" scale="80"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9">
    <tabColor indexed="42"/>
    <pageSetUpPr fitToPage="1"/>
  </sheetPr>
  <dimension ref="A1:M89"/>
  <sheetViews>
    <sheetView showGridLines="0" zoomScaleNormal="100" workbookViewId="0">
      <pane xSplit="2" ySplit="5" topLeftCell="C39" activePane="bottomRight" state="frozen"/>
      <selection activeCell="C6" sqref="C6"/>
      <selection pane="topRight" activeCell="C6" sqref="C6"/>
      <selection pane="bottomLeft" activeCell="C6" sqref="C6"/>
      <selection pane="bottomRight" activeCell="F38" sqref="F38"/>
    </sheetView>
  </sheetViews>
  <sheetFormatPr defaultColWidth="9.140625" defaultRowHeight="12.75" x14ac:dyDescent="0.25"/>
  <cols>
    <col min="1" max="1" width="40.7109375" style="5" customWidth="1"/>
    <col min="2" max="2" width="3.140625" style="58" customWidth="1"/>
    <col min="3" max="3" width="9.28515625" style="5" customWidth="1"/>
    <col min="4" max="8" width="9.28515625" style="5" bestFit="1" customWidth="1"/>
    <col min="9" max="10" width="9.28515625" style="5" customWidth="1"/>
    <col min="11" max="11" width="9.140625" style="5"/>
    <col min="12" max="12" width="9.85546875" style="5" customWidth="1"/>
    <col min="13" max="13" width="9.5703125" style="5" customWidth="1"/>
    <col min="14" max="14" width="9.85546875" style="5" customWidth="1"/>
    <col min="15" max="17" width="9.5703125" style="5" customWidth="1"/>
    <col min="18" max="18" width="9.85546875" style="5" customWidth="1"/>
    <col min="19" max="21" width="9.5703125" style="5" customWidth="1"/>
    <col min="22" max="23" width="9.85546875" style="5" customWidth="1"/>
    <col min="24" max="16384" width="9.140625" style="5"/>
  </cols>
  <sheetData>
    <row r="1" spans="1:11" ht="13.5" x14ac:dyDescent="0.25">
      <c r="A1" s="57" t="str">
        <f>muni&amp;" - "&amp;ADJB9&amp;" - "&amp;Date</f>
        <v>LIM354 Polokwane - Supporting Table SB9 Adjustments Budget - reconciliation of transfers, grant receipts, and unspent funds - 2020</v>
      </c>
      <c r="B1" s="5"/>
      <c r="C1" s="58"/>
    </row>
    <row r="2" spans="1:11" ht="25.5" x14ac:dyDescent="0.25">
      <c r="A2" s="1406" t="str">
        <f>desc</f>
        <v>Description</v>
      </c>
      <c r="B2" s="1406" t="str">
        <f>head27</f>
        <v>Ref</v>
      </c>
      <c r="C2" s="1403" t="str">
        <f>Head2</f>
        <v>Budget Year 2020/21</v>
      </c>
      <c r="D2" s="1404"/>
      <c r="E2" s="1404"/>
      <c r="F2" s="1404"/>
      <c r="G2" s="1404"/>
      <c r="H2" s="1404"/>
      <c r="I2" s="1404"/>
      <c r="J2" s="103" t="str">
        <f>Head10</f>
        <v>Budget Year +1 2021/22</v>
      </c>
      <c r="K2" s="61" t="str">
        <f>Head11</f>
        <v>Budget Year +2 2022/23</v>
      </c>
    </row>
    <row r="3" spans="1:11" ht="25.5" x14ac:dyDescent="0.25">
      <c r="A3" s="1407"/>
      <c r="B3" s="1407"/>
      <c r="C3" s="62" t="str">
        <f>Head6</f>
        <v>Original Budget</v>
      </c>
      <c r="D3" s="10" t="str">
        <f>Head54</f>
        <v>Prior Adjusted</v>
      </c>
      <c r="E3" s="10" t="str">
        <f>Head52</f>
        <v>Multi-year capital</v>
      </c>
      <c r="F3" s="10" t="str">
        <f>Head55</f>
        <v>Nat. or Prov. Govt</v>
      </c>
      <c r="G3" s="11" t="str">
        <f>Head50</f>
        <v>Other Adjusts.</v>
      </c>
      <c r="H3" s="11" t="str">
        <f>Head56</f>
        <v>Total Adjusts.</v>
      </c>
      <c r="I3" s="11" t="str">
        <f>Head7</f>
        <v>Adjusted Budget</v>
      </c>
      <c r="J3" s="11" t="str">
        <f>Head7</f>
        <v>Adjusted Budget</v>
      </c>
      <c r="K3" s="13" t="str">
        <f>Head7</f>
        <v>Adjusted Budget</v>
      </c>
    </row>
    <row r="4" spans="1:11" x14ac:dyDescent="0.25">
      <c r="A4" s="1407"/>
      <c r="B4" s="1407"/>
      <c r="C4" s="65"/>
      <c r="D4" s="15">
        <v>2</v>
      </c>
      <c r="E4" s="15">
        <v>3</v>
      </c>
      <c r="F4" s="15">
        <v>4</v>
      </c>
      <c r="G4" s="15">
        <v>5</v>
      </c>
      <c r="H4" s="15">
        <v>6</v>
      </c>
      <c r="I4" s="15">
        <v>7</v>
      </c>
      <c r="J4" s="15"/>
      <c r="K4" s="17"/>
    </row>
    <row r="5" spans="1:11" x14ac:dyDescent="0.25">
      <c r="A5" s="66" t="s">
        <v>603</v>
      </c>
      <c r="B5" s="104"/>
      <c r="C5" s="67" t="s">
        <v>547</v>
      </c>
      <c r="D5" s="68" t="s">
        <v>548</v>
      </c>
      <c r="E5" s="69" t="s">
        <v>549</v>
      </c>
      <c r="F5" s="69" t="s">
        <v>550</v>
      </c>
      <c r="G5" s="70" t="s">
        <v>551</v>
      </c>
      <c r="H5" s="70" t="s">
        <v>552</v>
      </c>
      <c r="I5" s="70" t="s">
        <v>553</v>
      </c>
      <c r="J5" s="70"/>
      <c r="K5" s="71"/>
    </row>
    <row r="6" spans="1:11" ht="12.75" customHeight="1" x14ac:dyDescent="0.25">
      <c r="A6" s="126" t="s">
        <v>1097</v>
      </c>
      <c r="B6" s="73"/>
      <c r="C6" s="240"/>
      <c r="D6" s="75"/>
      <c r="E6" s="75"/>
      <c r="F6" s="75"/>
      <c r="G6" s="75"/>
      <c r="H6" s="75"/>
      <c r="I6" s="75"/>
      <c r="J6" s="75"/>
      <c r="K6" s="76"/>
    </row>
    <row r="7" spans="1:11" ht="12.75" customHeight="1" x14ac:dyDescent="0.25">
      <c r="A7" s="165" t="s">
        <v>152</v>
      </c>
      <c r="B7" s="73"/>
      <c r="C7" s="240"/>
      <c r="D7" s="75"/>
      <c r="E7" s="75"/>
      <c r="F7" s="75"/>
      <c r="G7" s="75"/>
      <c r="H7" s="75"/>
      <c r="I7" s="75"/>
      <c r="J7" s="75"/>
      <c r="K7" s="76"/>
    </row>
    <row r="8" spans="1:11" ht="12.75" customHeight="1" x14ac:dyDescent="0.25">
      <c r="A8" s="163" t="s">
        <v>174</v>
      </c>
      <c r="B8" s="73"/>
      <c r="C8" s="382">
        <v>0</v>
      </c>
      <c r="D8" s="109">
        <v>0</v>
      </c>
      <c r="E8" s="109">
        <v>0</v>
      </c>
      <c r="F8" s="109">
        <v>0</v>
      </c>
      <c r="G8" s="109">
        <v>0</v>
      </c>
      <c r="H8" s="75">
        <f>SUM(E8:G8)</f>
        <v>0</v>
      </c>
      <c r="I8" s="75">
        <f>IF(D8=0,C8+H8,D8+H8)</f>
        <v>0</v>
      </c>
      <c r="J8" s="109">
        <v>0</v>
      </c>
      <c r="K8" s="110">
        <v>0</v>
      </c>
    </row>
    <row r="9" spans="1:11" ht="12.75" customHeight="1" x14ac:dyDescent="0.25">
      <c r="A9" s="163" t="s">
        <v>175</v>
      </c>
      <c r="B9" s="73"/>
      <c r="C9" s="382">
        <f>'SB7'!C29</f>
        <v>1187428150</v>
      </c>
      <c r="D9" s="109">
        <f>'SB7'!D29</f>
        <v>1342428150</v>
      </c>
      <c r="E9" s="109">
        <f>'SB7'!E29</f>
        <v>0</v>
      </c>
      <c r="F9" s="109">
        <f>'SB7'!F29</f>
        <v>37920670</v>
      </c>
      <c r="G9" s="109">
        <f>'SB7'!G29</f>
        <v>8282372</v>
      </c>
      <c r="H9" s="75">
        <f>SUM(E9:G9)</f>
        <v>46203042</v>
      </c>
      <c r="I9" s="75">
        <f>IF(D9=0,C9+H9,D9+H9)</f>
        <v>1388631192</v>
      </c>
      <c r="J9" s="109">
        <v>1286156249.7880187</v>
      </c>
      <c r="K9" s="110">
        <v>1396716549.9974196</v>
      </c>
    </row>
    <row r="10" spans="1:11" ht="12.75" customHeight="1" x14ac:dyDescent="0.25">
      <c r="A10" s="497" t="s">
        <v>176</v>
      </c>
      <c r="B10" s="149"/>
      <c r="C10" s="485">
        <f t="shared" ref="C10:K10" si="0">C8+C9-C11</f>
        <v>1187428150</v>
      </c>
      <c r="D10" s="81">
        <f t="shared" si="0"/>
        <v>1342428150</v>
      </c>
      <c r="E10" s="81">
        <f t="shared" si="0"/>
        <v>0</v>
      </c>
      <c r="F10" s="81">
        <f t="shared" si="0"/>
        <v>37920670</v>
      </c>
      <c r="G10" s="81">
        <f t="shared" si="0"/>
        <v>8282372</v>
      </c>
      <c r="H10" s="81">
        <f t="shared" si="0"/>
        <v>46203042</v>
      </c>
      <c r="I10" s="81">
        <f t="shared" si="0"/>
        <v>1388631192</v>
      </c>
      <c r="J10" s="81">
        <f t="shared" si="0"/>
        <v>1286156249.7880187</v>
      </c>
      <c r="K10" s="82">
        <f t="shared" si="0"/>
        <v>1396716549.9974196</v>
      </c>
    </row>
    <row r="11" spans="1:11" ht="12.75" customHeight="1" x14ac:dyDescent="0.25">
      <c r="A11" s="163" t="s">
        <v>177</v>
      </c>
      <c r="B11" s="73"/>
      <c r="C11" s="382">
        <v>0</v>
      </c>
      <c r="D11" s="109">
        <v>0</v>
      </c>
      <c r="E11" s="109">
        <v>0</v>
      </c>
      <c r="F11" s="109">
        <v>0</v>
      </c>
      <c r="G11" s="109">
        <v>0</v>
      </c>
      <c r="H11" s="75">
        <f>SUM(E11:G11)</f>
        <v>0</v>
      </c>
      <c r="I11" s="75">
        <f>IF(D11=0,C11+H11,D11+H11)</f>
        <v>0</v>
      </c>
      <c r="J11" s="109">
        <v>0</v>
      </c>
      <c r="K11" s="110">
        <v>0</v>
      </c>
    </row>
    <row r="12" spans="1:11" ht="12.75" customHeight="1" x14ac:dyDescent="0.25">
      <c r="A12" s="498" t="s">
        <v>154</v>
      </c>
      <c r="B12" s="73"/>
      <c r="C12" s="240"/>
      <c r="D12" s="75"/>
      <c r="E12" s="75"/>
      <c r="F12" s="75"/>
      <c r="G12" s="75"/>
      <c r="H12" s="75"/>
      <c r="I12" s="75"/>
      <c r="J12" s="75"/>
      <c r="K12" s="76"/>
    </row>
    <row r="13" spans="1:11" ht="12.75" customHeight="1" x14ac:dyDescent="0.25">
      <c r="A13" s="163" t="s">
        <v>174</v>
      </c>
      <c r="B13" s="73"/>
      <c r="C13" s="382">
        <v>0</v>
      </c>
      <c r="D13" s="109">
        <v>0</v>
      </c>
      <c r="E13" s="109">
        <v>0</v>
      </c>
      <c r="F13" s="109">
        <v>0</v>
      </c>
      <c r="G13" s="109">
        <v>0</v>
      </c>
      <c r="H13" s="75">
        <f>SUM(E13:G13)</f>
        <v>0</v>
      </c>
      <c r="I13" s="75">
        <f>IF(D13=0,C13+H13,D13+H13)</f>
        <v>0</v>
      </c>
      <c r="J13" s="109">
        <v>0</v>
      </c>
      <c r="K13" s="110">
        <v>0</v>
      </c>
    </row>
    <row r="14" spans="1:11" ht="12.75" customHeight="1" x14ac:dyDescent="0.25">
      <c r="A14" s="499" t="str">
        <f>A9</f>
        <v>Current year receipts</v>
      </c>
      <c r="B14" s="73"/>
      <c r="C14" s="382">
        <v>0</v>
      </c>
      <c r="D14" s="109">
        <v>0</v>
      </c>
      <c r="E14" s="109">
        <v>0</v>
      </c>
      <c r="F14" s="109">
        <v>0</v>
      </c>
      <c r="G14" s="109">
        <v>0</v>
      </c>
      <c r="H14" s="75">
        <f>SUM(E14:G14)</f>
        <v>0</v>
      </c>
      <c r="I14" s="75">
        <f>IF(D14=0,C14+H14,D14+H14)</f>
        <v>0</v>
      </c>
      <c r="J14" s="109">
        <v>0</v>
      </c>
      <c r="K14" s="110">
        <v>0</v>
      </c>
    </row>
    <row r="15" spans="1:11" ht="12.75" customHeight="1" x14ac:dyDescent="0.25">
      <c r="A15" s="497" t="str">
        <f>A10</f>
        <v>Conditions met - transferred to revenue</v>
      </c>
      <c r="B15" s="149"/>
      <c r="C15" s="485">
        <f t="shared" ref="C15:K15" si="1">C13+C14-C16</f>
        <v>0</v>
      </c>
      <c r="D15" s="81">
        <f t="shared" si="1"/>
        <v>0</v>
      </c>
      <c r="E15" s="81">
        <f t="shared" si="1"/>
        <v>0</v>
      </c>
      <c r="F15" s="81">
        <f t="shared" si="1"/>
        <v>0</v>
      </c>
      <c r="G15" s="81">
        <f t="shared" si="1"/>
        <v>0</v>
      </c>
      <c r="H15" s="81">
        <f t="shared" si="1"/>
        <v>0</v>
      </c>
      <c r="I15" s="81">
        <f t="shared" si="1"/>
        <v>0</v>
      </c>
      <c r="J15" s="81">
        <f t="shared" si="1"/>
        <v>0</v>
      </c>
      <c r="K15" s="82">
        <f t="shared" si="1"/>
        <v>0</v>
      </c>
    </row>
    <row r="16" spans="1:11" ht="12.75" customHeight="1" x14ac:dyDescent="0.25">
      <c r="A16" s="499" t="str">
        <f>A11</f>
        <v>Conditions still to be met - transferred to liabilities</v>
      </c>
      <c r="B16" s="73"/>
      <c r="C16" s="382">
        <v>0</v>
      </c>
      <c r="D16" s="109">
        <v>0</v>
      </c>
      <c r="E16" s="109">
        <v>0</v>
      </c>
      <c r="F16" s="109">
        <v>0</v>
      </c>
      <c r="G16" s="109">
        <v>0</v>
      </c>
      <c r="H16" s="75">
        <f>SUM(E16:G16)</f>
        <v>0</v>
      </c>
      <c r="I16" s="75">
        <f>IF(D16=0,C16+H16,D16+H16)</f>
        <v>0</v>
      </c>
      <c r="J16" s="109">
        <v>0</v>
      </c>
      <c r="K16" s="110">
        <v>0</v>
      </c>
    </row>
    <row r="17" spans="1:11" ht="12.75" customHeight="1" x14ac:dyDescent="0.25">
      <c r="A17" s="498" t="s">
        <v>155</v>
      </c>
      <c r="B17" s="73"/>
      <c r="C17" s="240"/>
      <c r="D17" s="75"/>
      <c r="E17" s="75"/>
      <c r="F17" s="75"/>
      <c r="G17" s="75"/>
      <c r="H17" s="75"/>
      <c r="I17" s="75"/>
      <c r="J17" s="75"/>
      <c r="K17" s="76"/>
    </row>
    <row r="18" spans="1:11" ht="12.75" customHeight="1" x14ac:dyDescent="0.25">
      <c r="A18" s="163" t="str">
        <f>A13</f>
        <v>Balance unspent at beginning of the year</v>
      </c>
      <c r="B18" s="73"/>
      <c r="C18" s="382">
        <v>0</v>
      </c>
      <c r="D18" s="109">
        <v>0</v>
      </c>
      <c r="E18" s="109">
        <v>0</v>
      </c>
      <c r="F18" s="109">
        <v>0</v>
      </c>
      <c r="G18" s="109">
        <v>0</v>
      </c>
      <c r="H18" s="75">
        <f>SUM(E18:G18)</f>
        <v>0</v>
      </c>
      <c r="I18" s="75">
        <f>IF(D18=0,C18+H18,D18+H18)</f>
        <v>0</v>
      </c>
      <c r="J18" s="109">
        <v>0</v>
      </c>
      <c r="K18" s="110">
        <v>0</v>
      </c>
    </row>
    <row r="19" spans="1:11" ht="12.75" customHeight="1" x14ac:dyDescent="0.25">
      <c r="A19" s="499" t="str">
        <f>A14</f>
        <v>Current year receipts</v>
      </c>
      <c r="B19" s="73"/>
      <c r="C19" s="382">
        <v>0</v>
      </c>
      <c r="D19" s="109">
        <v>0</v>
      </c>
      <c r="E19" s="109">
        <v>0</v>
      </c>
      <c r="F19" s="109">
        <v>0</v>
      </c>
      <c r="G19" s="109">
        <v>0</v>
      </c>
      <c r="H19" s="75">
        <f>SUM(E19:G19)</f>
        <v>0</v>
      </c>
      <c r="I19" s="75">
        <f>IF(D19=0,C19+H19,D19+H19)</f>
        <v>0</v>
      </c>
      <c r="J19" s="109">
        <v>0</v>
      </c>
      <c r="K19" s="110">
        <v>0</v>
      </c>
    </row>
    <row r="20" spans="1:11" ht="12.75" customHeight="1" x14ac:dyDescent="0.25">
      <c r="A20" s="497" t="str">
        <f>A15</f>
        <v>Conditions met - transferred to revenue</v>
      </c>
      <c r="B20" s="149"/>
      <c r="C20" s="485">
        <f t="shared" ref="C20:K20" si="2">C18+C19-C21</f>
        <v>0</v>
      </c>
      <c r="D20" s="81">
        <f t="shared" si="2"/>
        <v>0</v>
      </c>
      <c r="E20" s="81">
        <f t="shared" si="2"/>
        <v>0</v>
      </c>
      <c r="F20" s="81">
        <f t="shared" si="2"/>
        <v>0</v>
      </c>
      <c r="G20" s="81">
        <f t="shared" si="2"/>
        <v>0</v>
      </c>
      <c r="H20" s="81">
        <f t="shared" si="2"/>
        <v>0</v>
      </c>
      <c r="I20" s="81">
        <f t="shared" si="2"/>
        <v>0</v>
      </c>
      <c r="J20" s="81">
        <f t="shared" si="2"/>
        <v>0</v>
      </c>
      <c r="K20" s="82">
        <f t="shared" si="2"/>
        <v>0</v>
      </c>
    </row>
    <row r="21" spans="1:11" ht="12.75" customHeight="1" x14ac:dyDescent="0.25">
      <c r="A21" s="499" t="str">
        <f>A16</f>
        <v>Conditions still to be met - transferred to liabilities</v>
      </c>
      <c r="B21" s="73"/>
      <c r="C21" s="382">
        <v>0</v>
      </c>
      <c r="D21" s="109">
        <v>0</v>
      </c>
      <c r="E21" s="109">
        <v>0</v>
      </c>
      <c r="F21" s="109">
        <v>0</v>
      </c>
      <c r="G21" s="109">
        <v>0</v>
      </c>
      <c r="H21" s="75">
        <f>SUM(E21:G21)</f>
        <v>0</v>
      </c>
      <c r="I21" s="75">
        <f>IF(D21=0,C21+H21,D21+H21)</f>
        <v>0</v>
      </c>
      <c r="J21" s="109">
        <v>0</v>
      </c>
      <c r="K21" s="110">
        <v>0</v>
      </c>
    </row>
    <row r="22" spans="1:11" ht="12.75" customHeight="1" x14ac:dyDescent="0.25">
      <c r="A22" s="498" t="s">
        <v>157</v>
      </c>
      <c r="B22" s="73"/>
      <c r="C22" s="240"/>
      <c r="D22" s="75"/>
      <c r="E22" s="75"/>
      <c r="F22" s="75"/>
      <c r="G22" s="75"/>
      <c r="H22" s="75"/>
      <c r="I22" s="75"/>
      <c r="J22" s="75"/>
      <c r="K22" s="76"/>
    </row>
    <row r="23" spans="1:11" ht="12.75" customHeight="1" x14ac:dyDescent="0.25">
      <c r="A23" s="499" t="str">
        <f>A13</f>
        <v>Balance unspent at beginning of the year</v>
      </c>
      <c r="B23" s="73"/>
      <c r="C23" s="382">
        <v>0</v>
      </c>
      <c r="D23" s="109">
        <v>0</v>
      </c>
      <c r="E23" s="109">
        <v>0</v>
      </c>
      <c r="F23" s="109">
        <v>0</v>
      </c>
      <c r="G23" s="109">
        <v>0</v>
      </c>
      <c r="H23" s="75">
        <f>SUM(E23:G23)</f>
        <v>0</v>
      </c>
      <c r="I23" s="75">
        <f>IF(D23=0,C23+H23,D23+H23)</f>
        <v>0</v>
      </c>
      <c r="J23" s="109">
        <v>0</v>
      </c>
      <c r="K23" s="110">
        <v>0</v>
      </c>
    </row>
    <row r="24" spans="1:11" ht="12.75" customHeight="1" x14ac:dyDescent="0.25">
      <c r="A24" s="499" t="str">
        <f>A14</f>
        <v>Current year receipts</v>
      </c>
      <c r="B24" s="73"/>
      <c r="C24" s="382">
        <v>0</v>
      </c>
      <c r="D24" s="109">
        <v>0</v>
      </c>
      <c r="E24" s="109">
        <v>0</v>
      </c>
      <c r="F24" s="109">
        <v>0</v>
      </c>
      <c r="G24" s="109">
        <v>0</v>
      </c>
      <c r="H24" s="75">
        <f>SUM(E24:G24)</f>
        <v>0</v>
      </c>
      <c r="I24" s="75">
        <f>IF(D24=0,C24+H24,D24+H24)</f>
        <v>0</v>
      </c>
      <c r="J24" s="109">
        <v>0</v>
      </c>
      <c r="K24" s="110">
        <v>0</v>
      </c>
    </row>
    <row r="25" spans="1:11" ht="12.75" customHeight="1" x14ac:dyDescent="0.25">
      <c r="A25" s="497" t="str">
        <f>A15</f>
        <v>Conditions met - transferred to revenue</v>
      </c>
      <c r="B25" s="149"/>
      <c r="C25" s="485">
        <f t="shared" ref="C25:K25" si="3">C23+C24-C26</f>
        <v>0</v>
      </c>
      <c r="D25" s="81">
        <f t="shared" si="3"/>
        <v>0</v>
      </c>
      <c r="E25" s="81">
        <f t="shared" si="3"/>
        <v>0</v>
      </c>
      <c r="F25" s="81">
        <f t="shared" si="3"/>
        <v>0</v>
      </c>
      <c r="G25" s="81">
        <f t="shared" si="3"/>
        <v>0</v>
      </c>
      <c r="H25" s="81">
        <f t="shared" si="3"/>
        <v>0</v>
      </c>
      <c r="I25" s="81">
        <f t="shared" si="3"/>
        <v>0</v>
      </c>
      <c r="J25" s="81">
        <f t="shared" si="3"/>
        <v>0</v>
      </c>
      <c r="K25" s="82">
        <f t="shared" si="3"/>
        <v>0</v>
      </c>
    </row>
    <row r="26" spans="1:11" ht="12.75" customHeight="1" x14ac:dyDescent="0.25">
      <c r="A26" s="499" t="str">
        <f>A16</f>
        <v>Conditions still to be met - transferred to liabilities</v>
      </c>
      <c r="B26" s="73"/>
      <c r="C26" s="382">
        <v>0</v>
      </c>
      <c r="D26" s="109">
        <v>0</v>
      </c>
      <c r="E26" s="109">
        <v>0</v>
      </c>
      <c r="F26" s="109">
        <v>0</v>
      </c>
      <c r="G26" s="109">
        <v>0</v>
      </c>
      <c r="H26" s="75">
        <f>SUM(E26:G26)</f>
        <v>0</v>
      </c>
      <c r="I26" s="75">
        <f>IF(D26=0,C26+H26,D26+H26)</f>
        <v>0</v>
      </c>
      <c r="J26" s="109">
        <v>0</v>
      </c>
      <c r="K26" s="110">
        <v>0</v>
      </c>
    </row>
    <row r="27" spans="1:11" ht="12.75" customHeight="1" x14ac:dyDescent="0.25">
      <c r="A27" s="162" t="s">
        <v>1098</v>
      </c>
      <c r="B27" s="79"/>
      <c r="C27" s="485">
        <f t="shared" ref="C27:K27" si="4">C10+C15+C20+C25</f>
        <v>1187428150</v>
      </c>
      <c r="D27" s="81">
        <f t="shared" si="4"/>
        <v>1342428150</v>
      </c>
      <c r="E27" s="81">
        <f t="shared" si="4"/>
        <v>0</v>
      </c>
      <c r="F27" s="81">
        <f t="shared" si="4"/>
        <v>37920670</v>
      </c>
      <c r="G27" s="81">
        <f t="shared" si="4"/>
        <v>8282372</v>
      </c>
      <c r="H27" s="81">
        <f t="shared" si="4"/>
        <v>46203042</v>
      </c>
      <c r="I27" s="81">
        <f t="shared" si="4"/>
        <v>1388631192</v>
      </c>
      <c r="J27" s="81">
        <f t="shared" si="4"/>
        <v>1286156249.7880187</v>
      </c>
      <c r="K27" s="82">
        <f t="shared" si="4"/>
        <v>1396716549.9974196</v>
      </c>
    </row>
    <row r="28" spans="1:11" ht="12.75" customHeight="1" x14ac:dyDescent="0.25">
      <c r="A28" s="162" t="s">
        <v>1099</v>
      </c>
      <c r="B28" s="79">
        <v>2</v>
      </c>
      <c r="C28" s="485">
        <f t="shared" ref="C28:K28" si="5">C11+C16+C21+C26</f>
        <v>0</v>
      </c>
      <c r="D28" s="81">
        <f t="shared" si="5"/>
        <v>0</v>
      </c>
      <c r="E28" s="81">
        <f t="shared" si="5"/>
        <v>0</v>
      </c>
      <c r="F28" s="81">
        <f t="shared" si="5"/>
        <v>0</v>
      </c>
      <c r="G28" s="81">
        <f t="shared" si="5"/>
        <v>0</v>
      </c>
      <c r="H28" s="81">
        <f t="shared" si="5"/>
        <v>0</v>
      </c>
      <c r="I28" s="81">
        <f t="shared" si="5"/>
        <v>0</v>
      </c>
      <c r="J28" s="81">
        <f t="shared" si="5"/>
        <v>0</v>
      </c>
      <c r="K28" s="82">
        <f t="shared" si="5"/>
        <v>0</v>
      </c>
    </row>
    <row r="29" spans="1:11" ht="5.0999999999999996" customHeight="1" x14ac:dyDescent="0.25">
      <c r="A29" s="136"/>
      <c r="B29" s="73"/>
      <c r="C29" s="240"/>
      <c r="D29" s="75"/>
      <c r="E29" s="75"/>
      <c r="F29" s="75"/>
      <c r="G29" s="75"/>
      <c r="H29" s="75"/>
      <c r="I29" s="75"/>
      <c r="J29" s="75"/>
      <c r="K29" s="76"/>
    </row>
    <row r="30" spans="1:11" ht="12.75" customHeight="1" x14ac:dyDescent="0.25">
      <c r="A30" s="126" t="s">
        <v>1100</v>
      </c>
      <c r="B30" s="73"/>
      <c r="C30" s="240"/>
      <c r="D30" s="75"/>
      <c r="E30" s="75"/>
      <c r="F30" s="75"/>
      <c r="G30" s="75"/>
      <c r="H30" s="75"/>
      <c r="I30" s="75"/>
      <c r="J30" s="75"/>
      <c r="K30" s="76"/>
    </row>
    <row r="31" spans="1:11" ht="12.75" customHeight="1" x14ac:dyDescent="0.25">
      <c r="A31" s="498" t="str">
        <f>A7</f>
        <v>National Government:</v>
      </c>
      <c r="B31" s="73"/>
      <c r="C31" s="240"/>
      <c r="D31" s="75"/>
      <c r="E31" s="75"/>
      <c r="F31" s="75"/>
      <c r="G31" s="75"/>
      <c r="H31" s="75"/>
      <c r="I31" s="75"/>
      <c r="J31" s="75"/>
      <c r="K31" s="76"/>
    </row>
    <row r="32" spans="1:11" ht="12.75" customHeight="1" x14ac:dyDescent="0.25">
      <c r="A32" s="163" t="s">
        <v>174</v>
      </c>
      <c r="B32" s="73"/>
      <c r="C32" s="382">
        <v>0</v>
      </c>
      <c r="D32" s="109">
        <v>0</v>
      </c>
      <c r="E32" s="109">
        <v>0</v>
      </c>
      <c r="F32" s="109">
        <v>0</v>
      </c>
      <c r="G32" s="109">
        <v>0</v>
      </c>
      <c r="H32" s="75">
        <f>SUM(E32:G32)</f>
        <v>0</v>
      </c>
      <c r="I32" s="75">
        <f>IF(D32=0,C32+H32,D32+H32)</f>
        <v>0</v>
      </c>
      <c r="J32" s="109">
        <v>0</v>
      </c>
      <c r="K32" s="110">
        <v>0</v>
      </c>
    </row>
    <row r="33" spans="1:11" ht="12.75" customHeight="1" x14ac:dyDescent="0.25">
      <c r="A33" s="163" t="s">
        <v>175</v>
      </c>
      <c r="B33" s="73"/>
      <c r="C33" s="382">
        <f>'SB7'!C32</f>
        <v>874054850</v>
      </c>
      <c r="D33" s="109">
        <f>'SB7'!D32</f>
        <v>773197850</v>
      </c>
      <c r="E33" s="109">
        <f>'SB7'!E32</f>
        <v>0</v>
      </c>
      <c r="F33" s="109">
        <f>'SB7'!F32</f>
        <v>62291861</v>
      </c>
      <c r="G33" s="109">
        <f>'SB7'!G32</f>
        <v>-8282372</v>
      </c>
      <c r="H33" s="75">
        <f>SUM(E33:G33)</f>
        <v>54009489</v>
      </c>
      <c r="I33" s="75">
        <f>IF(D33=0,C33+H33,D33+H33)</f>
        <v>827207339</v>
      </c>
      <c r="J33" s="109">
        <v>623401750</v>
      </c>
      <c r="K33" s="110">
        <v>526841450</v>
      </c>
    </row>
    <row r="34" spans="1:11" ht="12.75" customHeight="1" x14ac:dyDescent="0.25">
      <c r="A34" s="497" t="s">
        <v>176</v>
      </c>
      <c r="B34" s="149"/>
      <c r="C34" s="485">
        <f t="shared" ref="C34:K34" si="6">C32+C33-C35</f>
        <v>874054850</v>
      </c>
      <c r="D34" s="81">
        <f t="shared" si="6"/>
        <v>773197850</v>
      </c>
      <c r="E34" s="81">
        <f t="shared" si="6"/>
        <v>0</v>
      </c>
      <c r="F34" s="81">
        <f t="shared" si="6"/>
        <v>62291861</v>
      </c>
      <c r="G34" s="81">
        <f t="shared" si="6"/>
        <v>-8282372</v>
      </c>
      <c r="H34" s="81">
        <f t="shared" si="6"/>
        <v>54009489</v>
      </c>
      <c r="I34" s="81">
        <f t="shared" si="6"/>
        <v>827207339</v>
      </c>
      <c r="J34" s="81">
        <f t="shared" si="6"/>
        <v>623401750</v>
      </c>
      <c r="K34" s="82">
        <f t="shared" si="6"/>
        <v>526841450</v>
      </c>
    </row>
    <row r="35" spans="1:11" ht="12.75" customHeight="1" x14ac:dyDescent="0.25">
      <c r="A35" s="163" t="s">
        <v>177</v>
      </c>
      <c r="B35" s="73"/>
      <c r="C35" s="382">
        <v>0</v>
      </c>
      <c r="D35" s="109">
        <v>0</v>
      </c>
      <c r="E35" s="109">
        <v>0</v>
      </c>
      <c r="F35" s="109">
        <v>0</v>
      </c>
      <c r="G35" s="109">
        <v>0</v>
      </c>
      <c r="H35" s="75">
        <f>SUM(E35:G35)</f>
        <v>0</v>
      </c>
      <c r="I35" s="75">
        <f>IF(D35=0,C35+H35,D35+H35)</f>
        <v>0</v>
      </c>
      <c r="J35" s="109">
        <v>0</v>
      </c>
      <c r="K35" s="110">
        <v>0</v>
      </c>
    </row>
    <row r="36" spans="1:11" ht="12.75" customHeight="1" x14ac:dyDescent="0.25">
      <c r="A36" s="498" t="s">
        <v>154</v>
      </c>
      <c r="B36" s="73"/>
      <c r="C36" s="240"/>
      <c r="D36" s="75"/>
      <c r="E36" s="75"/>
      <c r="F36" s="75"/>
      <c r="G36" s="75"/>
      <c r="H36" s="75"/>
      <c r="I36" s="75"/>
      <c r="J36" s="75"/>
      <c r="K36" s="76"/>
    </row>
    <row r="37" spans="1:11" ht="12.75" customHeight="1" x14ac:dyDescent="0.25">
      <c r="A37" s="163" t="s">
        <v>174</v>
      </c>
      <c r="B37" s="73"/>
      <c r="C37" s="382">
        <v>0</v>
      </c>
      <c r="D37" s="109">
        <v>0</v>
      </c>
      <c r="E37" s="109">
        <v>0</v>
      </c>
      <c r="F37" s="109">
        <v>0</v>
      </c>
      <c r="G37" s="109">
        <v>0</v>
      </c>
      <c r="H37" s="75">
        <f>SUM(E37:G37)</f>
        <v>0</v>
      </c>
      <c r="I37" s="75">
        <f>IF(D37=0,C37+H37,D37+H37)</f>
        <v>0</v>
      </c>
      <c r="J37" s="109">
        <v>0</v>
      </c>
      <c r="K37" s="110">
        <v>0</v>
      </c>
    </row>
    <row r="38" spans="1:11" ht="12.75" customHeight="1" x14ac:dyDescent="0.25">
      <c r="A38" s="499" t="str">
        <f>A33</f>
        <v>Current year receipts</v>
      </c>
      <c r="B38" s="73"/>
      <c r="C38" s="382">
        <v>0</v>
      </c>
      <c r="D38" s="109">
        <v>0</v>
      </c>
      <c r="E38" s="109">
        <v>0</v>
      </c>
      <c r="F38" s="109">
        <v>0</v>
      </c>
      <c r="G38" s="109">
        <v>0</v>
      </c>
      <c r="H38" s="75">
        <f>SUM(E38:G38)</f>
        <v>0</v>
      </c>
      <c r="I38" s="75">
        <f>IF(D38=0,C38+H38,D38+H38)</f>
        <v>0</v>
      </c>
      <c r="J38" s="109">
        <v>0</v>
      </c>
      <c r="K38" s="110">
        <v>0</v>
      </c>
    </row>
    <row r="39" spans="1:11" ht="12.75" customHeight="1" x14ac:dyDescent="0.25">
      <c r="A39" s="497" t="str">
        <f>A34</f>
        <v>Conditions met - transferred to revenue</v>
      </c>
      <c r="B39" s="149"/>
      <c r="C39" s="485">
        <f t="shared" ref="C39:K39" si="7">C37+C38-C40</f>
        <v>0</v>
      </c>
      <c r="D39" s="81">
        <f t="shared" si="7"/>
        <v>0</v>
      </c>
      <c r="E39" s="81">
        <f t="shared" si="7"/>
        <v>0</v>
      </c>
      <c r="F39" s="81">
        <f t="shared" si="7"/>
        <v>0</v>
      </c>
      <c r="G39" s="81">
        <f t="shared" si="7"/>
        <v>0</v>
      </c>
      <c r="H39" s="81">
        <f t="shared" si="7"/>
        <v>0</v>
      </c>
      <c r="I39" s="81">
        <f t="shared" si="7"/>
        <v>0</v>
      </c>
      <c r="J39" s="81">
        <f t="shared" si="7"/>
        <v>0</v>
      </c>
      <c r="K39" s="82">
        <f t="shared" si="7"/>
        <v>0</v>
      </c>
    </row>
    <row r="40" spans="1:11" ht="12.75" customHeight="1" x14ac:dyDescent="0.25">
      <c r="A40" s="499" t="str">
        <f>A35</f>
        <v>Conditions still to be met - transferred to liabilities</v>
      </c>
      <c r="B40" s="73"/>
      <c r="C40" s="910">
        <v>0</v>
      </c>
      <c r="D40" s="899">
        <v>0</v>
      </c>
      <c r="E40" s="899">
        <v>0</v>
      </c>
      <c r="F40" s="899">
        <v>0</v>
      </c>
      <c r="G40" s="899">
        <v>0</v>
      </c>
      <c r="H40" s="75">
        <f>SUM(E40:G40)</f>
        <v>0</v>
      </c>
      <c r="I40" s="75">
        <f>IF(D40=0,C40+H40,D40+H40)</f>
        <v>0</v>
      </c>
      <c r="J40" s="899">
        <v>0</v>
      </c>
      <c r="K40" s="900">
        <v>0</v>
      </c>
    </row>
    <row r="41" spans="1:11" ht="12.75" customHeight="1" x14ac:dyDescent="0.25">
      <c r="A41" s="498" t="s">
        <v>155</v>
      </c>
      <c r="B41" s="73"/>
      <c r="C41" s="240"/>
      <c r="D41" s="75"/>
      <c r="E41" s="75"/>
      <c r="F41" s="75"/>
      <c r="G41" s="75"/>
      <c r="H41" s="75"/>
      <c r="I41" s="75"/>
      <c r="J41" s="75"/>
      <c r="K41" s="76"/>
    </row>
    <row r="42" spans="1:11" ht="12.75" customHeight="1" x14ac:dyDescent="0.25">
      <c r="A42" s="163" t="str">
        <f>A37</f>
        <v>Balance unspent at beginning of the year</v>
      </c>
      <c r="B42" s="73"/>
      <c r="C42" s="382">
        <v>0</v>
      </c>
      <c r="D42" s="109">
        <v>0</v>
      </c>
      <c r="E42" s="109">
        <v>0</v>
      </c>
      <c r="F42" s="109">
        <v>0</v>
      </c>
      <c r="G42" s="109"/>
      <c r="H42" s="75">
        <f>SUM(E42:G42)</f>
        <v>0</v>
      </c>
      <c r="I42" s="75">
        <f>IF(D42=0,C42+H42,D42+H42)</f>
        <v>0</v>
      </c>
      <c r="J42" s="109">
        <v>0</v>
      </c>
      <c r="K42" s="110">
        <v>0</v>
      </c>
    </row>
    <row r="43" spans="1:11" ht="12.75" customHeight="1" x14ac:dyDescent="0.25">
      <c r="A43" s="499" t="str">
        <f>A38</f>
        <v>Current year receipts</v>
      </c>
      <c r="B43" s="73"/>
      <c r="C43" s="382">
        <v>0</v>
      </c>
      <c r="D43" s="109">
        <v>0</v>
      </c>
      <c r="E43" s="109">
        <v>0</v>
      </c>
      <c r="F43" s="109">
        <v>0</v>
      </c>
      <c r="G43" s="109">
        <v>0</v>
      </c>
      <c r="H43" s="75">
        <f>SUM(E43:G43)</f>
        <v>0</v>
      </c>
      <c r="I43" s="75">
        <f>IF(D43=0,C43+H43,D43+H43)</f>
        <v>0</v>
      </c>
      <c r="J43" s="109">
        <v>0</v>
      </c>
      <c r="K43" s="110">
        <v>0</v>
      </c>
    </row>
    <row r="44" spans="1:11" ht="12.75" customHeight="1" x14ac:dyDescent="0.25">
      <c r="A44" s="497" t="str">
        <f>A39</f>
        <v>Conditions met - transferred to revenue</v>
      </c>
      <c r="B44" s="149"/>
      <c r="C44" s="485">
        <f t="shared" ref="C44:K44" si="8">C42+C43-C45</f>
        <v>0</v>
      </c>
      <c r="D44" s="81">
        <f t="shared" si="8"/>
        <v>0</v>
      </c>
      <c r="E44" s="81">
        <f t="shared" si="8"/>
        <v>0</v>
      </c>
      <c r="F44" s="81">
        <f t="shared" si="8"/>
        <v>0</v>
      </c>
      <c r="G44" s="81">
        <f t="shared" si="8"/>
        <v>0</v>
      </c>
      <c r="H44" s="81">
        <f t="shared" si="8"/>
        <v>0</v>
      </c>
      <c r="I44" s="81">
        <f t="shared" si="8"/>
        <v>0</v>
      </c>
      <c r="J44" s="81">
        <f t="shared" si="8"/>
        <v>0</v>
      </c>
      <c r="K44" s="82">
        <f t="shared" si="8"/>
        <v>0</v>
      </c>
    </row>
    <row r="45" spans="1:11" ht="12.75" customHeight="1" x14ac:dyDescent="0.25">
      <c r="A45" s="499" t="str">
        <f>A40</f>
        <v>Conditions still to be met - transferred to liabilities</v>
      </c>
      <c r="B45" s="73"/>
      <c r="C45" s="382">
        <v>0</v>
      </c>
      <c r="D45" s="109">
        <v>0</v>
      </c>
      <c r="E45" s="109">
        <v>0</v>
      </c>
      <c r="F45" s="109">
        <v>0</v>
      </c>
      <c r="G45" s="109">
        <v>0</v>
      </c>
      <c r="H45" s="75">
        <f>SUM(E45:G45)</f>
        <v>0</v>
      </c>
      <c r="I45" s="75">
        <f>IF(D45=0,C45+H45,D45+H45)</f>
        <v>0</v>
      </c>
      <c r="J45" s="109">
        <v>0</v>
      </c>
      <c r="K45" s="110">
        <v>0</v>
      </c>
    </row>
    <row r="46" spans="1:11" ht="12.75" customHeight="1" x14ac:dyDescent="0.25">
      <c r="A46" s="498" t="s">
        <v>157</v>
      </c>
      <c r="B46" s="73"/>
      <c r="C46" s="240"/>
      <c r="D46" s="75"/>
      <c r="E46" s="75"/>
      <c r="F46" s="75"/>
      <c r="G46" s="75"/>
      <c r="H46" s="75"/>
      <c r="I46" s="75"/>
      <c r="J46" s="75"/>
      <c r="K46" s="76"/>
    </row>
    <row r="47" spans="1:11" ht="12.75" customHeight="1" x14ac:dyDescent="0.25">
      <c r="A47" s="499" t="str">
        <f>A37</f>
        <v>Balance unspent at beginning of the year</v>
      </c>
      <c r="B47" s="73"/>
      <c r="C47" s="382">
        <v>0</v>
      </c>
      <c r="D47" s="109">
        <v>0</v>
      </c>
      <c r="E47" s="109">
        <v>0</v>
      </c>
      <c r="F47" s="109">
        <v>0</v>
      </c>
      <c r="G47" s="109">
        <v>0</v>
      </c>
      <c r="H47" s="75">
        <f>SUM(E47:G47)</f>
        <v>0</v>
      </c>
      <c r="I47" s="75">
        <f>IF(D47=0,C47+H47,D47+H47)</f>
        <v>0</v>
      </c>
      <c r="J47" s="109">
        <v>0</v>
      </c>
      <c r="K47" s="110">
        <v>0</v>
      </c>
    </row>
    <row r="48" spans="1:11" ht="12.75" customHeight="1" x14ac:dyDescent="0.25">
      <c r="A48" s="499" t="str">
        <f>A38</f>
        <v>Current year receipts</v>
      </c>
      <c r="B48" s="73"/>
      <c r="C48" s="382">
        <v>0</v>
      </c>
      <c r="D48" s="109">
        <v>0</v>
      </c>
      <c r="E48" s="109">
        <v>0</v>
      </c>
      <c r="F48" s="109">
        <v>0</v>
      </c>
      <c r="G48" s="109">
        <v>0</v>
      </c>
      <c r="H48" s="75">
        <f>SUM(E48:G48)</f>
        <v>0</v>
      </c>
      <c r="I48" s="75">
        <f>IF(D48=0,C48+H48,D48+H48)</f>
        <v>0</v>
      </c>
      <c r="J48" s="109">
        <v>0</v>
      </c>
      <c r="K48" s="110">
        <v>0</v>
      </c>
    </row>
    <row r="49" spans="1:13" ht="12.75" customHeight="1" x14ac:dyDescent="0.25">
      <c r="A49" s="497" t="str">
        <f>A39</f>
        <v>Conditions met - transferred to revenue</v>
      </c>
      <c r="B49" s="149"/>
      <c r="C49" s="485">
        <f t="shared" ref="C49:K49" si="9">C47+C48-C50</f>
        <v>-50000000</v>
      </c>
      <c r="D49" s="81">
        <f t="shared" si="9"/>
        <v>-50000000</v>
      </c>
      <c r="E49" s="81">
        <f t="shared" si="9"/>
        <v>0</v>
      </c>
      <c r="F49" s="81">
        <f t="shared" si="9"/>
        <v>0</v>
      </c>
      <c r="G49" s="81">
        <f t="shared" si="9"/>
        <v>0</v>
      </c>
      <c r="H49" s="81">
        <f t="shared" si="9"/>
        <v>0</v>
      </c>
      <c r="I49" s="81">
        <f t="shared" si="9"/>
        <v>-50000000</v>
      </c>
      <c r="J49" s="81">
        <f t="shared" si="9"/>
        <v>-50000000</v>
      </c>
      <c r="K49" s="82">
        <f t="shared" si="9"/>
        <v>-50000000</v>
      </c>
    </row>
    <row r="50" spans="1:13" ht="12.75" customHeight="1" x14ac:dyDescent="0.25">
      <c r="A50" s="499" t="str">
        <f>A40</f>
        <v>Conditions still to be met - transferred to liabilities</v>
      </c>
      <c r="B50" s="73"/>
      <c r="C50" s="382">
        <v>50000000</v>
      </c>
      <c r="D50" s="109">
        <v>50000000</v>
      </c>
      <c r="E50" s="109">
        <v>0</v>
      </c>
      <c r="F50" s="109">
        <v>0</v>
      </c>
      <c r="G50" s="109">
        <v>0</v>
      </c>
      <c r="H50" s="75">
        <f>SUM(E50:G50)</f>
        <v>0</v>
      </c>
      <c r="I50" s="75">
        <f>IF(D50=0,C50+H50,D50+H50)</f>
        <v>50000000</v>
      </c>
      <c r="J50" s="109">
        <v>50000000</v>
      </c>
      <c r="K50" s="110">
        <v>50000000</v>
      </c>
    </row>
    <row r="51" spans="1:13" ht="12.75" customHeight="1" x14ac:dyDescent="0.25">
      <c r="A51" s="162" t="s">
        <v>1101</v>
      </c>
      <c r="B51" s="79"/>
      <c r="C51" s="485">
        <f t="shared" ref="C51:K51" si="10">C34+C39+C44+C49</f>
        <v>824054850</v>
      </c>
      <c r="D51" s="81">
        <f t="shared" si="10"/>
        <v>723197850</v>
      </c>
      <c r="E51" s="81">
        <f t="shared" si="10"/>
        <v>0</v>
      </c>
      <c r="F51" s="81">
        <f t="shared" si="10"/>
        <v>62291861</v>
      </c>
      <c r="G51" s="81">
        <f t="shared" si="10"/>
        <v>-8282372</v>
      </c>
      <c r="H51" s="81">
        <f t="shared" si="10"/>
        <v>54009489</v>
      </c>
      <c r="I51" s="81">
        <f t="shared" si="10"/>
        <v>777207339</v>
      </c>
      <c r="J51" s="81">
        <f t="shared" si="10"/>
        <v>573401750</v>
      </c>
      <c r="K51" s="82">
        <f t="shared" si="10"/>
        <v>476841450</v>
      </c>
    </row>
    <row r="52" spans="1:13" ht="12.75" customHeight="1" x14ac:dyDescent="0.25">
      <c r="A52" s="162" t="s">
        <v>1102</v>
      </c>
      <c r="B52" s="79"/>
      <c r="C52" s="485">
        <f t="shared" ref="C52:K52" si="11">C35+C40+C45+C50</f>
        <v>50000000</v>
      </c>
      <c r="D52" s="81">
        <f t="shared" si="11"/>
        <v>50000000</v>
      </c>
      <c r="E52" s="81">
        <f t="shared" si="11"/>
        <v>0</v>
      </c>
      <c r="F52" s="81">
        <f t="shared" si="11"/>
        <v>0</v>
      </c>
      <c r="G52" s="81">
        <f t="shared" si="11"/>
        <v>0</v>
      </c>
      <c r="H52" s="81">
        <f t="shared" si="11"/>
        <v>0</v>
      </c>
      <c r="I52" s="81">
        <f t="shared" si="11"/>
        <v>50000000</v>
      </c>
      <c r="J52" s="81">
        <f t="shared" si="11"/>
        <v>50000000</v>
      </c>
      <c r="K52" s="82">
        <f t="shared" si="11"/>
        <v>50000000</v>
      </c>
    </row>
    <row r="53" spans="1:13" ht="5.0999999999999996" customHeight="1" x14ac:dyDescent="0.25">
      <c r="A53" s="493"/>
      <c r="B53" s="73"/>
      <c r="C53" s="240"/>
      <c r="D53" s="75"/>
      <c r="E53" s="75"/>
      <c r="F53" s="75"/>
      <c r="G53" s="75"/>
      <c r="H53" s="75"/>
      <c r="I53" s="75"/>
      <c r="J53" s="75"/>
      <c r="K53" s="76"/>
    </row>
    <row r="54" spans="1:13" ht="12.75" customHeight="1" x14ac:dyDescent="0.25">
      <c r="A54" s="162" t="s">
        <v>1103</v>
      </c>
      <c r="B54" s="79"/>
      <c r="C54" s="485">
        <f t="shared" ref="C54:K54" si="12">C27+C51</f>
        <v>2011483000</v>
      </c>
      <c r="D54" s="81">
        <f t="shared" si="12"/>
        <v>2065626000</v>
      </c>
      <c r="E54" s="81">
        <f t="shared" si="12"/>
        <v>0</v>
      </c>
      <c r="F54" s="81">
        <f t="shared" si="12"/>
        <v>100212531</v>
      </c>
      <c r="G54" s="81">
        <f t="shared" si="12"/>
        <v>0</v>
      </c>
      <c r="H54" s="81">
        <f t="shared" si="12"/>
        <v>100212531</v>
      </c>
      <c r="I54" s="81">
        <f t="shared" si="12"/>
        <v>2165838531</v>
      </c>
      <c r="J54" s="81">
        <f t="shared" si="12"/>
        <v>1859557999.7880187</v>
      </c>
      <c r="K54" s="82">
        <f t="shared" si="12"/>
        <v>1873557999.9974196</v>
      </c>
    </row>
    <row r="55" spans="1:13" ht="12.75" customHeight="1" x14ac:dyDescent="0.25">
      <c r="A55" s="295" t="s">
        <v>1104</v>
      </c>
      <c r="B55" s="88"/>
      <c r="C55" s="89">
        <f t="shared" ref="C55:K55" si="13">C28+C52</f>
        <v>50000000</v>
      </c>
      <c r="D55" s="90">
        <f t="shared" si="13"/>
        <v>50000000</v>
      </c>
      <c r="E55" s="90">
        <f t="shared" si="13"/>
        <v>0</v>
      </c>
      <c r="F55" s="90">
        <f t="shared" si="13"/>
        <v>0</v>
      </c>
      <c r="G55" s="90">
        <f t="shared" si="13"/>
        <v>0</v>
      </c>
      <c r="H55" s="90">
        <f t="shared" si="13"/>
        <v>0</v>
      </c>
      <c r="I55" s="90">
        <f t="shared" si="13"/>
        <v>50000000</v>
      </c>
      <c r="J55" s="90">
        <f t="shared" si="13"/>
        <v>50000000</v>
      </c>
      <c r="K55" s="91">
        <f t="shared" si="13"/>
        <v>50000000</v>
      </c>
    </row>
    <row r="56" spans="1:13" ht="5.25" customHeight="1" x14ac:dyDescent="0.25">
      <c r="A56" s="500"/>
      <c r="B56" s="782"/>
      <c r="C56" s="501"/>
      <c r="D56" s="501"/>
      <c r="E56" s="501"/>
      <c r="F56" s="501"/>
      <c r="G56" s="501"/>
      <c r="H56" s="501"/>
      <c r="I56" s="501"/>
      <c r="J56" s="501"/>
      <c r="K56" s="501"/>
    </row>
    <row r="57" spans="1:13" ht="12.75" customHeight="1" x14ac:dyDescent="0.25">
      <c r="A57" s="158" t="str">
        <f>head27a</f>
        <v>References</v>
      </c>
      <c r="B57" s="93"/>
      <c r="C57" s="99"/>
      <c r="D57" s="99"/>
      <c r="E57" s="99"/>
      <c r="F57" s="99"/>
      <c r="G57" s="99"/>
      <c r="H57" s="99"/>
      <c r="I57" s="99"/>
      <c r="J57" s="99"/>
      <c r="K57" s="99"/>
    </row>
    <row r="58" spans="1:13" ht="12.75" customHeight="1" x14ac:dyDescent="0.25">
      <c r="A58" s="99" t="s">
        <v>178</v>
      </c>
      <c r="B58" s="158"/>
      <c r="C58" s="99"/>
      <c r="D58" s="99"/>
      <c r="E58" s="99"/>
      <c r="F58" s="99"/>
      <c r="G58" s="99"/>
      <c r="H58" s="99"/>
      <c r="I58" s="99"/>
      <c r="J58" s="99"/>
      <c r="K58" s="99"/>
    </row>
    <row r="59" spans="1:13" ht="12.75" customHeight="1" x14ac:dyDescent="0.25">
      <c r="A59" s="99" t="s">
        <v>179</v>
      </c>
      <c r="B59" s="158"/>
      <c r="C59" s="99"/>
      <c r="D59" s="99"/>
      <c r="E59" s="99"/>
      <c r="F59" s="99"/>
      <c r="G59" s="99"/>
      <c r="H59" s="99"/>
      <c r="I59" s="99"/>
      <c r="J59" s="99"/>
      <c r="K59" s="99"/>
    </row>
    <row r="60" spans="1:13" ht="12.75" customHeight="1" x14ac:dyDescent="0.25">
      <c r="A60" s="1402" t="s">
        <v>986</v>
      </c>
      <c r="B60" s="1402"/>
      <c r="C60" s="1402"/>
      <c r="D60" s="1402"/>
      <c r="E60" s="1402"/>
      <c r="F60" s="1402"/>
      <c r="G60" s="1402"/>
      <c r="H60" s="1402"/>
      <c r="I60" s="1402"/>
      <c r="J60" s="1402"/>
      <c r="K60" s="1402"/>
    </row>
    <row r="61" spans="1:13" ht="12.75" customHeight="1" x14ac:dyDescent="0.25">
      <c r="A61" s="99" t="s">
        <v>743</v>
      </c>
      <c r="B61" s="93"/>
      <c r="C61" s="99"/>
      <c r="D61" s="99"/>
      <c r="E61" s="99"/>
      <c r="F61" s="99"/>
      <c r="G61" s="99"/>
      <c r="H61" s="99"/>
      <c r="I61" s="99"/>
      <c r="J61" s="99"/>
      <c r="K61" s="99"/>
    </row>
    <row r="62" spans="1:13" ht="12.75" customHeight="1" x14ac:dyDescent="0.25">
      <c r="A62" s="99" t="s">
        <v>180</v>
      </c>
      <c r="B62" s="93"/>
      <c r="C62" s="99"/>
      <c r="D62" s="99"/>
      <c r="E62" s="99"/>
      <c r="F62" s="99"/>
      <c r="G62" s="99"/>
      <c r="H62" s="99"/>
      <c r="I62" s="99"/>
      <c r="J62" s="99"/>
      <c r="K62" s="99"/>
    </row>
    <row r="63" spans="1:13" ht="24.95" customHeight="1" x14ac:dyDescent="0.25">
      <c r="A63" s="1402" t="s">
        <v>181</v>
      </c>
      <c r="B63" s="1402"/>
      <c r="C63" s="1402"/>
      <c r="D63" s="1402"/>
      <c r="E63" s="1402"/>
      <c r="F63" s="1402"/>
      <c r="G63" s="1402"/>
      <c r="H63" s="1402"/>
      <c r="I63" s="1402"/>
      <c r="J63" s="1402"/>
      <c r="K63" s="1402"/>
      <c r="L63" s="54"/>
      <c r="M63" s="54"/>
    </row>
    <row r="64" spans="1:13" ht="12.75" customHeight="1" x14ac:dyDescent="0.25">
      <c r="A64" s="99" t="s">
        <v>172</v>
      </c>
      <c r="B64" s="93"/>
      <c r="C64" s="99"/>
      <c r="D64" s="99"/>
      <c r="E64" s="99"/>
      <c r="F64" s="99"/>
      <c r="G64" s="99"/>
      <c r="H64" s="99"/>
      <c r="I64" s="99"/>
      <c r="J64" s="99"/>
      <c r="K64" s="99"/>
    </row>
    <row r="65" spans="1:11" ht="12.75" customHeight="1" x14ac:dyDescent="0.25">
      <c r="A65" s="99" t="s">
        <v>173</v>
      </c>
      <c r="B65" s="93"/>
      <c r="C65" s="99"/>
      <c r="D65" s="99"/>
      <c r="E65" s="99"/>
      <c r="F65" s="99"/>
      <c r="G65" s="99"/>
      <c r="H65" s="99"/>
      <c r="I65" s="99"/>
      <c r="J65" s="99"/>
      <c r="K65" s="99"/>
    </row>
    <row r="66" spans="1:11" ht="11.25" customHeight="1" x14ac:dyDescent="0.25"/>
    <row r="67" spans="1:11" ht="11.25" customHeight="1" x14ac:dyDescent="0.25"/>
    <row r="68" spans="1:11" ht="11.25" customHeight="1" x14ac:dyDescent="0.25"/>
    <row r="69" spans="1:11" ht="11.25" customHeight="1" x14ac:dyDescent="0.25"/>
    <row r="70" spans="1:11" ht="11.25" customHeight="1" x14ac:dyDescent="0.25"/>
    <row r="71" spans="1:11" ht="11.25" customHeight="1" x14ac:dyDescent="0.25"/>
    <row r="72" spans="1:11" ht="11.25" customHeight="1" x14ac:dyDescent="0.25"/>
    <row r="73" spans="1:11" ht="11.25" customHeight="1" x14ac:dyDescent="0.25"/>
    <row r="74" spans="1:11" ht="11.25" customHeight="1" x14ac:dyDescent="0.25"/>
    <row r="75" spans="1:11" ht="11.25" customHeight="1" x14ac:dyDescent="0.25"/>
    <row r="76" spans="1:11" ht="11.25" customHeight="1" x14ac:dyDescent="0.25"/>
    <row r="77" spans="1:11" ht="11.25" customHeight="1" x14ac:dyDescent="0.25"/>
    <row r="78" spans="1:11" ht="11.25" customHeight="1" x14ac:dyDescent="0.25"/>
    <row r="79" spans="1:11" ht="11.25" customHeight="1" x14ac:dyDescent="0.25"/>
    <row r="80" spans="1:11" ht="11.25" customHeight="1" x14ac:dyDescent="0.25"/>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row r="87" ht="11.25" customHeight="1" x14ac:dyDescent="0.25"/>
    <row r="88" ht="11.25" customHeight="1" x14ac:dyDescent="0.25"/>
    <row r="89" ht="11.25" customHeight="1" x14ac:dyDescent="0.25"/>
  </sheetData>
  <sheetProtection sheet="1" objects="1" scenarios="1"/>
  <mergeCells count="5">
    <mergeCell ref="A60:K60"/>
    <mergeCell ref="A63:K63"/>
    <mergeCell ref="C2:I2"/>
    <mergeCell ref="A2:A4"/>
    <mergeCell ref="B2:B4"/>
  </mergeCells>
  <phoneticPr fontId="4" type="noConversion"/>
  <printOptions horizontalCentered="1"/>
  <pageMargins left="0.37" right="0.16" top="0.77" bottom="0.61" header="0.51181102362204722" footer="0.38"/>
  <pageSetup paperSize="9" scale="78"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0">
    <tabColor indexed="42"/>
    <pageSetUpPr fitToPage="1"/>
  </sheetPr>
  <dimension ref="A1:M71"/>
  <sheetViews>
    <sheetView showGridLines="0" zoomScaleNormal="100" workbookViewId="0">
      <pane xSplit="2" ySplit="5" topLeftCell="C6" activePane="bottomRight" state="frozen"/>
      <selection activeCell="M17" sqref="M17:M63"/>
      <selection pane="topRight" activeCell="M17" sqref="M17:M63"/>
      <selection pane="bottomLeft" activeCell="M17" sqref="M17:M63"/>
      <selection pane="bottomRight" activeCell="O18" sqref="O18"/>
    </sheetView>
  </sheetViews>
  <sheetFormatPr defaultColWidth="9.140625" defaultRowHeight="12.75" x14ac:dyDescent="0.25"/>
  <cols>
    <col min="1" max="1" width="36.7109375" style="5" customWidth="1"/>
    <col min="2" max="2" width="3.140625" style="58" customWidth="1"/>
    <col min="3" max="13" width="8.7109375" style="5" customWidth="1"/>
    <col min="14" max="14" width="9.85546875" style="5" customWidth="1"/>
    <col min="15" max="15" width="9.5703125" style="5" customWidth="1"/>
    <col min="16" max="16" width="9.85546875" style="5" customWidth="1"/>
    <col min="17" max="19" width="9.5703125" style="5" customWidth="1"/>
    <col min="20" max="20" width="9.85546875" style="5" customWidth="1"/>
    <col min="21" max="23" width="9.5703125" style="5" customWidth="1"/>
    <col min="24" max="25" width="9.85546875" style="5" customWidth="1"/>
    <col min="26" max="16384" width="9.140625" style="5"/>
  </cols>
  <sheetData>
    <row r="1" spans="1:13" ht="13.5" x14ac:dyDescent="0.25">
      <c r="A1" s="57" t="str">
        <f>muni&amp;" - "&amp;ADJB10&amp;" - "&amp;Date</f>
        <v>LIM354 Polokwane - Supporting Table SB10 Adjustments Budget - transfers and grants made by the municipality - 2020</v>
      </c>
      <c r="B1" s="5"/>
      <c r="C1" s="58"/>
    </row>
    <row r="2" spans="1:13" ht="38.25" x14ac:dyDescent="0.25">
      <c r="A2" s="1406" t="str">
        <f>desc</f>
        <v>Description</v>
      </c>
      <c r="B2" s="1406" t="str">
        <f>head27</f>
        <v>Ref</v>
      </c>
      <c r="C2" s="1403" t="str">
        <f>Head2</f>
        <v>Budget Year 2020/21</v>
      </c>
      <c r="D2" s="1404"/>
      <c r="E2" s="1404"/>
      <c r="F2" s="1404"/>
      <c r="G2" s="1404"/>
      <c r="H2" s="1404"/>
      <c r="I2" s="1404"/>
      <c r="J2" s="1404"/>
      <c r="K2" s="1404"/>
      <c r="L2" s="103" t="str">
        <f>Head10</f>
        <v>Budget Year +1 2021/22</v>
      </c>
      <c r="M2" s="61" t="str">
        <f>Head11</f>
        <v>Budget Year +2 2022/23</v>
      </c>
    </row>
    <row r="3" spans="1:13" ht="25.5" x14ac:dyDescent="0.25">
      <c r="A3" s="1407"/>
      <c r="B3" s="1407"/>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3" x14ac:dyDescent="0.25">
      <c r="A4" s="1407"/>
      <c r="B4" s="1407"/>
      <c r="C4" s="65"/>
      <c r="D4" s="15">
        <v>6</v>
      </c>
      <c r="E4" s="15">
        <v>7</v>
      </c>
      <c r="F4" s="15">
        <v>8</v>
      </c>
      <c r="G4" s="15">
        <v>9</v>
      </c>
      <c r="H4" s="15">
        <v>10</v>
      </c>
      <c r="I4" s="15">
        <v>11</v>
      </c>
      <c r="J4" s="15">
        <v>12</v>
      </c>
      <c r="K4" s="15">
        <v>13</v>
      </c>
      <c r="L4" s="15"/>
      <c r="M4" s="17"/>
    </row>
    <row r="5" spans="1:13" x14ac:dyDescent="0.25">
      <c r="A5" s="66" t="s">
        <v>603</v>
      </c>
      <c r="B5" s="104"/>
      <c r="C5" s="67" t="s">
        <v>547</v>
      </c>
      <c r="D5" s="68" t="s">
        <v>548</v>
      </c>
      <c r="E5" s="68" t="s">
        <v>549</v>
      </c>
      <c r="F5" s="69" t="s">
        <v>550</v>
      </c>
      <c r="G5" s="69" t="s">
        <v>551</v>
      </c>
      <c r="H5" s="69" t="s">
        <v>552</v>
      </c>
      <c r="I5" s="70" t="s">
        <v>553</v>
      </c>
      <c r="J5" s="70" t="s">
        <v>554</v>
      </c>
      <c r="K5" s="70" t="s">
        <v>555</v>
      </c>
      <c r="L5" s="70"/>
      <c r="M5" s="71"/>
    </row>
    <row r="6" spans="1:13" ht="12.75" customHeight="1" x14ac:dyDescent="0.25">
      <c r="A6" s="126" t="s">
        <v>1404</v>
      </c>
      <c r="B6" s="73"/>
      <c r="C6" s="74"/>
      <c r="D6" s="75"/>
      <c r="E6" s="75"/>
      <c r="F6" s="75"/>
      <c r="G6" s="75"/>
      <c r="H6" s="75"/>
      <c r="I6" s="75"/>
      <c r="J6" s="75"/>
      <c r="K6" s="75"/>
      <c r="L6" s="75"/>
      <c r="M6" s="76"/>
    </row>
    <row r="7" spans="1:13" ht="12.75" customHeight="1" x14ac:dyDescent="0.25">
      <c r="A7" s="293" t="s">
        <v>156</v>
      </c>
      <c r="B7" s="73">
        <v>1</v>
      </c>
      <c r="C7" s="130">
        <v>0</v>
      </c>
      <c r="D7" s="109">
        <v>0</v>
      </c>
      <c r="E7" s="109">
        <v>0</v>
      </c>
      <c r="F7" s="109">
        <v>0</v>
      </c>
      <c r="G7" s="109">
        <v>0</v>
      </c>
      <c r="H7" s="109">
        <v>0</v>
      </c>
      <c r="I7" s="109">
        <v>0</v>
      </c>
      <c r="J7" s="75">
        <f>SUM(E7:I7)</f>
        <v>0</v>
      </c>
      <c r="K7" s="75">
        <f>IF(D7=0,C7+J7,D7+J7)</f>
        <v>0</v>
      </c>
      <c r="L7" s="109">
        <v>0</v>
      </c>
      <c r="M7" s="110">
        <v>0</v>
      </c>
    </row>
    <row r="8" spans="1:13" ht="12.75" customHeight="1" x14ac:dyDescent="0.25">
      <c r="A8" s="293" t="s">
        <v>156</v>
      </c>
      <c r="B8" s="73"/>
      <c r="C8" s="130">
        <v>0</v>
      </c>
      <c r="D8" s="109">
        <v>0</v>
      </c>
      <c r="E8" s="109">
        <v>0</v>
      </c>
      <c r="F8" s="109">
        <v>0</v>
      </c>
      <c r="G8" s="109">
        <v>0</v>
      </c>
      <c r="H8" s="109">
        <v>0</v>
      </c>
      <c r="I8" s="109">
        <v>0</v>
      </c>
      <c r="J8" s="75">
        <f>SUM(E8:I8)</f>
        <v>0</v>
      </c>
      <c r="K8" s="75">
        <f>IF(D8=0,C8+J8,D8+J8)</f>
        <v>0</v>
      </c>
      <c r="L8" s="109">
        <v>0</v>
      </c>
      <c r="M8" s="110">
        <v>0</v>
      </c>
    </row>
    <row r="9" spans="1:13" ht="12.75" customHeight="1" x14ac:dyDescent="0.25">
      <c r="A9" s="293" t="s">
        <v>156</v>
      </c>
      <c r="B9" s="73"/>
      <c r="C9" s="130">
        <v>0</v>
      </c>
      <c r="D9" s="109">
        <v>0</v>
      </c>
      <c r="E9" s="109">
        <v>0</v>
      </c>
      <c r="F9" s="109">
        <v>0</v>
      </c>
      <c r="G9" s="109">
        <v>0</v>
      </c>
      <c r="H9" s="109">
        <v>0</v>
      </c>
      <c r="I9" s="109">
        <v>0</v>
      </c>
      <c r="J9" s="75">
        <f>SUM(E9:I9)</f>
        <v>0</v>
      </c>
      <c r="K9" s="75">
        <f>IF(D9=0,C9+J9,D9+J9)</f>
        <v>0</v>
      </c>
      <c r="L9" s="109">
        <v>0</v>
      </c>
      <c r="M9" s="110">
        <v>0</v>
      </c>
    </row>
    <row r="10" spans="1:13" ht="12.75" customHeight="1" x14ac:dyDescent="0.25">
      <c r="A10" s="162" t="s">
        <v>182</v>
      </c>
      <c r="B10" s="79"/>
      <c r="C10" s="80">
        <f t="shared" ref="C10:M10" si="0">SUM(C7:C9)</f>
        <v>0</v>
      </c>
      <c r="D10" s="81">
        <f t="shared" si="0"/>
        <v>0</v>
      </c>
      <c r="E10" s="81">
        <f t="shared" si="0"/>
        <v>0</v>
      </c>
      <c r="F10" s="81">
        <f t="shared" si="0"/>
        <v>0</v>
      </c>
      <c r="G10" s="81">
        <f t="shared" si="0"/>
        <v>0</v>
      </c>
      <c r="H10" s="81">
        <f t="shared" si="0"/>
        <v>0</v>
      </c>
      <c r="I10" s="81">
        <f t="shared" si="0"/>
        <v>0</v>
      </c>
      <c r="J10" s="81">
        <f t="shared" si="0"/>
        <v>0</v>
      </c>
      <c r="K10" s="81">
        <f t="shared" si="0"/>
        <v>0</v>
      </c>
      <c r="L10" s="81">
        <f t="shared" si="0"/>
        <v>0</v>
      </c>
      <c r="M10" s="82">
        <f t="shared" si="0"/>
        <v>0</v>
      </c>
    </row>
    <row r="11" spans="1:13" ht="5.0999999999999996" customHeight="1" x14ac:dyDescent="0.25">
      <c r="A11" s="136"/>
      <c r="B11" s="73"/>
      <c r="C11" s="74"/>
      <c r="D11" s="75"/>
      <c r="E11" s="75"/>
      <c r="F11" s="75"/>
      <c r="G11" s="75"/>
      <c r="H11" s="75"/>
      <c r="I11" s="75"/>
      <c r="J11" s="75"/>
      <c r="K11" s="75"/>
      <c r="L11" s="75"/>
      <c r="M11" s="76"/>
    </row>
    <row r="12" spans="1:13" ht="12.75" customHeight="1" x14ac:dyDescent="0.25">
      <c r="A12" s="52" t="s">
        <v>1405</v>
      </c>
      <c r="B12" s="137"/>
      <c r="C12" s="74"/>
      <c r="D12" s="75"/>
      <c r="E12" s="75"/>
      <c r="F12" s="75"/>
      <c r="G12" s="75"/>
      <c r="H12" s="75"/>
      <c r="I12" s="75"/>
      <c r="J12" s="75"/>
      <c r="K12" s="75"/>
      <c r="L12" s="75"/>
      <c r="M12" s="76"/>
    </row>
    <row r="13" spans="1:13" ht="12.75" customHeight="1" x14ac:dyDescent="0.25">
      <c r="A13" s="293" t="s">
        <v>156</v>
      </c>
      <c r="B13" s="137">
        <v>2</v>
      </c>
      <c r="C13" s="130">
        <v>0</v>
      </c>
      <c r="D13" s="109">
        <v>0</v>
      </c>
      <c r="E13" s="109">
        <v>0</v>
      </c>
      <c r="F13" s="109">
        <v>0</v>
      </c>
      <c r="G13" s="109">
        <v>0</v>
      </c>
      <c r="H13" s="109">
        <v>0</v>
      </c>
      <c r="I13" s="109">
        <v>0</v>
      </c>
      <c r="J13" s="75">
        <f>SUM(E13:I13)</f>
        <v>0</v>
      </c>
      <c r="K13" s="75">
        <f>IF(D13=0,C13+J13,D13+J13)</f>
        <v>0</v>
      </c>
      <c r="L13" s="109">
        <v>0</v>
      </c>
      <c r="M13" s="110">
        <v>0</v>
      </c>
    </row>
    <row r="14" spans="1:13" ht="12.75" customHeight="1" x14ac:dyDescent="0.25">
      <c r="A14" s="293" t="s">
        <v>2023</v>
      </c>
      <c r="B14" s="137"/>
      <c r="C14" s="130">
        <v>11000000</v>
      </c>
      <c r="D14" s="109">
        <v>11000000</v>
      </c>
      <c r="E14" s="109">
        <v>0</v>
      </c>
      <c r="F14" s="109">
        <v>0</v>
      </c>
      <c r="G14" s="109">
        <v>0</v>
      </c>
      <c r="H14" s="109">
        <v>0</v>
      </c>
      <c r="I14" s="109">
        <v>28000000</v>
      </c>
      <c r="J14" s="75">
        <f>SUM(E14:I14)</f>
        <v>28000000</v>
      </c>
      <c r="K14" s="75">
        <f>IF(D14=0,C14+J14,D14+J14)</f>
        <v>39000000</v>
      </c>
      <c r="L14" s="109">
        <v>11000000</v>
      </c>
      <c r="M14" s="110">
        <v>11000000</v>
      </c>
    </row>
    <row r="15" spans="1:13" ht="12.75" customHeight="1" x14ac:dyDescent="0.25">
      <c r="A15" s="293" t="s">
        <v>156</v>
      </c>
      <c r="B15" s="137"/>
      <c r="C15" s="130">
        <v>0</v>
      </c>
      <c r="D15" s="109">
        <v>0</v>
      </c>
      <c r="E15" s="109">
        <v>0</v>
      </c>
      <c r="F15" s="109">
        <v>0</v>
      </c>
      <c r="G15" s="109">
        <v>0</v>
      </c>
      <c r="H15" s="109">
        <v>0</v>
      </c>
      <c r="I15" s="109">
        <v>0</v>
      </c>
      <c r="J15" s="75">
        <f>SUM(E15:I15)</f>
        <v>0</v>
      </c>
      <c r="K15" s="75">
        <f>IF(D15=0,C15+J15,D15+J15)</f>
        <v>0</v>
      </c>
      <c r="L15" s="109">
        <v>0</v>
      </c>
      <c r="M15" s="110">
        <v>0</v>
      </c>
    </row>
    <row r="16" spans="1:13" ht="12.75" customHeight="1" x14ac:dyDescent="0.25">
      <c r="A16" s="162" t="s">
        <v>183</v>
      </c>
      <c r="B16" s="79"/>
      <c r="C16" s="80">
        <f t="shared" ref="C16:M16" si="1">SUM(C13:C15)</f>
        <v>11000000</v>
      </c>
      <c r="D16" s="81">
        <f t="shared" si="1"/>
        <v>11000000</v>
      </c>
      <c r="E16" s="81">
        <f t="shared" si="1"/>
        <v>0</v>
      </c>
      <c r="F16" s="81">
        <f t="shared" si="1"/>
        <v>0</v>
      </c>
      <c r="G16" s="81">
        <f t="shared" si="1"/>
        <v>0</v>
      </c>
      <c r="H16" s="81">
        <f t="shared" si="1"/>
        <v>0</v>
      </c>
      <c r="I16" s="81">
        <f t="shared" si="1"/>
        <v>28000000</v>
      </c>
      <c r="J16" s="81">
        <f t="shared" si="1"/>
        <v>28000000</v>
      </c>
      <c r="K16" s="81">
        <f t="shared" si="1"/>
        <v>39000000</v>
      </c>
      <c r="L16" s="81">
        <f t="shared" si="1"/>
        <v>11000000</v>
      </c>
      <c r="M16" s="82">
        <f t="shared" si="1"/>
        <v>11000000</v>
      </c>
    </row>
    <row r="17" spans="1:13" ht="5.0999999999999996" customHeight="1" x14ac:dyDescent="0.25">
      <c r="A17" s="51"/>
      <c r="B17" s="137"/>
      <c r="C17" s="74"/>
      <c r="D17" s="75"/>
      <c r="E17" s="75"/>
      <c r="F17" s="75"/>
      <c r="G17" s="75"/>
      <c r="H17" s="75"/>
      <c r="I17" s="75"/>
      <c r="J17" s="75"/>
      <c r="K17" s="75"/>
      <c r="L17" s="75"/>
      <c r="M17" s="76"/>
    </row>
    <row r="18" spans="1:13" ht="12.75" customHeight="1" x14ac:dyDescent="0.25">
      <c r="A18" s="52" t="s">
        <v>1406</v>
      </c>
      <c r="B18" s="137"/>
      <c r="C18" s="74"/>
      <c r="D18" s="75"/>
      <c r="E18" s="75"/>
      <c r="F18" s="75"/>
      <c r="G18" s="75"/>
      <c r="H18" s="75"/>
      <c r="I18" s="75"/>
      <c r="J18" s="75"/>
      <c r="K18" s="75"/>
      <c r="L18" s="75"/>
      <c r="M18" s="76"/>
    </row>
    <row r="19" spans="1:13" ht="12.75" customHeight="1" x14ac:dyDescent="0.25">
      <c r="A19" s="293" t="s">
        <v>156</v>
      </c>
      <c r="B19" s="137">
        <v>3</v>
      </c>
      <c r="C19" s="130">
        <v>0</v>
      </c>
      <c r="D19" s="109">
        <v>0</v>
      </c>
      <c r="E19" s="109">
        <v>0</v>
      </c>
      <c r="F19" s="109">
        <v>0</v>
      </c>
      <c r="G19" s="109">
        <v>0</v>
      </c>
      <c r="H19" s="109">
        <v>0</v>
      </c>
      <c r="I19" s="109">
        <v>0</v>
      </c>
      <c r="J19" s="75">
        <f>SUM(E19:I19)</f>
        <v>0</v>
      </c>
      <c r="K19" s="75">
        <f>IF(D19=0,C19+J19,D19+J19)</f>
        <v>0</v>
      </c>
      <c r="L19" s="109">
        <v>0</v>
      </c>
      <c r="M19" s="110">
        <v>0</v>
      </c>
    </row>
    <row r="20" spans="1:13" ht="12.75" customHeight="1" x14ac:dyDescent="0.25">
      <c r="A20" s="293" t="s">
        <v>156</v>
      </c>
      <c r="B20" s="137"/>
      <c r="C20" s="130">
        <v>0</v>
      </c>
      <c r="D20" s="109">
        <v>0</v>
      </c>
      <c r="E20" s="109">
        <v>0</v>
      </c>
      <c r="F20" s="109">
        <v>0</v>
      </c>
      <c r="G20" s="109">
        <v>0</v>
      </c>
      <c r="H20" s="109">
        <v>0</v>
      </c>
      <c r="I20" s="109">
        <v>0</v>
      </c>
      <c r="J20" s="75">
        <f>SUM(E20:I20)</f>
        <v>0</v>
      </c>
      <c r="K20" s="75">
        <f>IF(D20=0,C20+J20,D20+J20)</f>
        <v>0</v>
      </c>
      <c r="L20" s="109">
        <v>0</v>
      </c>
      <c r="M20" s="110">
        <v>0</v>
      </c>
    </row>
    <row r="21" spans="1:13" ht="12.75" customHeight="1" x14ac:dyDescent="0.25">
      <c r="A21" s="293" t="s">
        <v>156</v>
      </c>
      <c r="B21" s="137"/>
      <c r="C21" s="130">
        <v>0</v>
      </c>
      <c r="D21" s="109">
        <v>0</v>
      </c>
      <c r="E21" s="109">
        <v>0</v>
      </c>
      <c r="F21" s="109">
        <v>0</v>
      </c>
      <c r="G21" s="109">
        <v>0</v>
      </c>
      <c r="H21" s="109">
        <v>0</v>
      </c>
      <c r="I21" s="109">
        <v>0</v>
      </c>
      <c r="J21" s="75">
        <f>SUM(E21:I21)</f>
        <v>0</v>
      </c>
      <c r="K21" s="75">
        <f>IF(D21=0,C21+J21,D21+J21)</f>
        <v>0</v>
      </c>
      <c r="L21" s="109">
        <v>0</v>
      </c>
      <c r="M21" s="110">
        <v>0</v>
      </c>
    </row>
    <row r="22" spans="1:13" ht="12.75" customHeight="1" x14ac:dyDescent="0.25">
      <c r="A22" s="162" t="s">
        <v>184</v>
      </c>
      <c r="B22" s="79"/>
      <c r="C22" s="80">
        <f t="shared" ref="C22:M22" si="2">SUM(C19:C21)</f>
        <v>0</v>
      </c>
      <c r="D22" s="81">
        <f t="shared" si="2"/>
        <v>0</v>
      </c>
      <c r="E22" s="81">
        <f t="shared" si="2"/>
        <v>0</v>
      </c>
      <c r="F22" s="81">
        <f t="shared" si="2"/>
        <v>0</v>
      </c>
      <c r="G22" s="81">
        <f t="shared" si="2"/>
        <v>0</v>
      </c>
      <c r="H22" s="81">
        <f t="shared" si="2"/>
        <v>0</v>
      </c>
      <c r="I22" s="81">
        <f t="shared" si="2"/>
        <v>0</v>
      </c>
      <c r="J22" s="81">
        <f t="shared" si="2"/>
        <v>0</v>
      </c>
      <c r="K22" s="81">
        <f t="shared" si="2"/>
        <v>0</v>
      </c>
      <c r="L22" s="81">
        <f t="shared" si="2"/>
        <v>0</v>
      </c>
      <c r="M22" s="82">
        <f t="shared" si="2"/>
        <v>0</v>
      </c>
    </row>
    <row r="23" spans="1:13" ht="5.0999999999999996" customHeight="1" x14ac:dyDescent="0.25">
      <c r="A23" s="50"/>
      <c r="B23" s="137"/>
      <c r="C23" s="74"/>
      <c r="D23" s="75"/>
      <c r="E23" s="75"/>
      <c r="F23" s="75"/>
      <c r="G23" s="75"/>
      <c r="H23" s="75"/>
      <c r="I23" s="75"/>
      <c r="J23" s="75"/>
      <c r="K23" s="75"/>
      <c r="L23" s="75"/>
      <c r="M23" s="76"/>
    </row>
    <row r="24" spans="1:13" ht="12.75" customHeight="1" x14ac:dyDescent="0.25">
      <c r="A24" s="52" t="s">
        <v>1407</v>
      </c>
      <c r="B24" s="137"/>
      <c r="C24" s="74"/>
      <c r="D24" s="75"/>
      <c r="E24" s="75"/>
      <c r="F24" s="75"/>
      <c r="G24" s="75"/>
      <c r="H24" s="75"/>
      <c r="I24" s="75"/>
      <c r="J24" s="75"/>
      <c r="K24" s="75"/>
      <c r="L24" s="75"/>
      <c r="M24" s="76"/>
    </row>
    <row r="25" spans="1:13" ht="12.75" customHeight="1" x14ac:dyDescent="0.25">
      <c r="A25" s="293" t="s">
        <v>156</v>
      </c>
      <c r="B25" s="137">
        <v>4</v>
      </c>
      <c r="C25" s="130">
        <v>0</v>
      </c>
      <c r="D25" s="109">
        <v>0</v>
      </c>
      <c r="E25" s="109">
        <v>0</v>
      </c>
      <c r="F25" s="109">
        <v>0</v>
      </c>
      <c r="G25" s="109">
        <v>0</v>
      </c>
      <c r="H25" s="109">
        <v>0</v>
      </c>
      <c r="I25" s="109">
        <v>0</v>
      </c>
      <c r="J25" s="75">
        <f>SUM(E25:I25)</f>
        <v>0</v>
      </c>
      <c r="K25" s="75">
        <f>IF(D25=0,C25+J25,D25+J25)</f>
        <v>0</v>
      </c>
      <c r="L25" s="109">
        <v>0</v>
      </c>
      <c r="M25" s="110">
        <v>0</v>
      </c>
    </row>
    <row r="26" spans="1:13" ht="12.75" customHeight="1" x14ac:dyDescent="0.25">
      <c r="A26" s="293" t="s">
        <v>156</v>
      </c>
      <c r="B26" s="137"/>
      <c r="C26" s="130">
        <v>0</v>
      </c>
      <c r="D26" s="109">
        <v>0</v>
      </c>
      <c r="E26" s="109">
        <v>0</v>
      </c>
      <c r="F26" s="109">
        <v>0</v>
      </c>
      <c r="G26" s="109">
        <v>0</v>
      </c>
      <c r="H26" s="109">
        <v>0</v>
      </c>
      <c r="I26" s="109">
        <v>0</v>
      </c>
      <c r="J26" s="75">
        <f>SUM(E26:I26)</f>
        <v>0</v>
      </c>
      <c r="K26" s="75">
        <f>IF(D26=0,C26+J26,D26+J26)</f>
        <v>0</v>
      </c>
      <c r="L26" s="109">
        <v>0</v>
      </c>
      <c r="M26" s="110">
        <v>0</v>
      </c>
    </row>
    <row r="27" spans="1:13" ht="12.75" customHeight="1" x14ac:dyDescent="0.25">
      <c r="A27" s="293" t="s">
        <v>2024</v>
      </c>
      <c r="B27" s="137"/>
      <c r="C27" s="130">
        <v>500000</v>
      </c>
      <c r="D27" s="109">
        <v>500000</v>
      </c>
      <c r="E27" s="109">
        <v>0</v>
      </c>
      <c r="F27" s="109">
        <v>0</v>
      </c>
      <c r="G27" s="109">
        <v>0</v>
      </c>
      <c r="H27" s="109">
        <v>0</v>
      </c>
      <c r="I27" s="109">
        <v>0</v>
      </c>
      <c r="J27" s="75">
        <f>SUM(E27:I27)</f>
        <v>0</v>
      </c>
      <c r="K27" s="75">
        <f>IF(D27=0,C27+J27,D27+J27)</f>
        <v>500000</v>
      </c>
      <c r="L27" s="109">
        <v>500000</v>
      </c>
      <c r="M27" s="110">
        <v>500000</v>
      </c>
    </row>
    <row r="28" spans="1:13" ht="12.75" customHeight="1" x14ac:dyDescent="0.25">
      <c r="A28" s="162" t="s">
        <v>1408</v>
      </c>
      <c r="B28" s="79"/>
      <c r="C28" s="80">
        <f t="shared" ref="C28:M28" si="3">SUM(C25:C27)</f>
        <v>500000</v>
      </c>
      <c r="D28" s="81">
        <f t="shared" si="3"/>
        <v>500000</v>
      </c>
      <c r="E28" s="81">
        <f t="shared" si="3"/>
        <v>0</v>
      </c>
      <c r="F28" s="81">
        <f t="shared" si="3"/>
        <v>0</v>
      </c>
      <c r="G28" s="81">
        <f t="shared" si="3"/>
        <v>0</v>
      </c>
      <c r="H28" s="81">
        <f t="shared" si="3"/>
        <v>0</v>
      </c>
      <c r="I28" s="81">
        <f t="shared" si="3"/>
        <v>0</v>
      </c>
      <c r="J28" s="81">
        <f t="shared" si="3"/>
        <v>0</v>
      </c>
      <c r="K28" s="81">
        <f t="shared" si="3"/>
        <v>500000</v>
      </c>
      <c r="L28" s="81">
        <f t="shared" si="3"/>
        <v>500000</v>
      </c>
      <c r="M28" s="82">
        <f t="shared" si="3"/>
        <v>500000</v>
      </c>
    </row>
    <row r="29" spans="1:13" ht="5.0999999999999996" customHeight="1" x14ac:dyDescent="0.25">
      <c r="A29" s="50"/>
      <c r="B29" s="137"/>
      <c r="C29" s="74"/>
      <c r="D29" s="75"/>
      <c r="E29" s="75"/>
      <c r="F29" s="75"/>
      <c r="G29" s="75"/>
      <c r="H29" s="75"/>
      <c r="I29" s="75"/>
      <c r="J29" s="75"/>
      <c r="K29" s="75"/>
      <c r="L29" s="75"/>
      <c r="M29" s="76"/>
    </row>
    <row r="30" spans="1:13" ht="12.75" customHeight="1" x14ac:dyDescent="0.25">
      <c r="A30" s="564" t="s">
        <v>1409</v>
      </c>
      <c r="B30" s="105">
        <v>5</v>
      </c>
      <c r="C30" s="150">
        <f t="shared" ref="C30:M30" si="4">C10+C16+C22+C28</f>
        <v>11500000</v>
      </c>
      <c r="D30" s="151">
        <f t="shared" si="4"/>
        <v>11500000</v>
      </c>
      <c r="E30" s="151">
        <f t="shared" si="4"/>
        <v>0</v>
      </c>
      <c r="F30" s="151">
        <f t="shared" si="4"/>
        <v>0</v>
      </c>
      <c r="G30" s="151">
        <f t="shared" si="4"/>
        <v>0</v>
      </c>
      <c r="H30" s="151">
        <f t="shared" si="4"/>
        <v>0</v>
      </c>
      <c r="I30" s="151">
        <f t="shared" si="4"/>
        <v>28000000</v>
      </c>
      <c r="J30" s="151">
        <f t="shared" si="4"/>
        <v>28000000</v>
      </c>
      <c r="K30" s="151">
        <f t="shared" si="4"/>
        <v>39500000</v>
      </c>
      <c r="L30" s="151">
        <f t="shared" si="4"/>
        <v>11500000</v>
      </c>
      <c r="M30" s="152">
        <f t="shared" si="4"/>
        <v>11500000</v>
      </c>
    </row>
    <row r="31" spans="1:13" ht="12.75" customHeight="1" x14ac:dyDescent="0.25">
      <c r="A31" s="1044"/>
      <c r="B31" s="1045"/>
      <c r="C31" s="1046"/>
      <c r="D31" s="1046"/>
      <c r="E31" s="1046"/>
      <c r="F31" s="1046"/>
      <c r="G31" s="1046"/>
      <c r="H31" s="1046"/>
      <c r="I31" s="1046"/>
      <c r="J31" s="1046"/>
      <c r="K31" s="1046"/>
      <c r="L31" s="1046"/>
      <c r="M31" s="1046"/>
    </row>
    <row r="32" spans="1:13" ht="12.75" customHeight="1" x14ac:dyDescent="0.25">
      <c r="A32" s="126" t="s">
        <v>1410</v>
      </c>
      <c r="B32" s="73"/>
      <c r="C32" s="74"/>
      <c r="D32" s="75"/>
      <c r="E32" s="75"/>
      <c r="F32" s="75"/>
      <c r="G32" s="75"/>
      <c r="H32" s="75"/>
      <c r="I32" s="75"/>
      <c r="J32" s="75"/>
      <c r="K32" s="75"/>
      <c r="L32" s="75"/>
      <c r="M32" s="76"/>
    </row>
    <row r="33" spans="1:13" ht="12.75" customHeight="1" x14ac:dyDescent="0.25">
      <c r="A33" s="293" t="s">
        <v>156</v>
      </c>
      <c r="B33" s="73">
        <v>1</v>
      </c>
      <c r="C33" s="130"/>
      <c r="D33" s="109"/>
      <c r="E33" s="109"/>
      <c r="F33" s="109"/>
      <c r="G33" s="109"/>
      <c r="H33" s="109"/>
      <c r="I33" s="109"/>
      <c r="J33" s="75">
        <f>SUM(E33:I33)</f>
        <v>0</v>
      </c>
      <c r="K33" s="75">
        <f>IF(D33=0,C33+J33,D33+J33)</f>
        <v>0</v>
      </c>
      <c r="L33" s="109"/>
      <c r="M33" s="110"/>
    </row>
    <row r="34" spans="1:13" ht="12.75" customHeight="1" x14ac:dyDescent="0.25">
      <c r="A34" s="293" t="s">
        <v>156</v>
      </c>
      <c r="B34" s="73"/>
      <c r="C34" s="130"/>
      <c r="D34" s="109"/>
      <c r="E34" s="109"/>
      <c r="F34" s="109"/>
      <c r="G34" s="109"/>
      <c r="H34" s="109"/>
      <c r="I34" s="109"/>
      <c r="J34" s="75">
        <f>SUM(E34:I34)</f>
        <v>0</v>
      </c>
      <c r="K34" s="75">
        <f>IF(D34=0,C34+J34,D34+J34)</f>
        <v>0</v>
      </c>
      <c r="L34" s="109"/>
      <c r="M34" s="110"/>
    </row>
    <row r="35" spans="1:13" ht="12.75" customHeight="1" x14ac:dyDescent="0.25">
      <c r="A35" s="293" t="s">
        <v>156</v>
      </c>
      <c r="B35" s="73"/>
      <c r="C35" s="130"/>
      <c r="D35" s="109"/>
      <c r="E35" s="109"/>
      <c r="F35" s="109"/>
      <c r="G35" s="109"/>
      <c r="H35" s="109"/>
      <c r="I35" s="109"/>
      <c r="J35" s="75">
        <f>SUM(E35:I35)</f>
        <v>0</v>
      </c>
      <c r="K35" s="75">
        <f>IF(D35=0,C35+J35,D35+J35)</f>
        <v>0</v>
      </c>
      <c r="L35" s="109"/>
      <c r="M35" s="110"/>
    </row>
    <row r="36" spans="1:13" ht="12.75" customHeight="1" x14ac:dyDescent="0.25">
      <c r="A36" s="162" t="s">
        <v>182</v>
      </c>
      <c r="B36" s="79"/>
      <c r="C36" s="80">
        <f t="shared" ref="C36:M36" si="5">SUM(C33:C35)</f>
        <v>0</v>
      </c>
      <c r="D36" s="81">
        <f t="shared" si="5"/>
        <v>0</v>
      </c>
      <c r="E36" s="81">
        <f t="shared" si="5"/>
        <v>0</v>
      </c>
      <c r="F36" s="81">
        <f t="shared" si="5"/>
        <v>0</v>
      </c>
      <c r="G36" s="81">
        <f t="shared" si="5"/>
        <v>0</v>
      </c>
      <c r="H36" s="81">
        <f t="shared" si="5"/>
        <v>0</v>
      </c>
      <c r="I36" s="81">
        <f t="shared" si="5"/>
        <v>0</v>
      </c>
      <c r="J36" s="81">
        <f t="shared" si="5"/>
        <v>0</v>
      </c>
      <c r="K36" s="81">
        <f t="shared" si="5"/>
        <v>0</v>
      </c>
      <c r="L36" s="81">
        <f t="shared" si="5"/>
        <v>0</v>
      </c>
      <c r="M36" s="82">
        <f t="shared" si="5"/>
        <v>0</v>
      </c>
    </row>
    <row r="37" spans="1:13" ht="12.75" customHeight="1" x14ac:dyDescent="0.25">
      <c r="A37" s="136"/>
      <c r="B37" s="73"/>
      <c r="C37" s="74"/>
      <c r="D37" s="75"/>
      <c r="E37" s="75"/>
      <c r="F37" s="75"/>
      <c r="G37" s="75"/>
      <c r="H37" s="75"/>
      <c r="I37" s="75"/>
      <c r="J37" s="75"/>
      <c r="K37" s="75"/>
      <c r="L37" s="75"/>
      <c r="M37" s="76"/>
    </row>
    <row r="38" spans="1:13" ht="24.95" customHeight="1" x14ac:dyDescent="0.25">
      <c r="A38" s="52" t="s">
        <v>1411</v>
      </c>
      <c r="B38" s="137"/>
      <c r="C38" s="74"/>
      <c r="D38" s="75"/>
      <c r="E38" s="75"/>
      <c r="F38" s="75"/>
      <c r="G38" s="75"/>
      <c r="H38" s="75"/>
      <c r="I38" s="75"/>
      <c r="J38" s="75"/>
      <c r="K38" s="75"/>
      <c r="L38" s="75"/>
      <c r="M38" s="76"/>
    </row>
    <row r="39" spans="1:13" ht="12.75" customHeight="1" x14ac:dyDescent="0.25">
      <c r="A39" s="293" t="s">
        <v>156</v>
      </c>
      <c r="B39" s="137">
        <v>2</v>
      </c>
      <c r="C39" s="130"/>
      <c r="D39" s="109"/>
      <c r="E39" s="109"/>
      <c r="F39" s="109"/>
      <c r="G39" s="109"/>
      <c r="H39" s="109"/>
      <c r="I39" s="109"/>
      <c r="J39" s="75">
        <f>SUM(E39:I39)</f>
        <v>0</v>
      </c>
      <c r="K39" s="75">
        <f>IF(D39=0,C39+J39,D39+J39)</f>
        <v>0</v>
      </c>
      <c r="L39" s="109"/>
      <c r="M39" s="110"/>
    </row>
    <row r="40" spans="1:13" ht="12.75" customHeight="1" x14ac:dyDescent="0.25">
      <c r="A40" s="293" t="s">
        <v>156</v>
      </c>
      <c r="B40" s="137"/>
      <c r="C40" s="130"/>
      <c r="D40" s="109"/>
      <c r="E40" s="109"/>
      <c r="F40" s="109"/>
      <c r="G40" s="109"/>
      <c r="H40" s="109"/>
      <c r="I40" s="109"/>
      <c r="J40" s="75">
        <f>SUM(E40:I40)</f>
        <v>0</v>
      </c>
      <c r="K40" s="75">
        <f>IF(D40=0,C40+J40,D40+J40)</f>
        <v>0</v>
      </c>
      <c r="L40" s="109"/>
      <c r="M40" s="110"/>
    </row>
    <row r="41" spans="1:13" ht="12.75" customHeight="1" x14ac:dyDescent="0.25">
      <c r="A41" s="293" t="s">
        <v>156</v>
      </c>
      <c r="B41" s="137"/>
      <c r="C41" s="130"/>
      <c r="D41" s="109"/>
      <c r="E41" s="109"/>
      <c r="F41" s="109"/>
      <c r="G41" s="109"/>
      <c r="H41" s="109"/>
      <c r="I41" s="109"/>
      <c r="J41" s="75">
        <f>SUM(E41:I41)</f>
        <v>0</v>
      </c>
      <c r="K41" s="75">
        <f>IF(D41=0,C41+J41,D41+J41)</f>
        <v>0</v>
      </c>
      <c r="L41" s="109"/>
      <c r="M41" s="110"/>
    </row>
    <row r="42" spans="1:13" ht="24.95" customHeight="1" x14ac:dyDescent="0.25">
      <c r="A42" s="162" t="s">
        <v>183</v>
      </c>
      <c r="B42" s="79"/>
      <c r="C42" s="80">
        <f t="shared" ref="C42:M42" si="6">SUM(C39:C41)</f>
        <v>0</v>
      </c>
      <c r="D42" s="81">
        <f t="shared" si="6"/>
        <v>0</v>
      </c>
      <c r="E42" s="81">
        <f t="shared" si="6"/>
        <v>0</v>
      </c>
      <c r="F42" s="81">
        <f t="shared" si="6"/>
        <v>0</v>
      </c>
      <c r="G42" s="81">
        <f t="shared" si="6"/>
        <v>0</v>
      </c>
      <c r="H42" s="81">
        <f t="shared" si="6"/>
        <v>0</v>
      </c>
      <c r="I42" s="81">
        <f t="shared" si="6"/>
        <v>0</v>
      </c>
      <c r="J42" s="81">
        <f t="shared" si="6"/>
        <v>0</v>
      </c>
      <c r="K42" s="81">
        <f t="shared" si="6"/>
        <v>0</v>
      </c>
      <c r="L42" s="81">
        <f t="shared" si="6"/>
        <v>0</v>
      </c>
      <c r="M42" s="82">
        <f t="shared" si="6"/>
        <v>0</v>
      </c>
    </row>
    <row r="43" spans="1:13" ht="12.75" customHeight="1" x14ac:dyDescent="0.25">
      <c r="A43" s="51"/>
      <c r="B43" s="137"/>
      <c r="C43" s="74"/>
      <c r="D43" s="75"/>
      <c r="E43" s="75"/>
      <c r="F43" s="75"/>
      <c r="G43" s="75"/>
      <c r="H43" s="75"/>
      <c r="I43" s="75"/>
      <c r="J43" s="75"/>
      <c r="K43" s="75"/>
      <c r="L43" s="75"/>
      <c r="M43" s="76"/>
    </row>
    <row r="44" spans="1:13" ht="12.75" customHeight="1" x14ac:dyDescent="0.25">
      <c r="A44" s="52" t="s">
        <v>1412</v>
      </c>
      <c r="B44" s="137"/>
      <c r="C44" s="74"/>
      <c r="D44" s="75"/>
      <c r="E44" s="75"/>
      <c r="F44" s="75"/>
      <c r="G44" s="75"/>
      <c r="H44" s="75"/>
      <c r="I44" s="75"/>
      <c r="J44" s="75"/>
      <c r="K44" s="75"/>
      <c r="L44" s="75"/>
      <c r="M44" s="76"/>
    </row>
    <row r="45" spans="1:13" ht="11.25" customHeight="1" x14ac:dyDescent="0.25">
      <c r="A45" s="293" t="s">
        <v>156</v>
      </c>
      <c r="B45" s="137">
        <v>3</v>
      </c>
      <c r="C45" s="130"/>
      <c r="D45" s="109"/>
      <c r="E45" s="109"/>
      <c r="F45" s="109"/>
      <c r="G45" s="109"/>
      <c r="H45" s="109"/>
      <c r="I45" s="109"/>
      <c r="J45" s="75">
        <f>SUM(E45:I45)</f>
        <v>0</v>
      </c>
      <c r="K45" s="75">
        <f>IF(D45=0,C45+J45,D45+J45)</f>
        <v>0</v>
      </c>
      <c r="L45" s="109"/>
      <c r="M45" s="110"/>
    </row>
    <row r="46" spans="1:13" ht="11.25" customHeight="1" x14ac:dyDescent="0.25">
      <c r="A46" s="293" t="s">
        <v>156</v>
      </c>
      <c r="B46" s="137"/>
      <c r="C46" s="130"/>
      <c r="D46" s="109"/>
      <c r="E46" s="109"/>
      <c r="F46" s="109"/>
      <c r="G46" s="109"/>
      <c r="H46" s="109"/>
      <c r="I46" s="109"/>
      <c r="J46" s="75">
        <f>SUM(E46:I46)</f>
        <v>0</v>
      </c>
      <c r="K46" s="75">
        <f>IF(D46=0,C46+J46,D46+J46)</f>
        <v>0</v>
      </c>
      <c r="L46" s="109"/>
      <c r="M46" s="110"/>
    </row>
    <row r="47" spans="1:13" ht="11.25" customHeight="1" x14ac:dyDescent="0.25">
      <c r="A47" s="293" t="s">
        <v>156</v>
      </c>
      <c r="B47" s="137"/>
      <c r="C47" s="130"/>
      <c r="D47" s="109"/>
      <c r="E47" s="109"/>
      <c r="F47" s="109"/>
      <c r="G47" s="109"/>
      <c r="H47" s="109"/>
      <c r="I47" s="109"/>
      <c r="J47" s="75">
        <f>SUM(E47:I47)</f>
        <v>0</v>
      </c>
      <c r="K47" s="75">
        <f>IF(D47=0,C47+J47,D47+J47)</f>
        <v>0</v>
      </c>
      <c r="L47" s="109"/>
      <c r="M47" s="110"/>
    </row>
    <row r="48" spans="1:13" ht="11.25" customHeight="1" x14ac:dyDescent="0.25">
      <c r="A48" s="162" t="s">
        <v>184</v>
      </c>
      <c r="B48" s="79"/>
      <c r="C48" s="80">
        <f t="shared" ref="C48:M48" si="7">SUM(C45:C47)</f>
        <v>0</v>
      </c>
      <c r="D48" s="81">
        <f t="shared" si="7"/>
        <v>0</v>
      </c>
      <c r="E48" s="81">
        <f t="shared" si="7"/>
        <v>0</v>
      </c>
      <c r="F48" s="81">
        <f t="shared" si="7"/>
        <v>0</v>
      </c>
      <c r="G48" s="81">
        <f t="shared" si="7"/>
        <v>0</v>
      </c>
      <c r="H48" s="81">
        <f t="shared" si="7"/>
        <v>0</v>
      </c>
      <c r="I48" s="81">
        <f t="shared" si="7"/>
        <v>0</v>
      </c>
      <c r="J48" s="81">
        <f t="shared" si="7"/>
        <v>0</v>
      </c>
      <c r="K48" s="81">
        <f t="shared" si="7"/>
        <v>0</v>
      </c>
      <c r="L48" s="81">
        <f t="shared" si="7"/>
        <v>0</v>
      </c>
      <c r="M48" s="82">
        <f t="shared" si="7"/>
        <v>0</v>
      </c>
    </row>
    <row r="49" spans="1:13" ht="11.25" customHeight="1" x14ac:dyDescent="0.25">
      <c r="A49" s="50"/>
      <c r="B49" s="137"/>
      <c r="C49" s="74"/>
      <c r="D49" s="75"/>
      <c r="E49" s="75"/>
      <c r="F49" s="75"/>
      <c r="G49" s="75"/>
      <c r="H49" s="75"/>
      <c r="I49" s="75"/>
      <c r="J49" s="75"/>
      <c r="K49" s="75"/>
      <c r="L49" s="75"/>
      <c r="M49" s="76"/>
    </row>
    <row r="50" spans="1:13" ht="11.25" customHeight="1" x14ac:dyDescent="0.25">
      <c r="A50" s="52" t="s">
        <v>1413</v>
      </c>
      <c r="B50" s="137"/>
      <c r="C50" s="74"/>
      <c r="D50" s="75"/>
      <c r="E50" s="75"/>
      <c r="F50" s="75"/>
      <c r="G50" s="75"/>
      <c r="H50" s="75"/>
      <c r="I50" s="75"/>
      <c r="J50" s="75"/>
      <c r="K50" s="75"/>
      <c r="L50" s="75"/>
      <c r="M50" s="76"/>
    </row>
    <row r="51" spans="1:13" ht="11.25" customHeight="1" x14ac:dyDescent="0.25">
      <c r="A51" s="293" t="s">
        <v>156</v>
      </c>
      <c r="B51" s="137">
        <v>4</v>
      </c>
      <c r="C51" s="130"/>
      <c r="D51" s="109"/>
      <c r="E51" s="109"/>
      <c r="F51" s="109"/>
      <c r="G51" s="109"/>
      <c r="H51" s="109"/>
      <c r="I51" s="109"/>
      <c r="J51" s="75">
        <f>SUM(E51:I51)</f>
        <v>0</v>
      </c>
      <c r="K51" s="75">
        <f>IF(D51=0,C51+J51,D51+J51)</f>
        <v>0</v>
      </c>
      <c r="L51" s="109"/>
      <c r="M51" s="110"/>
    </row>
    <row r="52" spans="1:13" ht="11.25" customHeight="1" x14ac:dyDescent="0.25">
      <c r="A52" s="293" t="s">
        <v>156</v>
      </c>
      <c r="B52" s="137"/>
      <c r="C52" s="130"/>
      <c r="D52" s="109"/>
      <c r="E52" s="109"/>
      <c r="F52" s="109"/>
      <c r="G52" s="109"/>
      <c r="H52" s="109"/>
      <c r="I52" s="109"/>
      <c r="J52" s="75">
        <f>SUM(E52:I52)</f>
        <v>0</v>
      </c>
      <c r="K52" s="75">
        <f>IF(D52=0,C52+J52,D52+J52)</f>
        <v>0</v>
      </c>
      <c r="L52" s="109"/>
      <c r="M52" s="110"/>
    </row>
    <row r="53" spans="1:13" ht="11.25" customHeight="1" x14ac:dyDescent="0.25">
      <c r="A53" s="293" t="s">
        <v>156</v>
      </c>
      <c r="B53" s="137"/>
      <c r="C53" s="130"/>
      <c r="D53" s="109"/>
      <c r="E53" s="109"/>
      <c r="F53" s="109"/>
      <c r="G53" s="109"/>
      <c r="H53" s="109"/>
      <c r="I53" s="109"/>
      <c r="J53" s="75">
        <f>SUM(E53:I53)</f>
        <v>0</v>
      </c>
      <c r="K53" s="75">
        <f>IF(D53=0,C53+J53,D53+J53)</f>
        <v>0</v>
      </c>
      <c r="L53" s="109"/>
      <c r="M53" s="110"/>
    </row>
    <row r="54" spans="1:13" ht="23.25" customHeight="1" x14ac:dyDescent="0.25">
      <c r="A54" s="1047" t="s">
        <v>1414</v>
      </c>
      <c r="B54" s="79"/>
      <c r="C54" s="80">
        <f t="shared" ref="C54:M54" si="8">SUM(C51:C53)</f>
        <v>0</v>
      </c>
      <c r="D54" s="81">
        <f t="shared" si="8"/>
        <v>0</v>
      </c>
      <c r="E54" s="81">
        <f t="shared" si="8"/>
        <v>0</v>
      </c>
      <c r="F54" s="81">
        <f t="shared" si="8"/>
        <v>0</v>
      </c>
      <c r="G54" s="81">
        <f t="shared" si="8"/>
        <v>0</v>
      </c>
      <c r="H54" s="81">
        <f t="shared" si="8"/>
        <v>0</v>
      </c>
      <c r="I54" s="81">
        <f t="shared" si="8"/>
        <v>0</v>
      </c>
      <c r="J54" s="81">
        <f t="shared" si="8"/>
        <v>0</v>
      </c>
      <c r="K54" s="81">
        <f t="shared" si="8"/>
        <v>0</v>
      </c>
      <c r="L54" s="81">
        <f t="shared" si="8"/>
        <v>0</v>
      </c>
      <c r="M54" s="82">
        <f t="shared" si="8"/>
        <v>0</v>
      </c>
    </row>
    <row r="55" spans="1:13" ht="11.25" customHeight="1" x14ac:dyDescent="0.25">
      <c r="A55" s="50"/>
      <c r="B55" s="137"/>
      <c r="C55" s="74"/>
      <c r="D55" s="75"/>
      <c r="E55" s="75"/>
      <c r="F55" s="75"/>
      <c r="G55" s="75"/>
      <c r="H55" s="75"/>
      <c r="I55" s="75"/>
      <c r="J55" s="75"/>
      <c r="K55" s="75"/>
      <c r="L55" s="75"/>
      <c r="M55" s="76"/>
    </row>
    <row r="56" spans="1:13" ht="11.25" customHeight="1" x14ac:dyDescent="0.25">
      <c r="A56" s="1048" t="s">
        <v>1415</v>
      </c>
      <c r="B56" s="1049">
        <v>5</v>
      </c>
      <c r="C56" s="1050">
        <f t="shared" ref="C56:M56" si="9">C35+C41+C47+C53</f>
        <v>0</v>
      </c>
      <c r="D56" s="772">
        <f t="shared" si="9"/>
        <v>0</v>
      </c>
      <c r="E56" s="772">
        <f t="shared" si="9"/>
        <v>0</v>
      </c>
      <c r="F56" s="772">
        <f t="shared" si="9"/>
        <v>0</v>
      </c>
      <c r="G56" s="772">
        <f t="shared" si="9"/>
        <v>0</v>
      </c>
      <c r="H56" s="772">
        <f t="shared" si="9"/>
        <v>0</v>
      </c>
      <c r="I56" s="772">
        <f t="shared" si="9"/>
        <v>0</v>
      </c>
      <c r="J56" s="772">
        <f t="shared" si="9"/>
        <v>0</v>
      </c>
      <c r="K56" s="772">
        <f t="shared" si="9"/>
        <v>0</v>
      </c>
      <c r="L56" s="772">
        <f t="shared" si="9"/>
        <v>0</v>
      </c>
      <c r="M56" s="774">
        <f t="shared" si="9"/>
        <v>0</v>
      </c>
    </row>
    <row r="57" spans="1:13" ht="11.25" customHeight="1" x14ac:dyDescent="0.25">
      <c r="A57" s="155" t="s">
        <v>1416</v>
      </c>
      <c r="B57" s="156"/>
      <c r="C57" s="157">
        <f>C30+C56</f>
        <v>11500000</v>
      </c>
      <c r="D57" s="117">
        <f t="shared" ref="D57:M57" si="10">D30+D56</f>
        <v>11500000</v>
      </c>
      <c r="E57" s="117">
        <f t="shared" si="10"/>
        <v>0</v>
      </c>
      <c r="F57" s="117">
        <f t="shared" si="10"/>
        <v>0</v>
      </c>
      <c r="G57" s="117">
        <f t="shared" si="10"/>
        <v>0</v>
      </c>
      <c r="H57" s="117">
        <f t="shared" si="10"/>
        <v>0</v>
      </c>
      <c r="I57" s="117">
        <f t="shared" si="10"/>
        <v>28000000</v>
      </c>
      <c r="J57" s="117">
        <f t="shared" si="10"/>
        <v>28000000</v>
      </c>
      <c r="K57" s="117">
        <f t="shared" si="10"/>
        <v>39500000</v>
      </c>
      <c r="L57" s="117">
        <f t="shared" si="10"/>
        <v>11500000</v>
      </c>
      <c r="M57" s="118">
        <f t="shared" si="10"/>
        <v>11500000</v>
      </c>
    </row>
    <row r="58" spans="1:13" ht="11.25" customHeight="1" x14ac:dyDescent="0.25">
      <c r="A58" s="158" t="str">
        <f>head27a</f>
        <v>References</v>
      </c>
      <c r="B58" s="93"/>
      <c r="C58" s="96"/>
      <c r="D58" s="96"/>
      <c r="E58" s="96"/>
      <c r="F58" s="96"/>
      <c r="G58" s="96"/>
      <c r="H58" s="96"/>
      <c r="I58" s="96"/>
      <c r="J58" s="96"/>
      <c r="K58" s="96"/>
      <c r="L58" s="96"/>
      <c r="M58" s="96"/>
    </row>
    <row r="59" spans="1:13" ht="11.25" customHeight="1" x14ac:dyDescent="0.25">
      <c r="A59" s="97" t="s">
        <v>185</v>
      </c>
      <c r="B59" s="93"/>
      <c r="C59" s="99"/>
      <c r="D59" s="99"/>
      <c r="E59" s="99"/>
      <c r="F59" s="99"/>
      <c r="G59" s="99"/>
      <c r="H59" s="99"/>
      <c r="I59" s="99"/>
      <c r="J59" s="99"/>
      <c r="K59" s="99"/>
      <c r="L59" s="99"/>
      <c r="M59" s="99"/>
    </row>
    <row r="60" spans="1:13" ht="11.25" customHeight="1" x14ac:dyDescent="0.25">
      <c r="A60" s="97" t="s">
        <v>186</v>
      </c>
      <c r="B60" s="93"/>
      <c r="C60" s="99"/>
      <c r="D60" s="99"/>
      <c r="E60" s="99"/>
      <c r="F60" s="99"/>
      <c r="G60" s="99"/>
      <c r="H60" s="99"/>
      <c r="I60" s="99"/>
      <c r="J60" s="99"/>
      <c r="K60" s="99"/>
      <c r="L60" s="99"/>
      <c r="M60" s="99"/>
    </row>
    <row r="61" spans="1:13" ht="11.25" customHeight="1" x14ac:dyDescent="0.25">
      <c r="A61" s="97" t="s">
        <v>187</v>
      </c>
      <c r="B61" s="93"/>
      <c r="C61" s="99"/>
      <c r="D61" s="99"/>
      <c r="E61" s="99"/>
      <c r="F61" s="99"/>
      <c r="G61" s="99"/>
      <c r="H61" s="99"/>
      <c r="I61" s="99"/>
      <c r="J61" s="99"/>
      <c r="K61" s="99"/>
      <c r="L61" s="99"/>
      <c r="M61" s="99"/>
    </row>
    <row r="62" spans="1:13" ht="11.25" customHeight="1" x14ac:dyDescent="0.25">
      <c r="A62" s="97" t="s">
        <v>188</v>
      </c>
      <c r="B62" s="93"/>
      <c r="C62" s="99"/>
      <c r="D62" s="99"/>
      <c r="E62" s="99"/>
      <c r="F62" s="99"/>
      <c r="G62" s="99"/>
      <c r="H62" s="99"/>
      <c r="I62" s="99"/>
      <c r="J62" s="99"/>
      <c r="K62" s="99"/>
      <c r="L62" s="99"/>
      <c r="M62" s="99"/>
    </row>
    <row r="63" spans="1:13" ht="11.25" customHeight="1" x14ac:dyDescent="0.25">
      <c r="A63" s="97" t="s">
        <v>189</v>
      </c>
      <c r="B63" s="93"/>
      <c r="C63" s="99"/>
      <c r="D63" s="99"/>
      <c r="E63" s="99"/>
      <c r="F63" s="99"/>
      <c r="G63" s="99"/>
      <c r="H63" s="99"/>
      <c r="I63" s="99"/>
      <c r="J63" s="99"/>
      <c r="K63" s="99"/>
      <c r="L63" s="99"/>
      <c r="M63" s="99"/>
    </row>
    <row r="64" spans="1:13" ht="11.25" customHeight="1" x14ac:dyDescent="0.25">
      <c r="A64" s="98" t="s">
        <v>160</v>
      </c>
      <c r="B64" s="98"/>
      <c r="C64" s="98"/>
      <c r="D64" s="98"/>
      <c r="E64" s="98"/>
      <c r="F64" s="98"/>
      <c r="G64" s="98"/>
      <c r="H64" s="98"/>
      <c r="I64" s="98"/>
      <c r="J64" s="98"/>
      <c r="K64" s="98"/>
      <c r="L64" s="98"/>
      <c r="M64" s="98"/>
    </row>
    <row r="65" spans="1:13" ht="11.25" customHeight="1" x14ac:dyDescent="0.25">
      <c r="A65" s="98" t="s">
        <v>1179</v>
      </c>
      <c r="B65" s="98"/>
      <c r="C65" s="98"/>
      <c r="D65" s="98"/>
      <c r="E65" s="98"/>
      <c r="F65" s="98"/>
      <c r="G65" s="98"/>
      <c r="H65" s="98"/>
      <c r="I65" s="98"/>
      <c r="J65" s="98"/>
      <c r="K65" s="98"/>
      <c r="L65" s="98"/>
      <c r="M65" s="98"/>
    </row>
    <row r="66" spans="1:13" ht="11.25" customHeight="1" x14ac:dyDescent="0.25">
      <c r="A66" s="98" t="s">
        <v>1180</v>
      </c>
      <c r="B66" s="98"/>
      <c r="C66" s="98"/>
      <c r="D66" s="98"/>
      <c r="E66" s="98"/>
      <c r="F66" s="98"/>
      <c r="G66" s="98"/>
      <c r="H66" s="98"/>
      <c r="I66" s="98"/>
      <c r="J66" s="98"/>
      <c r="K66" s="98"/>
      <c r="L66" s="98"/>
      <c r="M66" s="98"/>
    </row>
    <row r="67" spans="1:13" ht="25.5" x14ac:dyDescent="0.25">
      <c r="A67" s="98" t="s">
        <v>1181</v>
      </c>
      <c r="B67" s="98"/>
      <c r="C67" s="98"/>
      <c r="D67" s="98"/>
      <c r="E67" s="98"/>
      <c r="F67" s="98"/>
      <c r="G67" s="98"/>
      <c r="H67" s="98"/>
      <c r="I67" s="98"/>
      <c r="J67" s="98"/>
      <c r="K67" s="98"/>
      <c r="L67" s="98"/>
      <c r="M67" s="98"/>
    </row>
    <row r="68" spans="1:13" x14ac:dyDescent="0.25">
      <c r="A68" s="99" t="s">
        <v>1182</v>
      </c>
      <c r="B68" s="93"/>
      <c r="C68" s="96"/>
      <c r="D68" s="96"/>
      <c r="E68" s="96"/>
      <c r="F68" s="96"/>
      <c r="G68" s="96"/>
      <c r="H68" s="96"/>
      <c r="I68" s="96"/>
      <c r="J68" s="96"/>
      <c r="K68" s="96"/>
      <c r="L68" s="96"/>
      <c r="M68" s="96"/>
    </row>
    <row r="69" spans="1:13" ht="63.75" x14ac:dyDescent="0.25">
      <c r="A69" s="98" t="s">
        <v>1191</v>
      </c>
      <c r="B69" s="98"/>
      <c r="C69" s="98"/>
      <c r="D69" s="98"/>
      <c r="E69" s="98"/>
      <c r="F69" s="98"/>
      <c r="G69" s="98"/>
      <c r="H69" s="98"/>
      <c r="I69" s="98"/>
      <c r="J69" s="98"/>
      <c r="K69" s="98"/>
      <c r="L69" s="98"/>
      <c r="M69" s="98"/>
    </row>
    <row r="70" spans="1:13" x14ac:dyDescent="0.25">
      <c r="A70" s="99" t="s">
        <v>190</v>
      </c>
      <c r="B70" s="93"/>
      <c r="C70" s="96"/>
      <c r="D70" s="96"/>
      <c r="E70" s="96"/>
      <c r="F70" s="96"/>
      <c r="G70" s="96"/>
      <c r="H70" s="96"/>
      <c r="I70" s="96"/>
      <c r="J70" s="96"/>
      <c r="K70" s="96"/>
      <c r="L70" s="96"/>
      <c r="M70" s="96"/>
    </row>
    <row r="71" spans="1:13" x14ac:dyDescent="0.25">
      <c r="A71" s="99" t="s">
        <v>1193</v>
      </c>
      <c r="B71" s="99"/>
      <c r="C71" s="99"/>
      <c r="D71" s="99"/>
      <c r="E71" s="99"/>
      <c r="F71" s="99"/>
      <c r="G71" s="99"/>
      <c r="H71" s="99"/>
      <c r="I71" s="99"/>
      <c r="J71" s="99"/>
      <c r="K71" s="99"/>
      <c r="L71" s="99"/>
      <c r="M71" s="99"/>
    </row>
  </sheetData>
  <sheetProtection sheet="1" objects="1" scenarios="1"/>
  <mergeCells count="3">
    <mergeCell ref="A2:A4"/>
    <mergeCell ref="B2:B4"/>
    <mergeCell ref="C2:K2"/>
  </mergeCells>
  <phoneticPr fontId="4" type="noConversion"/>
  <printOptions horizontalCentered="1"/>
  <pageMargins left="0.35433070866141736" right="0.15748031496062992" top="0.78740157480314965" bottom="0.78740157480314965" header="0.51181102362204722" footer="0.51181102362204722"/>
  <pageSetup paperSize="9" scale="74"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0">
    <tabColor rgb="FF92D050"/>
    <pageSetUpPr fitToPage="1"/>
  </sheetPr>
  <dimension ref="A1:F104"/>
  <sheetViews>
    <sheetView workbookViewId="0">
      <pane ySplit="1" topLeftCell="A71" activePane="bottomLeft" state="frozen"/>
      <selection activeCell="C6" sqref="C6"/>
      <selection pane="bottomLeft" activeCell="F99" sqref="F99"/>
    </sheetView>
  </sheetViews>
  <sheetFormatPr defaultColWidth="9.140625" defaultRowHeight="11.25" x14ac:dyDescent="0.2"/>
  <cols>
    <col min="1" max="1" width="10.7109375" style="660" customWidth="1"/>
    <col min="2" max="2" width="92.140625" style="649" customWidth="1"/>
    <col min="3" max="3" width="18.7109375" style="649" customWidth="1"/>
    <col min="4" max="4" width="16.5703125" style="649" customWidth="1"/>
    <col min="5" max="5" width="78.85546875" style="649" bestFit="1" customWidth="1"/>
    <col min="6" max="6" width="70.28515625" style="649" bestFit="1" customWidth="1"/>
    <col min="7" max="16384" width="9.140625" style="649"/>
  </cols>
  <sheetData>
    <row r="1" spans="1:4" x14ac:dyDescent="0.2">
      <c r="A1" s="1374" t="s">
        <v>278</v>
      </c>
      <c r="B1" s="1375"/>
      <c r="C1" s="1375"/>
      <c r="D1" s="1376"/>
    </row>
    <row r="2" spans="1:4" x14ac:dyDescent="0.2">
      <c r="A2" s="785" t="s">
        <v>279</v>
      </c>
      <c r="B2" s="786" t="str">
        <f>HLOOKUP(MTREF,Headings,2)</f>
        <v>2019/20</v>
      </c>
      <c r="C2" s="787" t="s">
        <v>280</v>
      </c>
      <c r="D2" s="788"/>
    </row>
    <row r="3" spans="1:4" x14ac:dyDescent="0.2">
      <c r="A3" s="789" t="s">
        <v>281</v>
      </c>
      <c r="B3" s="790" t="str">
        <f>HLOOKUP(MTREF,Headings,3)</f>
        <v>2018/19</v>
      </c>
      <c r="C3" s="791" t="s">
        <v>282</v>
      </c>
      <c r="D3" s="792"/>
    </row>
    <row r="4" spans="1:4" x14ac:dyDescent="0.2">
      <c r="A4" s="789" t="s">
        <v>283</v>
      </c>
      <c r="B4" s="790" t="str">
        <f>HLOOKUP(MTREF,Headings,4)</f>
        <v>2017/18</v>
      </c>
      <c r="C4" s="791" t="s">
        <v>284</v>
      </c>
      <c r="D4" s="792"/>
    </row>
    <row r="5" spans="1:4" x14ac:dyDescent="0.2">
      <c r="A5" s="789" t="s">
        <v>285</v>
      </c>
      <c r="B5" s="791" t="str">
        <f>HLOOKUP(MTREF,Headings,7)</f>
        <v>Budget Year 2020/21</v>
      </c>
      <c r="C5" s="791" t="s">
        <v>286</v>
      </c>
      <c r="D5" s="792"/>
    </row>
    <row r="6" spans="1:4" x14ac:dyDescent="0.2">
      <c r="A6" s="789" t="s">
        <v>287</v>
      </c>
      <c r="B6" s="791" t="str">
        <f>HLOOKUP(MTREF,Headings,6)</f>
        <v>2020/21</v>
      </c>
      <c r="C6" s="791" t="s">
        <v>288</v>
      </c>
      <c r="D6" s="792"/>
    </row>
    <row r="7" spans="1:4" x14ac:dyDescent="0.2">
      <c r="A7" s="789" t="s">
        <v>289</v>
      </c>
      <c r="B7" s="791" t="str">
        <f>HLOOKUP(MTREF,Headings,5)</f>
        <v>2020/21 Medium Term Revenue &amp; Expenditure Framework</v>
      </c>
      <c r="C7" s="791" t="s">
        <v>290</v>
      </c>
      <c r="D7" s="792"/>
    </row>
    <row r="8" spans="1:4" x14ac:dyDescent="0.2">
      <c r="A8" s="657" t="s">
        <v>291</v>
      </c>
      <c r="B8" s="648" t="s">
        <v>223</v>
      </c>
      <c r="C8" s="648"/>
      <c r="D8" s="658"/>
    </row>
    <row r="9" spans="1:4" x14ac:dyDescent="0.2">
      <c r="A9" s="657" t="s">
        <v>292</v>
      </c>
      <c r="B9" s="648" t="s">
        <v>293</v>
      </c>
      <c r="C9" s="648"/>
      <c r="D9" s="658"/>
    </row>
    <row r="10" spans="1:4" x14ac:dyDescent="0.2">
      <c r="A10" s="657" t="s">
        <v>300</v>
      </c>
      <c r="B10" s="648" t="s">
        <v>301</v>
      </c>
      <c r="C10" s="648"/>
      <c r="D10" s="658"/>
    </row>
    <row r="11" spans="1:4" x14ac:dyDescent="0.2">
      <c r="A11" s="657" t="s">
        <v>302</v>
      </c>
      <c r="B11" s="648" t="s">
        <v>303</v>
      </c>
      <c r="C11" s="648"/>
      <c r="D11" s="658"/>
    </row>
    <row r="12" spans="1:4" x14ac:dyDescent="0.2">
      <c r="A12" s="657" t="s">
        <v>304</v>
      </c>
      <c r="B12" s="648" t="s">
        <v>305</v>
      </c>
      <c r="C12" s="648"/>
      <c r="D12" s="658"/>
    </row>
    <row r="13" spans="1:4" x14ac:dyDescent="0.2">
      <c r="A13" s="657" t="s">
        <v>306</v>
      </c>
      <c r="B13" s="648" t="s">
        <v>307</v>
      </c>
      <c r="C13" s="648"/>
      <c r="D13" s="658"/>
    </row>
    <row r="14" spans="1:4" x14ac:dyDescent="0.2">
      <c r="A14" s="657" t="s">
        <v>308</v>
      </c>
      <c r="B14" s="648" t="s">
        <v>237</v>
      </c>
      <c r="C14" s="648"/>
      <c r="D14" s="658"/>
    </row>
    <row r="15" spans="1:4" x14ac:dyDescent="0.2">
      <c r="A15" s="657" t="s">
        <v>309</v>
      </c>
      <c r="B15" s="648" t="s">
        <v>310</v>
      </c>
      <c r="C15" s="648"/>
      <c r="D15" s="658"/>
    </row>
    <row r="16" spans="1:4" x14ac:dyDescent="0.2">
      <c r="A16" s="789" t="s">
        <v>311</v>
      </c>
      <c r="B16" s="791" t="str">
        <f>HLOOKUP(MTREF,Headings,7)</f>
        <v>Budget Year 2020/21</v>
      </c>
      <c r="C16" s="791" t="s">
        <v>312</v>
      </c>
      <c r="D16" s="793" t="s">
        <v>313</v>
      </c>
    </row>
    <row r="17" spans="1:4" x14ac:dyDescent="0.2">
      <c r="A17" s="789" t="s">
        <v>314</v>
      </c>
      <c r="B17" s="791" t="str">
        <f>HLOOKUP(MTREF,Headings,8)</f>
        <v>Budget Year +1 2021/22</v>
      </c>
      <c r="C17" s="791" t="s">
        <v>315</v>
      </c>
      <c r="D17" s="793" t="s">
        <v>316</v>
      </c>
    </row>
    <row r="18" spans="1:4" x14ac:dyDescent="0.2">
      <c r="A18" s="789" t="s">
        <v>317</v>
      </c>
      <c r="B18" s="791" t="str">
        <f>HLOOKUP(MTREF,Headings,9)</f>
        <v>Budget Year +2 2022/23</v>
      </c>
      <c r="C18" s="791" t="s">
        <v>318</v>
      </c>
      <c r="D18" s="793" t="s">
        <v>319</v>
      </c>
    </row>
    <row r="19" spans="1:4" x14ac:dyDescent="0.2">
      <c r="A19" s="657" t="s">
        <v>320</v>
      </c>
      <c r="B19" s="648" t="s">
        <v>244</v>
      </c>
      <c r="C19" s="648"/>
      <c r="D19" s="659" t="s">
        <v>321</v>
      </c>
    </row>
    <row r="20" spans="1:4" x14ac:dyDescent="0.2">
      <c r="A20" s="657" t="s">
        <v>322</v>
      </c>
      <c r="B20" s="648" t="s">
        <v>323</v>
      </c>
      <c r="C20" s="648"/>
      <c r="D20" s="659" t="s">
        <v>324</v>
      </c>
    </row>
    <row r="21" spans="1:4" x14ac:dyDescent="0.2">
      <c r="A21" s="657" t="s">
        <v>325</v>
      </c>
      <c r="B21" s="648" t="s">
        <v>326</v>
      </c>
      <c r="C21" s="648"/>
      <c r="D21" s="659"/>
    </row>
    <row r="22" spans="1:4" x14ac:dyDescent="0.2">
      <c r="A22" s="657" t="s">
        <v>327</v>
      </c>
      <c r="B22" s="648" t="s">
        <v>519</v>
      </c>
      <c r="C22" s="648"/>
      <c r="D22" s="659"/>
    </row>
    <row r="23" spans="1:4" x14ac:dyDescent="0.2">
      <c r="A23" s="657" t="s">
        <v>328</v>
      </c>
      <c r="B23" s="648" t="s">
        <v>573</v>
      </c>
      <c r="C23" s="648"/>
      <c r="D23" s="659" t="s">
        <v>329</v>
      </c>
    </row>
    <row r="24" spans="1:4" x14ac:dyDescent="0.2">
      <c r="A24" s="657" t="s">
        <v>330</v>
      </c>
      <c r="B24" s="648" t="s">
        <v>274</v>
      </c>
      <c r="C24" s="648"/>
      <c r="D24" s="659"/>
    </row>
    <row r="25" spans="1:4" x14ac:dyDescent="0.2">
      <c r="A25" s="657" t="s">
        <v>331</v>
      </c>
      <c r="B25" s="648" t="s">
        <v>332</v>
      </c>
      <c r="C25" s="648"/>
      <c r="D25" s="659"/>
    </row>
    <row r="26" spans="1:4" x14ac:dyDescent="0.2">
      <c r="A26" s="657" t="s">
        <v>333</v>
      </c>
      <c r="B26" s="648" t="s">
        <v>334</v>
      </c>
      <c r="C26" s="648"/>
      <c r="D26" s="659"/>
    </row>
    <row r="27" spans="1:4" x14ac:dyDescent="0.2">
      <c r="A27" s="657" t="s">
        <v>335</v>
      </c>
      <c r="B27" s="648" t="s">
        <v>336</v>
      </c>
      <c r="C27" s="648"/>
      <c r="D27" s="659"/>
    </row>
    <row r="28" spans="1:4" x14ac:dyDescent="0.2">
      <c r="A28" s="657" t="s">
        <v>337</v>
      </c>
      <c r="B28" s="648" t="s">
        <v>338</v>
      </c>
      <c r="C28" s="648"/>
      <c r="D28" s="659"/>
    </row>
    <row r="29" spans="1:4" x14ac:dyDescent="0.2">
      <c r="A29" s="657" t="s">
        <v>339</v>
      </c>
      <c r="B29" s="648" t="s">
        <v>340</v>
      </c>
      <c r="C29" s="648"/>
      <c r="D29" s="659"/>
    </row>
    <row r="30" spans="1:4" x14ac:dyDescent="0.2">
      <c r="A30" s="657" t="s">
        <v>341</v>
      </c>
      <c r="B30" s="648" t="s">
        <v>342</v>
      </c>
      <c r="C30" s="648"/>
      <c r="D30" s="659"/>
    </row>
    <row r="31" spans="1:4" x14ac:dyDescent="0.2">
      <c r="A31" s="657" t="s">
        <v>343</v>
      </c>
      <c r="B31" s="648" t="s">
        <v>344</v>
      </c>
      <c r="C31" s="648"/>
      <c r="D31" s="659"/>
    </row>
    <row r="32" spans="1:4" x14ac:dyDescent="0.2">
      <c r="A32" s="657" t="s">
        <v>345</v>
      </c>
      <c r="B32" s="648" t="s">
        <v>346</v>
      </c>
      <c r="C32" s="648"/>
      <c r="D32" s="659"/>
    </row>
    <row r="33" spans="1:4" x14ac:dyDescent="0.2">
      <c r="A33" s="657" t="s">
        <v>347</v>
      </c>
      <c r="B33" s="648" t="s">
        <v>348</v>
      </c>
      <c r="C33" s="648"/>
      <c r="D33" s="659"/>
    </row>
    <row r="34" spans="1:4" x14ac:dyDescent="0.2">
      <c r="A34" s="657" t="s">
        <v>349</v>
      </c>
      <c r="B34" s="648" t="s">
        <v>350</v>
      </c>
      <c r="C34" s="648"/>
      <c r="D34" s="659"/>
    </row>
    <row r="35" spans="1:4" x14ac:dyDescent="0.2">
      <c r="A35" s="657" t="s">
        <v>351</v>
      </c>
      <c r="B35" s="647" t="s">
        <v>352</v>
      </c>
      <c r="C35" s="648"/>
      <c r="D35" s="659"/>
    </row>
    <row r="36" spans="1:4" x14ac:dyDescent="0.2">
      <c r="A36" s="657" t="s">
        <v>353</v>
      </c>
      <c r="B36" s="647" t="s">
        <v>354</v>
      </c>
      <c r="C36" s="648"/>
      <c r="D36" s="659"/>
    </row>
    <row r="37" spans="1:4" x14ac:dyDescent="0.2">
      <c r="A37" s="657" t="s">
        <v>355</v>
      </c>
      <c r="B37" s="647" t="s">
        <v>356</v>
      </c>
      <c r="C37" s="648"/>
      <c r="D37" s="659"/>
    </row>
    <row r="38" spans="1:4" x14ac:dyDescent="0.2">
      <c r="A38" s="657" t="s">
        <v>357</v>
      </c>
      <c r="B38" s="647" t="str">
        <f>Head3&amp;" Summary"</f>
        <v>2020/21 Medium Term Revenue &amp; Expenditure Framework Summary</v>
      </c>
      <c r="C38" s="648"/>
      <c r="D38" s="659"/>
    </row>
    <row r="39" spans="1:4" x14ac:dyDescent="0.2">
      <c r="A39" s="657" t="s">
        <v>358</v>
      </c>
      <c r="B39" s="1181" t="s">
        <v>360</v>
      </c>
      <c r="C39" s="648"/>
      <c r="D39" s="659"/>
    </row>
    <row r="40" spans="1:4" x14ac:dyDescent="0.2">
      <c r="A40" s="657" t="s">
        <v>359</v>
      </c>
      <c r="B40" s="1181" t="s">
        <v>1458</v>
      </c>
      <c r="C40" s="648"/>
      <c r="D40" s="659"/>
    </row>
    <row r="41" spans="1:4" x14ac:dyDescent="0.2">
      <c r="A41" s="657" t="s">
        <v>361</v>
      </c>
      <c r="B41" s="1182" t="s">
        <v>1459</v>
      </c>
      <c r="C41" s="650"/>
      <c r="D41" s="659"/>
    </row>
    <row r="42" spans="1:4" x14ac:dyDescent="0.2">
      <c r="A42" s="657" t="s">
        <v>362</v>
      </c>
      <c r="B42" s="1181" t="s">
        <v>363</v>
      </c>
      <c r="C42" s="648"/>
      <c r="D42" s="659"/>
    </row>
    <row r="43" spans="1:4" x14ac:dyDescent="0.2">
      <c r="A43" s="657" t="s">
        <v>364</v>
      </c>
      <c r="B43" s="1181" t="s">
        <v>365</v>
      </c>
      <c r="C43" s="648"/>
      <c r="D43" s="659"/>
    </row>
    <row r="44" spans="1:4" x14ac:dyDescent="0.2">
      <c r="A44" s="657" t="s">
        <v>366</v>
      </c>
      <c r="B44" s="1183"/>
      <c r="C44" s="648"/>
      <c r="D44" s="659"/>
    </row>
    <row r="45" spans="1:4" x14ac:dyDescent="0.2">
      <c r="A45" s="657" t="s">
        <v>367</v>
      </c>
      <c r="B45" s="1181" t="s">
        <v>368</v>
      </c>
      <c r="C45" s="648"/>
      <c r="D45" s="659"/>
    </row>
    <row r="46" spans="1:4" x14ac:dyDescent="0.2">
      <c r="A46" s="657" t="s">
        <v>369</v>
      </c>
      <c r="B46" s="1181" t="s">
        <v>370</v>
      </c>
      <c r="C46" s="648"/>
      <c r="D46" s="659"/>
    </row>
    <row r="47" spans="1:4" x14ac:dyDescent="0.2">
      <c r="A47" s="657" t="s">
        <v>371</v>
      </c>
      <c r="B47" s="1181" t="s">
        <v>372</v>
      </c>
      <c r="C47" s="648"/>
      <c r="D47" s="659"/>
    </row>
    <row r="48" spans="1:4" x14ac:dyDescent="0.2">
      <c r="A48" s="657" t="s">
        <v>373</v>
      </c>
      <c r="B48" s="1181" t="s">
        <v>374</v>
      </c>
      <c r="C48" s="648"/>
      <c r="D48" s="659"/>
    </row>
    <row r="49" spans="1:4" x14ac:dyDescent="0.2">
      <c r="A49" s="657" t="s">
        <v>375</v>
      </c>
      <c r="B49" s="1181" t="s">
        <v>376</v>
      </c>
      <c r="C49" s="648"/>
      <c r="D49" s="659"/>
    </row>
    <row r="50" spans="1:4" x14ac:dyDescent="0.2">
      <c r="A50" s="657" t="s">
        <v>377</v>
      </c>
      <c r="B50" s="1181" t="s">
        <v>378</v>
      </c>
      <c r="C50" s="648"/>
      <c r="D50" s="659"/>
    </row>
    <row r="51" spans="1:4" x14ac:dyDescent="0.2">
      <c r="A51" s="657" t="s">
        <v>379</v>
      </c>
      <c r="B51" s="1181" t="s">
        <v>380</v>
      </c>
      <c r="C51" s="648"/>
      <c r="D51" s="659"/>
    </row>
    <row r="52" spans="1:4" x14ac:dyDescent="0.2">
      <c r="A52" s="657" t="s">
        <v>381</v>
      </c>
      <c r="B52" s="647" t="s">
        <v>382</v>
      </c>
      <c r="C52" s="648"/>
      <c r="D52" s="659"/>
    </row>
    <row r="53" spans="1:4" x14ac:dyDescent="0.2">
      <c r="A53" s="657" t="s">
        <v>383</v>
      </c>
      <c r="B53" s="647" t="s">
        <v>384</v>
      </c>
      <c r="C53" s="648"/>
      <c r="D53" s="659"/>
    </row>
    <row r="54" spans="1:4" x14ac:dyDescent="0.2">
      <c r="A54" s="657" t="s">
        <v>385</v>
      </c>
      <c r="B54" s="647" t="s">
        <v>386</v>
      </c>
      <c r="C54" s="648"/>
      <c r="D54" s="659"/>
    </row>
    <row r="55" spans="1:4" x14ac:dyDescent="0.2">
      <c r="A55" s="657" t="s">
        <v>387</v>
      </c>
      <c r="B55" s="647" t="s">
        <v>388</v>
      </c>
      <c r="C55" s="648"/>
      <c r="D55" s="659"/>
    </row>
    <row r="56" spans="1:4" x14ac:dyDescent="0.2">
      <c r="A56" s="657" t="s">
        <v>389</v>
      </c>
      <c r="B56" s="647" t="s">
        <v>390</v>
      </c>
      <c r="C56" s="648"/>
      <c r="D56" s="659"/>
    </row>
    <row r="57" spans="1:4" x14ac:dyDescent="0.2">
      <c r="A57" s="657" t="s">
        <v>391</v>
      </c>
      <c r="B57" s="647" t="s">
        <v>392</v>
      </c>
      <c r="C57" s="648"/>
      <c r="D57" s="659"/>
    </row>
    <row r="58" spans="1:4" x14ac:dyDescent="0.2">
      <c r="A58" s="657" t="s">
        <v>393</v>
      </c>
      <c r="B58" s="647" t="s">
        <v>394</v>
      </c>
      <c r="C58" s="648"/>
      <c r="D58" s="659"/>
    </row>
    <row r="59" spans="1:4" x14ac:dyDescent="0.2">
      <c r="A59" s="657" t="s">
        <v>395</v>
      </c>
      <c r="B59" s="647" t="s">
        <v>396</v>
      </c>
      <c r="C59" s="648"/>
      <c r="D59" s="659"/>
    </row>
    <row r="60" spans="1:4" x14ac:dyDescent="0.2">
      <c r="A60" s="657" t="s">
        <v>397</v>
      </c>
      <c r="B60" s="647" t="s">
        <v>398</v>
      </c>
      <c r="C60" s="648"/>
      <c r="D60" s="659"/>
    </row>
    <row r="61" spans="1:4" x14ac:dyDescent="0.2">
      <c r="A61" s="657" t="s">
        <v>399</v>
      </c>
      <c r="B61" s="647" t="s">
        <v>400</v>
      </c>
      <c r="C61" s="648"/>
      <c r="D61" s="659"/>
    </row>
    <row r="62" spans="1:4" x14ac:dyDescent="0.2">
      <c r="A62" s="1377" t="s">
        <v>401</v>
      </c>
      <c r="B62" s="1378"/>
      <c r="C62" s="1378"/>
      <c r="D62" s="1379"/>
    </row>
    <row r="63" spans="1:4" x14ac:dyDescent="0.2">
      <c r="A63" s="794" t="s">
        <v>402</v>
      </c>
      <c r="B63" s="670" t="str">
        <f>'Lookup and lists'!B28</f>
        <v>LIM354 Polokwane</v>
      </c>
      <c r="C63" s="670"/>
      <c r="D63" s="660"/>
    </row>
    <row r="64" spans="1:4" x14ac:dyDescent="0.2">
      <c r="A64" s="794" t="s">
        <v>219</v>
      </c>
      <c r="B64" s="795">
        <v>2</v>
      </c>
      <c r="C64" s="670" t="s">
        <v>220</v>
      </c>
      <c r="D64" s="660">
        <v>1</v>
      </c>
    </row>
    <row r="65" spans="1:6" x14ac:dyDescent="0.2">
      <c r="A65" s="698" t="str">
        <f>IF((MuniEntities=1)*(MuniType=2),"YES","NO")</f>
        <v>NO</v>
      </c>
      <c r="B65" s="2" t="s">
        <v>403</v>
      </c>
      <c r="C65" s="671"/>
      <c r="D65" s="660"/>
    </row>
    <row r="66" spans="1:6" x14ac:dyDescent="0.2">
      <c r="A66" s="1380" t="s">
        <v>404</v>
      </c>
      <c r="B66" s="1381"/>
      <c r="C66" s="661"/>
      <c r="D66" s="661"/>
      <c r="E66" s="662" t="s">
        <v>405</v>
      </c>
      <c r="F66" s="662" t="s">
        <v>406</v>
      </c>
    </row>
    <row r="67" spans="1:6" x14ac:dyDescent="0.2">
      <c r="A67" s="657" t="s">
        <v>407</v>
      </c>
      <c r="B67" s="648" t="str">
        <f t="shared" ref="B67:B100" si="0">D67&amp;IF(Consolques="YES",E67,F67)</f>
        <v>Table B1 Adjustments Budget Summary</v>
      </c>
      <c r="C67" s="648"/>
      <c r="D67" s="663" t="s">
        <v>408</v>
      </c>
      <c r="E67" s="649" t="str">
        <f>"Consolidated "&amp;F67</f>
        <v>Consolidated Adjustments Budget Summary</v>
      </c>
      <c r="F67" s="649" t="str">
        <f>"Adjustments Budget Summary"</f>
        <v>Adjustments Budget Summary</v>
      </c>
    </row>
    <row r="68" spans="1:6" x14ac:dyDescent="0.2">
      <c r="A68" s="657" t="s">
        <v>409</v>
      </c>
      <c r="B68" s="648" t="str">
        <f t="shared" si="0"/>
        <v>Table B3 Adjustments Budget Financial Performance (revenue and expenditure by municipal vote)</v>
      </c>
      <c r="C68" s="648"/>
      <c r="D68" s="663" t="s">
        <v>412</v>
      </c>
      <c r="E68" s="649" t="str">
        <f t="shared" ref="E68:E99" si="1">"Consolidated "&amp;F68</f>
        <v>Consolidated Adjustments Budget Financial Performance (revenue and expenditure by municipal vote)</v>
      </c>
      <c r="F68" s="649" t="str">
        <f>"Adjustments Budget Financial Performance (revenue and expenditure by municipal vote)"</f>
        <v>Adjustments Budget Financial Performance (revenue and expenditure by municipal vote)</v>
      </c>
    </row>
    <row r="69" spans="1:6" x14ac:dyDescent="0.2">
      <c r="A69" s="657" t="s">
        <v>411</v>
      </c>
      <c r="B69" s="648" t="str">
        <f t="shared" si="0"/>
        <v>Table B2 Adjustments Budget Financial Performance (functional classification)</v>
      </c>
      <c r="C69" s="648"/>
      <c r="D69" s="663" t="s">
        <v>410</v>
      </c>
      <c r="E69" s="649" t="str">
        <f t="shared" si="1"/>
        <v>Consolidated Adjustments Budget Financial Performance (functional classification)</v>
      </c>
      <c r="F69" s="649" t="str">
        <f>"Adjustments Budget Financial Performance (functional classification)"</f>
        <v>Adjustments Budget Financial Performance (functional classification)</v>
      </c>
    </row>
    <row r="70" spans="1:6" x14ac:dyDescent="0.2">
      <c r="A70" s="657" t="s">
        <v>413</v>
      </c>
      <c r="B70" s="648" t="str">
        <f t="shared" si="0"/>
        <v>Table B4 Adjustments Budget Financial Performance (revenue and expenditure)</v>
      </c>
      <c r="C70" s="648"/>
      <c r="D70" s="663" t="s">
        <v>414</v>
      </c>
      <c r="E70" s="649" t="str">
        <f t="shared" si="1"/>
        <v>Consolidated Adjustments Budget Financial Performance (revenue and expenditure)</v>
      </c>
      <c r="F70" s="649" t="str">
        <f>"Adjustments Budget Financial Performance (revenue and expenditure)"</f>
        <v>Adjustments Budget Financial Performance (revenue and expenditure)</v>
      </c>
    </row>
    <row r="71" spans="1:6" x14ac:dyDescent="0.2">
      <c r="A71" s="657" t="s">
        <v>415</v>
      </c>
      <c r="B71" s="648" t="str">
        <f t="shared" si="0"/>
        <v>Table B5 Adjustments Capital Expenditure Budget by vote and funding</v>
      </c>
      <c r="C71" s="648"/>
      <c r="D71" s="663" t="s">
        <v>416</v>
      </c>
      <c r="E71" s="649" t="str">
        <f t="shared" si="1"/>
        <v>Consolidated Adjustments Capital Expenditure Budget by vote and funding</v>
      </c>
      <c r="F71" s="649" t="str">
        <f>"Adjustments Capital Expenditure Budget by vote and funding"</f>
        <v>Adjustments Capital Expenditure Budget by vote and funding</v>
      </c>
    </row>
    <row r="72" spans="1:6" x14ac:dyDescent="0.2">
      <c r="A72" s="657" t="s">
        <v>417</v>
      </c>
      <c r="B72" s="648" t="str">
        <f t="shared" si="0"/>
        <v>Table B6 Adjustments Budget Financial Position</v>
      </c>
      <c r="C72" s="648"/>
      <c r="D72" s="663" t="s">
        <v>418</v>
      </c>
      <c r="E72" s="649" t="str">
        <f t="shared" si="1"/>
        <v>Consolidated Adjustments Budget Financial Position</v>
      </c>
      <c r="F72" s="649" t="str">
        <f>"Adjustments Budget Financial Position"</f>
        <v>Adjustments Budget Financial Position</v>
      </c>
    </row>
    <row r="73" spans="1:6" x14ac:dyDescent="0.2">
      <c r="A73" s="657" t="s">
        <v>419</v>
      </c>
      <c r="B73" s="648" t="str">
        <f t="shared" si="0"/>
        <v>Table B7 Adjustments Budget Cash Flows</v>
      </c>
      <c r="C73" s="648"/>
      <c r="D73" s="663" t="s">
        <v>420</v>
      </c>
      <c r="E73" s="649" t="str">
        <f t="shared" si="1"/>
        <v>Consolidated Adjustments Budget Cash Flows</v>
      </c>
      <c r="F73" s="649" t="str">
        <f>"Adjustments Budget Cash Flows"</f>
        <v>Adjustments Budget Cash Flows</v>
      </c>
    </row>
    <row r="74" spans="1:6" x14ac:dyDescent="0.2">
      <c r="A74" s="657" t="s">
        <v>421</v>
      </c>
      <c r="B74" s="648" t="str">
        <f t="shared" si="0"/>
        <v>Table B8 Cash backed reserves/accumulated surplus reconciliation</v>
      </c>
      <c r="C74" s="648"/>
      <c r="D74" s="663" t="s">
        <v>422</v>
      </c>
      <c r="E74" s="649" t="str">
        <f t="shared" si="1"/>
        <v>Consolidated Cash backed reserves/accumulated surplus reconciliation</v>
      </c>
      <c r="F74" s="649" t="str">
        <f>"Cash backed reserves/accumulated surplus reconciliation"</f>
        <v>Cash backed reserves/accumulated surplus reconciliation</v>
      </c>
    </row>
    <row r="75" spans="1:6" x14ac:dyDescent="0.2">
      <c r="A75" s="657" t="s">
        <v>423</v>
      </c>
      <c r="B75" s="648" t="str">
        <f t="shared" si="0"/>
        <v>Table B9 Asset Management</v>
      </c>
      <c r="C75" s="648"/>
      <c r="D75" s="663" t="s">
        <v>424</v>
      </c>
      <c r="E75" s="649" t="str">
        <f t="shared" si="1"/>
        <v>Consolidated Asset Management</v>
      </c>
      <c r="F75" s="649" t="str">
        <f>"Asset Management"</f>
        <v>Asset Management</v>
      </c>
    </row>
    <row r="76" spans="1:6" x14ac:dyDescent="0.2">
      <c r="A76" s="657" t="s">
        <v>425</v>
      </c>
      <c r="B76" s="648" t="str">
        <f t="shared" si="0"/>
        <v>Table B10 Basic service delivery measurement</v>
      </c>
      <c r="C76" s="648"/>
      <c r="D76" s="663" t="s">
        <v>426</v>
      </c>
      <c r="E76" s="649" t="str">
        <f t="shared" si="1"/>
        <v>Consolidated Basic service delivery measurement</v>
      </c>
      <c r="F76" s="649" t="str">
        <f>"Basic service delivery measurement"</f>
        <v>Basic service delivery measurement</v>
      </c>
    </row>
    <row r="77" spans="1:6" x14ac:dyDescent="0.2">
      <c r="A77" s="657" t="s">
        <v>427</v>
      </c>
      <c r="B77" s="648" t="str">
        <f t="shared" si="0"/>
        <v>Supporting Table SB1 Supporting detail to 'Budgeted Financial Performance'</v>
      </c>
      <c r="C77" s="648"/>
      <c r="D77" s="663" t="str">
        <f>D101&amp;"Table SB1 "</f>
        <v xml:space="preserve">Supporting Table SB1 </v>
      </c>
      <c r="E77" s="649" t="str">
        <f t="shared" si="1"/>
        <v>Consolidated Supporting detail to 'Budgeted Financial Performance'</v>
      </c>
      <c r="F77" s="649" t="str">
        <f>"Supporting detail to 'Budgeted Financial Performance'"</f>
        <v>Supporting detail to 'Budgeted Financial Performance'</v>
      </c>
    </row>
    <row r="78" spans="1:6" x14ac:dyDescent="0.2">
      <c r="A78" s="657" t="s">
        <v>428</v>
      </c>
      <c r="B78" s="648" t="str">
        <f t="shared" si="0"/>
        <v>Supporting Table SB2 Supporting detail to 'Financial Position Budget'</v>
      </c>
      <c r="C78" s="648"/>
      <c r="D78" s="663" t="str">
        <f>D101&amp;"Table SB2 "</f>
        <v xml:space="preserve">Supporting Table SB2 </v>
      </c>
      <c r="E78" s="649" t="str">
        <f t="shared" si="1"/>
        <v>Consolidated Supporting detail to 'Financial Position Budget'</v>
      </c>
      <c r="F78" s="649" t="str">
        <f>"Supporting detail to 'Financial Position Budget'"</f>
        <v>Supporting detail to 'Financial Position Budget'</v>
      </c>
    </row>
    <row r="79" spans="1:6" x14ac:dyDescent="0.2">
      <c r="A79" s="657" t="s">
        <v>429</v>
      </c>
      <c r="B79" s="648" t="str">
        <f t="shared" si="0"/>
        <v>Supporting Table SB3 Adjustments to the SDBIP - performance objectives</v>
      </c>
      <c r="C79" s="648"/>
      <c r="D79" s="663" t="str">
        <f>D101&amp;"Table SB3 "</f>
        <v xml:space="preserve">Supporting Table SB3 </v>
      </c>
      <c r="E79" s="649" t="str">
        <f t="shared" si="1"/>
        <v>Consolidated Adjustments to the SDBIP - performance objectives</v>
      </c>
      <c r="F79" s="649" t="str">
        <f>"Adjustments to the SDBIP - performance objectives"</f>
        <v>Adjustments to the SDBIP - performance objectives</v>
      </c>
    </row>
    <row r="80" spans="1:6" x14ac:dyDescent="0.2">
      <c r="A80" s="657" t="s">
        <v>430</v>
      </c>
      <c r="B80" s="648" t="str">
        <f t="shared" si="0"/>
        <v>Supporting Table SB4 Adjustments to budgeted performance indicators and benchmarks</v>
      </c>
      <c r="C80" s="664"/>
      <c r="D80" s="663" t="str">
        <f>D101&amp;"Table SB4 "</f>
        <v xml:space="preserve">Supporting Table SB4 </v>
      </c>
      <c r="E80" s="649" t="str">
        <f t="shared" si="1"/>
        <v>Consolidated Adjustments to budgeted performance indicators and benchmarks</v>
      </c>
      <c r="F80" s="665" t="str">
        <f>"Adjustments to budgeted performance indicators and benchmarks"</f>
        <v>Adjustments to budgeted performance indicators and benchmarks</v>
      </c>
    </row>
    <row r="81" spans="1:6" x14ac:dyDescent="0.2">
      <c r="A81" s="657" t="s">
        <v>431</v>
      </c>
      <c r="B81" s="648" t="str">
        <f t="shared" si="0"/>
        <v>Supporting Table SB5 Adjustments Budget - social, economic and demographic statistics and assumptions</v>
      </c>
      <c r="C81" s="664"/>
      <c r="D81" s="663" t="str">
        <f>D101&amp;"Table SB5 "</f>
        <v xml:space="preserve">Supporting Table SB5 </v>
      </c>
      <c r="E81" s="649" t="str">
        <f t="shared" si="1"/>
        <v>Consolidated Adjustments Budget - social, economic and demographic statistics and assumptions</v>
      </c>
      <c r="F81" s="664" t="str">
        <f>"Adjustments Budget - social, economic and demographic statistics and assumptions"</f>
        <v>Adjustments Budget - social, economic and demographic statistics and assumptions</v>
      </c>
    </row>
    <row r="82" spans="1:6" x14ac:dyDescent="0.2">
      <c r="A82" s="657" t="s">
        <v>432</v>
      </c>
      <c r="B82" s="648" t="str">
        <f t="shared" si="0"/>
        <v>Supporting Table SB6 Adjustments Budget - funding measurement</v>
      </c>
      <c r="C82" s="664"/>
      <c r="D82" s="663" t="str">
        <f>D101&amp;"Table SB6 "</f>
        <v xml:space="preserve">Supporting Table SB6 </v>
      </c>
      <c r="E82" s="649" t="str">
        <f t="shared" si="1"/>
        <v>Consolidated Adjustments Budget - funding measurement</v>
      </c>
      <c r="F82" s="664" t="str">
        <f>"Adjustments Budget - funding measurement"</f>
        <v>Adjustments Budget - funding measurement</v>
      </c>
    </row>
    <row r="83" spans="1:6" x14ac:dyDescent="0.2">
      <c r="A83" s="657" t="s">
        <v>433</v>
      </c>
      <c r="B83" s="648" t="str">
        <f t="shared" si="0"/>
        <v>Supporting Table SB7 Adjustments Budget - transfers and grant receipts</v>
      </c>
      <c r="C83" s="664"/>
      <c r="D83" s="663" t="str">
        <f>D101&amp;"Table SB7 "</f>
        <v xml:space="preserve">Supporting Table SB7 </v>
      </c>
      <c r="E83" s="649" t="str">
        <f t="shared" si="1"/>
        <v>Consolidated Adjustments Budget - transfers and grant receipts</v>
      </c>
      <c r="F83" s="664" t="str">
        <f>"Adjustments Budget - transfers and grant receipts"</f>
        <v>Adjustments Budget - transfers and grant receipts</v>
      </c>
    </row>
    <row r="84" spans="1:6" x14ac:dyDescent="0.2">
      <c r="A84" s="657" t="s">
        <v>434</v>
      </c>
      <c r="B84" s="648" t="str">
        <f t="shared" si="0"/>
        <v>Supporting Table SB8 Adjustments Budget - expenditure on transfers and grant programme</v>
      </c>
      <c r="C84" s="664"/>
      <c r="D84" s="663" t="str">
        <f>D101&amp;"Table SB8 "</f>
        <v xml:space="preserve">Supporting Table SB8 </v>
      </c>
      <c r="E84" s="649" t="str">
        <f t="shared" si="1"/>
        <v>Consolidated Adjustments Budget - expenditure on transfers and grant programme</v>
      </c>
      <c r="F84" s="664" t="str">
        <f>"Adjustments Budget - expenditure on transfers and grant programme"</f>
        <v>Adjustments Budget - expenditure on transfers and grant programme</v>
      </c>
    </row>
    <row r="85" spans="1:6" x14ac:dyDescent="0.2">
      <c r="A85" s="657" t="s">
        <v>435</v>
      </c>
      <c r="B85" s="648" t="str">
        <f t="shared" si="0"/>
        <v>Supporting Table SB9 Adjustments Budget - reconciliation of transfers, grant receipts, and unspent funds</v>
      </c>
      <c r="C85" s="664"/>
      <c r="D85" s="663" t="str">
        <f>D101&amp;"Table SB9 "</f>
        <v xml:space="preserve">Supporting Table SB9 </v>
      </c>
      <c r="E85" s="649" t="str">
        <f t="shared" si="1"/>
        <v>Consolidated Adjustments Budget - reconciliation of transfers, grant receipts, and unspent funds</v>
      </c>
      <c r="F85" s="664" t="str">
        <f>"Adjustments Budget - reconciliation of transfers, grant receipts, and unspent funds"</f>
        <v>Adjustments Budget - reconciliation of transfers, grant receipts, and unspent funds</v>
      </c>
    </row>
    <row r="86" spans="1:6" x14ac:dyDescent="0.2">
      <c r="A86" s="657" t="s">
        <v>436</v>
      </c>
      <c r="B86" s="648" t="str">
        <f t="shared" si="0"/>
        <v>Supporting Table SB10 Adjustments Budget - transfers and grants made by the municipality</v>
      </c>
      <c r="C86" s="664"/>
      <c r="D86" s="663" t="str">
        <f>D101&amp;"Table SB10 "</f>
        <v xml:space="preserve">Supporting Table SB10 </v>
      </c>
      <c r="E86" s="649" t="str">
        <f t="shared" si="1"/>
        <v>Consolidated Adjustments Budget - transfers and grants made by the municipality</v>
      </c>
      <c r="F86" s="664" t="str">
        <f>"Adjustments Budget - transfers and grants made by the municipality"</f>
        <v>Adjustments Budget - transfers and grants made by the municipality</v>
      </c>
    </row>
    <row r="87" spans="1:6" x14ac:dyDescent="0.2">
      <c r="A87" s="657" t="s">
        <v>437</v>
      </c>
      <c r="B87" s="648" t="str">
        <f t="shared" si="0"/>
        <v>Supporting Table SB11 Adjustments Budget - councillor and staff benefits</v>
      </c>
      <c r="C87" s="664"/>
      <c r="D87" s="663" t="str">
        <f>D101&amp;"Table SB11 "</f>
        <v xml:space="preserve">Supporting Table SB11 </v>
      </c>
      <c r="E87" s="649" t="str">
        <f t="shared" si="1"/>
        <v>Consolidated Adjustments Budget - councillor and staff benefits</v>
      </c>
      <c r="F87" s="664" t="str">
        <f>"Adjustments Budget - councillor and staff benefits"</f>
        <v>Adjustments Budget - councillor and staff benefits</v>
      </c>
    </row>
    <row r="88" spans="1:6" x14ac:dyDescent="0.2">
      <c r="A88" s="657" t="s">
        <v>438</v>
      </c>
      <c r="B88" s="648" t="str">
        <f t="shared" si="0"/>
        <v>Supporting Table SB12 Adjustments Budget - monthly revenue and expenditure (municipal vote)</v>
      </c>
      <c r="C88" s="648"/>
      <c r="D88" s="663" t="str">
        <f>D101&amp;"Table SB12 "</f>
        <v xml:space="preserve">Supporting Table SB12 </v>
      </c>
      <c r="E88" s="649" t="str">
        <f t="shared" si="1"/>
        <v>Consolidated Adjustments Budget - monthly revenue and expenditure (municipal vote)</v>
      </c>
      <c r="F88" s="665" t="str">
        <f>"Adjustments Budget - monthly revenue and expenditure (municipal vote)"</f>
        <v>Adjustments Budget - monthly revenue and expenditure (municipal vote)</v>
      </c>
    </row>
    <row r="89" spans="1:6" x14ac:dyDescent="0.2">
      <c r="A89" s="657" t="s">
        <v>439</v>
      </c>
      <c r="B89" s="648" t="str">
        <f t="shared" si="0"/>
        <v>Supporting Table SB13 Adjustments Budget - monthly revenue and expenditure (functional classification)</v>
      </c>
      <c r="C89" s="648"/>
      <c r="D89" s="663" t="str">
        <f>D101&amp;"Table SB13 "</f>
        <v xml:space="preserve">Supporting Table SB13 </v>
      </c>
      <c r="E89" s="649" t="str">
        <f t="shared" si="1"/>
        <v>Consolidated Adjustments Budget - monthly revenue and expenditure (functional classification)</v>
      </c>
      <c r="F89" s="649" t="str">
        <f>"Adjustments Budget - monthly revenue and expenditure (functional classification)"</f>
        <v>Adjustments Budget - monthly revenue and expenditure (functional classification)</v>
      </c>
    </row>
    <row r="90" spans="1:6" x14ac:dyDescent="0.2">
      <c r="A90" s="657" t="s">
        <v>440</v>
      </c>
      <c r="B90" s="648" t="str">
        <f t="shared" si="0"/>
        <v>Supporting Table SB14 Adjustments Budget - monthly revenue and expenditure</v>
      </c>
      <c r="C90" s="648"/>
      <c r="D90" s="663" t="str">
        <f>D101&amp;"Table SB14 "</f>
        <v xml:space="preserve">Supporting Table SB14 </v>
      </c>
      <c r="E90" s="649" t="str">
        <f t="shared" si="1"/>
        <v>Consolidated Adjustments Budget - monthly revenue and expenditure</v>
      </c>
      <c r="F90" s="649" t="str">
        <f>"Adjustments Budget - monthly revenue and expenditure"</f>
        <v>Adjustments Budget - monthly revenue and expenditure</v>
      </c>
    </row>
    <row r="91" spans="1:6" x14ac:dyDescent="0.2">
      <c r="A91" s="657" t="s">
        <v>441</v>
      </c>
      <c r="B91" s="648" t="str">
        <f t="shared" si="0"/>
        <v>Supporting Table SB15 Adjustments Budget - monthly cash flow</v>
      </c>
      <c r="C91" s="648"/>
      <c r="D91" s="663" t="str">
        <f>D101&amp;"Table SB15 "</f>
        <v xml:space="preserve">Supporting Table SB15 </v>
      </c>
      <c r="E91" s="649" t="str">
        <f t="shared" si="1"/>
        <v>Consolidated Adjustments Budget - monthly cash flow</v>
      </c>
      <c r="F91" s="649" t="str">
        <f>"Adjustments Budget - monthly cash flow"</f>
        <v>Adjustments Budget - monthly cash flow</v>
      </c>
    </row>
    <row r="92" spans="1:6" x14ac:dyDescent="0.2">
      <c r="A92" s="657" t="s">
        <v>442</v>
      </c>
      <c r="B92" s="648" t="str">
        <f t="shared" si="0"/>
        <v>Supporting Table SB16 Adjustments Budget - monthly capital expenditure (municipal vote)</v>
      </c>
      <c r="C92" s="648"/>
      <c r="D92" s="663" t="str">
        <f>D101&amp;"Table SB16 "</f>
        <v xml:space="preserve">Supporting Table SB16 </v>
      </c>
      <c r="E92" s="649" t="str">
        <f t="shared" si="1"/>
        <v>Consolidated Adjustments Budget - monthly capital expenditure (municipal vote)</v>
      </c>
      <c r="F92" s="649" t="str">
        <f>"Adjustments Budget - monthly capital expenditure (municipal vote)"</f>
        <v>Adjustments Budget - monthly capital expenditure (municipal vote)</v>
      </c>
    </row>
    <row r="93" spans="1:6" x14ac:dyDescent="0.2">
      <c r="A93" s="657" t="s">
        <v>443</v>
      </c>
      <c r="B93" s="648" t="str">
        <f t="shared" si="0"/>
        <v>Supporting Table SB17 Adjustments Budget - monthly capital expenditure (functional classification)</v>
      </c>
      <c r="C93" s="648"/>
      <c r="D93" s="663" t="str">
        <f>D101&amp;"Table SB17 "</f>
        <v xml:space="preserve">Supporting Table SB17 </v>
      </c>
      <c r="E93" s="649" t="str">
        <f t="shared" si="1"/>
        <v>Consolidated Adjustments Budget - monthly capital expenditure (functional classification)</v>
      </c>
      <c r="F93" s="649" t="str">
        <f>"Adjustments Budget - monthly capital expenditure (functional classification)"</f>
        <v>Adjustments Budget - monthly capital expenditure (functional classification)</v>
      </c>
    </row>
    <row r="94" spans="1:6" x14ac:dyDescent="0.2">
      <c r="A94" s="657" t="s">
        <v>1170</v>
      </c>
      <c r="B94" s="648" t="str">
        <f t="shared" si="0"/>
        <v>Supporting Table SB18a Adjustments Budget - capital expenditure on new assets by asset class</v>
      </c>
      <c r="C94" s="648"/>
      <c r="D94" s="663" t="str">
        <f>D101&amp;"Table SB18a "</f>
        <v xml:space="preserve">Supporting Table SB18a </v>
      </c>
      <c r="E94" s="649" t="str">
        <f t="shared" si="1"/>
        <v>Consolidated Adjustments Budget - capital expenditure on new assets by asset class</v>
      </c>
      <c r="F94" s="649" t="str">
        <f>"Adjustments Budget - capital expenditure on new assets by asset class"</f>
        <v>Adjustments Budget - capital expenditure on new assets by asset class</v>
      </c>
    </row>
    <row r="95" spans="1:6" x14ac:dyDescent="0.2">
      <c r="A95" s="657" t="s">
        <v>1171</v>
      </c>
      <c r="B95" s="648" t="str">
        <f t="shared" si="0"/>
        <v>Supporting Table SB18b Adjustments Budget - capital expenditure on renewal of existing assets by asset class</v>
      </c>
      <c r="C95" s="648"/>
      <c r="D95" s="663" t="str">
        <f>D101&amp;"Table SB18b "</f>
        <v xml:space="preserve">Supporting Table SB18b </v>
      </c>
      <c r="E95" s="649" t="str">
        <f>"Consolidated "&amp;F95</f>
        <v>Consolidated Adjustments Budget - capital expenditure on renewal of existing assets by asset class</v>
      </c>
      <c r="F95" s="649" t="str">
        <f>"Adjustments Budget - capital expenditure on renewal of existing assets by asset class"</f>
        <v>Adjustments Budget - capital expenditure on renewal of existing assets by asset class</v>
      </c>
    </row>
    <row r="96" spans="1:6" x14ac:dyDescent="0.2">
      <c r="A96" s="657" t="s">
        <v>1172</v>
      </c>
      <c r="B96" s="648" t="str">
        <f t="shared" si="0"/>
        <v>Supporting Table SB18c Adjustments Budget - expenditure on repairs and maintenance by asset class</v>
      </c>
      <c r="C96" s="648"/>
      <c r="D96" s="663" t="str">
        <f>D101&amp;"Table SB18c "</f>
        <v xml:space="preserve">Supporting Table SB18c </v>
      </c>
      <c r="E96" s="649" t="str">
        <f>"Consolidated "&amp;F96</f>
        <v>Consolidated Adjustments Budget - expenditure on repairs and maintenance by asset class</v>
      </c>
      <c r="F96" s="649" t="str">
        <f>"Adjustments Budget - expenditure on repairs and maintenance by asset class"</f>
        <v>Adjustments Budget - expenditure on repairs and maintenance by asset class</v>
      </c>
    </row>
    <row r="97" spans="1:6" x14ac:dyDescent="0.2">
      <c r="A97" s="657" t="s">
        <v>1332</v>
      </c>
      <c r="B97" s="648" t="str">
        <f t="shared" si="0"/>
        <v>Supporting Table SB18d Adjustments Budget - depreciation by asset class</v>
      </c>
      <c r="C97" s="648"/>
      <c r="D97" s="663" t="str">
        <f>D101&amp;"Table SB18d "</f>
        <v xml:space="preserve">Supporting Table SB18d </v>
      </c>
      <c r="E97" s="649" t="str">
        <f>"Consolidated "&amp;F97</f>
        <v>Consolidated Adjustments Budget - depreciation by asset class</v>
      </c>
      <c r="F97" s="649" t="str">
        <f>"Adjustments Budget - depreciation by asset class"</f>
        <v>Adjustments Budget - depreciation by asset class</v>
      </c>
    </row>
    <row r="98" spans="1:6" x14ac:dyDescent="0.2">
      <c r="A98" s="657" t="s">
        <v>1685</v>
      </c>
      <c r="B98" s="648" t="str">
        <f t="shared" si="0"/>
        <v>Supporting Table SB18d Adjustments Budget - capital expenditure on upgrading of existing assets by asset class</v>
      </c>
      <c r="C98" s="648"/>
      <c r="D98" s="663" t="str">
        <f>D101&amp;"Table SB18d "</f>
        <v xml:space="preserve">Supporting Table SB18d </v>
      </c>
      <c r="E98" s="649" t="str">
        <f>"Consolidated "&amp;F98</f>
        <v>Consolidated Adjustments Budget - capital expenditure on upgrading of existing assets by asset class</v>
      </c>
      <c r="F98" s="649" t="str">
        <f>"Adjustments Budget - capital expenditure on upgrading of existing assets by asset class"</f>
        <v>Adjustments Budget - capital expenditure on upgrading of existing assets by asset class</v>
      </c>
    </row>
    <row r="99" spans="1:6" x14ac:dyDescent="0.2">
      <c r="A99" s="657" t="s">
        <v>444</v>
      </c>
      <c r="B99" s="648" t="str">
        <f t="shared" si="0"/>
        <v>Supporting Table SB19 List of capital programmes and projects affected by Adjustments Budget</v>
      </c>
      <c r="C99" s="648"/>
      <c r="D99" s="663" t="str">
        <f>D101&amp;"Table SB19 "</f>
        <v xml:space="preserve">Supporting Table SB19 </v>
      </c>
      <c r="E99" s="649" t="str">
        <f t="shared" si="1"/>
        <v>Consolidated List of capital programmes and projects affected by Adjustments Budget</v>
      </c>
      <c r="F99" s="649" t="str">
        <f>"List of capital programmes and projects affected by Adjustments Budget"</f>
        <v>List of capital programmes and projects affected by Adjustments Budget</v>
      </c>
    </row>
    <row r="100" spans="1:6" x14ac:dyDescent="0.2">
      <c r="A100" s="666" t="s">
        <v>445</v>
      </c>
      <c r="B100" s="648" t="str">
        <f t="shared" si="0"/>
        <v>Supporting Table SB20 Not required</v>
      </c>
      <c r="C100" s="654"/>
      <c r="D100" s="667" t="str">
        <f>D101&amp;"Table SB20 "</f>
        <v xml:space="preserve">Supporting Table SB20 </v>
      </c>
      <c r="E100" s="649" t="str">
        <f>"Adjusted Budget Municipal Entity Performance Summary"</f>
        <v>Adjusted Budget Municipal Entity Performance Summary</v>
      </c>
      <c r="F100" s="649" t="s">
        <v>446</v>
      </c>
    </row>
    <row r="101" spans="1:6" x14ac:dyDescent="0.2">
      <c r="A101" s="649"/>
      <c r="D101" s="649" t="s">
        <v>447</v>
      </c>
    </row>
    <row r="102" spans="1:6" x14ac:dyDescent="0.2">
      <c r="A102" s="649"/>
    </row>
    <row r="103" spans="1:6" x14ac:dyDescent="0.2">
      <c r="A103" s="649"/>
    </row>
    <row r="104" spans="1:6" x14ac:dyDescent="0.2">
      <c r="D104" s="668"/>
    </row>
  </sheetData>
  <sheetProtection formatCells="0" selectLockedCells="1"/>
  <mergeCells count="3">
    <mergeCell ref="A1:D1"/>
    <mergeCell ref="A62:D62"/>
    <mergeCell ref="A66:B66"/>
  </mergeCells>
  <phoneticPr fontId="4" type="noConversion"/>
  <printOptions horizontalCentered="1" verticalCentered="1"/>
  <pageMargins left="0.39370078740157483" right="0.15748031496062992" top="0.51181102362204722" bottom="0.55118110236220474" header="0.51181102362204722" footer="0.39370078740157483"/>
  <pageSetup paperSize="9" scale="3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249" r:id="rId4" name="Button 57">
              <controlPr defaultSize="0" print="0" autoFill="0" autoPict="0" macro="[0]!SaveForUsers">
                <anchor moveWithCells="1" sizeWithCells="1">
                  <from>
                    <xdr:col>4</xdr:col>
                    <xdr:colOff>190500</xdr:colOff>
                    <xdr:row>2</xdr:row>
                    <xdr:rowOff>85725</xdr:rowOff>
                  </from>
                  <to>
                    <xdr:col>4</xdr:col>
                    <xdr:colOff>1895475</xdr:colOff>
                    <xdr:row>4</xdr:row>
                    <xdr:rowOff>85725</xdr:rowOff>
                  </to>
                </anchor>
              </controlPr>
            </control>
          </mc:Choice>
        </mc:AlternateContent>
      </controls>
    </mc:Choice>
  </mc:AlternateConten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1">
    <tabColor indexed="42"/>
    <pageSetUpPr fitToPage="1"/>
  </sheetPr>
  <dimension ref="A1:O192"/>
  <sheetViews>
    <sheetView showGridLines="0" zoomScaleNormal="100" workbookViewId="0">
      <pane xSplit="2" ySplit="5" topLeftCell="C21" activePane="bottomRight" state="frozen"/>
      <selection activeCell="C227" sqref="C227"/>
      <selection pane="topRight" activeCell="C227" sqref="C227"/>
      <selection pane="bottomLeft" activeCell="C227" sqref="C227"/>
      <selection pane="bottomRight" activeCell="G39" sqref="G39"/>
    </sheetView>
  </sheetViews>
  <sheetFormatPr defaultColWidth="9.140625" defaultRowHeight="12.75" x14ac:dyDescent="0.25"/>
  <cols>
    <col min="1" max="1" width="35.7109375" style="5" customWidth="1"/>
    <col min="2" max="2" width="3.140625" style="58" customWidth="1"/>
    <col min="3" max="11" width="8.7109375" style="5" customWidth="1"/>
    <col min="12" max="12" width="5.7109375" style="58" customWidth="1"/>
    <col min="13" max="13" width="9.85546875" style="5" customWidth="1"/>
    <col min="14" max="14" width="9.5703125" style="5" customWidth="1"/>
    <col min="15" max="15" width="9.85546875" style="5" customWidth="1"/>
    <col min="16" max="18" width="9.5703125" style="5" customWidth="1"/>
    <col min="19" max="19" width="9.85546875" style="5" customWidth="1"/>
    <col min="20" max="22" width="9.5703125" style="5" customWidth="1"/>
    <col min="23" max="24" width="9.85546875" style="5" customWidth="1"/>
    <col min="25" max="16384" width="9.140625" style="5"/>
  </cols>
  <sheetData>
    <row r="1" spans="1:14" ht="13.5" x14ac:dyDescent="0.25">
      <c r="A1" s="57" t="str">
        <f>muni&amp;" - "&amp;ADJB11&amp;" - "&amp;Date</f>
        <v>LIM354 Polokwane - Supporting Table SB11 Adjustments Budget - councillor and staff benefits - 2020</v>
      </c>
      <c r="B1" s="5"/>
      <c r="C1" s="58"/>
    </row>
    <row r="2" spans="1:14" x14ac:dyDescent="0.25">
      <c r="A2" s="1409" t="s">
        <v>191</v>
      </c>
      <c r="B2" s="1406" t="str">
        <f>head27</f>
        <v>Ref</v>
      </c>
      <c r="C2" s="1403" t="str">
        <f>Head2</f>
        <v>Budget Year 2020/21</v>
      </c>
      <c r="D2" s="1404"/>
      <c r="E2" s="1404"/>
      <c r="F2" s="1404"/>
      <c r="G2" s="1404"/>
      <c r="H2" s="1404"/>
      <c r="I2" s="1404"/>
      <c r="J2" s="1404"/>
      <c r="K2" s="1455"/>
      <c r="L2" s="502"/>
    </row>
    <row r="3" spans="1:14" ht="25.5" x14ac:dyDescent="0.25">
      <c r="A3" s="1410"/>
      <c r="B3" s="1407"/>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2" t="str">
        <f>Head56</f>
        <v>Total Adjusts.</v>
      </c>
      <c r="K3" s="503" t="str">
        <f>Head7</f>
        <v>Adjusted Budget</v>
      </c>
      <c r="L3" s="504" t="s">
        <v>192</v>
      </c>
    </row>
    <row r="4" spans="1:14" x14ac:dyDescent="0.25">
      <c r="A4" s="64"/>
      <c r="B4" s="297"/>
      <c r="C4" s="65"/>
      <c r="D4" s="15">
        <v>5</v>
      </c>
      <c r="E4" s="15">
        <v>6</v>
      </c>
      <c r="F4" s="15">
        <v>7</v>
      </c>
      <c r="G4" s="15">
        <v>8</v>
      </c>
      <c r="H4" s="15">
        <v>9</v>
      </c>
      <c r="I4" s="16">
        <v>10</v>
      </c>
      <c r="J4" s="16">
        <v>11</v>
      </c>
      <c r="K4" s="16">
        <v>12</v>
      </c>
      <c r="L4" s="73"/>
    </row>
    <row r="5" spans="1:14" x14ac:dyDescent="0.25">
      <c r="A5" s="66" t="s">
        <v>603</v>
      </c>
      <c r="B5" s="104"/>
      <c r="C5" s="67" t="s">
        <v>547</v>
      </c>
      <c r="D5" s="68" t="s">
        <v>548</v>
      </c>
      <c r="E5" s="68" t="s">
        <v>549</v>
      </c>
      <c r="F5" s="69" t="s">
        <v>550</v>
      </c>
      <c r="G5" s="69" t="s">
        <v>551</v>
      </c>
      <c r="H5" s="69" t="s">
        <v>552</v>
      </c>
      <c r="I5" s="70" t="s">
        <v>553</v>
      </c>
      <c r="J5" s="505" t="s">
        <v>554</v>
      </c>
      <c r="K5" s="506" t="s">
        <v>555</v>
      </c>
      <c r="L5" s="73"/>
    </row>
    <row r="6" spans="1:14" ht="12.75" customHeight="1" x14ac:dyDescent="0.25">
      <c r="A6" s="507" t="s">
        <v>193</v>
      </c>
      <c r="B6" s="105"/>
      <c r="C6" s="74"/>
      <c r="D6" s="75"/>
      <c r="E6" s="75"/>
      <c r="F6" s="75"/>
      <c r="G6" s="75"/>
      <c r="H6" s="75"/>
      <c r="I6" s="75"/>
      <c r="J6" s="508"/>
      <c r="K6" s="508"/>
      <c r="L6" s="73"/>
    </row>
    <row r="7" spans="1:14" ht="12.75" customHeight="1" x14ac:dyDescent="0.25">
      <c r="A7" s="588" t="s">
        <v>201</v>
      </c>
      <c r="B7" s="73"/>
      <c r="C7" s="130">
        <v>25070000</v>
      </c>
      <c r="D7" s="109">
        <v>25070000</v>
      </c>
      <c r="E7" s="509"/>
      <c r="F7" s="509"/>
      <c r="G7" s="109">
        <v>0</v>
      </c>
      <c r="H7" s="509"/>
      <c r="I7" s="109">
        <v>0</v>
      </c>
      <c r="J7" s="508">
        <f t="shared" ref="J7:J13" si="0">G7+I7</f>
        <v>0</v>
      </c>
      <c r="K7" s="508">
        <f t="shared" ref="K7:K13" si="1">IF(D7=0,C7+J7,D7+J7)</f>
        <v>25070000</v>
      </c>
      <c r="L7" s="510">
        <f>IF(K7=0,"",(K7/C7)-1)</f>
        <v>0</v>
      </c>
    </row>
    <row r="8" spans="1:14" ht="12.75" customHeight="1" x14ac:dyDescent="0.25">
      <c r="A8" s="588" t="s">
        <v>1377</v>
      </c>
      <c r="B8" s="73"/>
      <c r="C8" s="130">
        <v>3762000</v>
      </c>
      <c r="D8" s="109">
        <v>3762000</v>
      </c>
      <c r="E8" s="509"/>
      <c r="F8" s="509"/>
      <c r="G8" s="109">
        <v>0</v>
      </c>
      <c r="H8" s="509"/>
      <c r="I8" s="109">
        <v>0</v>
      </c>
      <c r="J8" s="508">
        <f t="shared" si="0"/>
        <v>0</v>
      </c>
      <c r="K8" s="508">
        <f t="shared" si="1"/>
        <v>3762000</v>
      </c>
      <c r="L8" s="510">
        <f>IF(K8=0,"",(K8/C8)-1)</f>
        <v>0</v>
      </c>
    </row>
    <row r="9" spans="1:14" ht="12.75" customHeight="1" x14ac:dyDescent="0.25">
      <c r="A9" s="588" t="s">
        <v>194</v>
      </c>
      <c r="B9" s="73"/>
      <c r="C9" s="130">
        <v>529000</v>
      </c>
      <c r="D9" s="109">
        <v>529000</v>
      </c>
      <c r="E9" s="509"/>
      <c r="F9" s="509"/>
      <c r="G9" s="109">
        <v>0</v>
      </c>
      <c r="H9" s="509"/>
      <c r="I9" s="109">
        <v>0</v>
      </c>
      <c r="J9" s="508">
        <f t="shared" si="0"/>
        <v>0</v>
      </c>
      <c r="K9" s="508">
        <f t="shared" si="1"/>
        <v>529000</v>
      </c>
      <c r="L9" s="510">
        <f>IF(K9=0,"",(K9/C9)-1)</f>
        <v>0</v>
      </c>
    </row>
    <row r="10" spans="1:14" ht="12.75" customHeight="1" x14ac:dyDescent="0.25">
      <c r="A10" s="588" t="s">
        <v>1378</v>
      </c>
      <c r="B10" s="73"/>
      <c r="C10" s="130">
        <v>8910000</v>
      </c>
      <c r="D10" s="109">
        <v>8910000</v>
      </c>
      <c r="E10" s="509"/>
      <c r="F10" s="509"/>
      <c r="G10" s="109">
        <v>0</v>
      </c>
      <c r="H10" s="509"/>
      <c r="I10" s="109">
        <v>0</v>
      </c>
      <c r="J10" s="508">
        <f t="shared" si="0"/>
        <v>0</v>
      </c>
      <c r="K10" s="508">
        <f t="shared" si="1"/>
        <v>8910000</v>
      </c>
      <c r="L10" s="510">
        <f>IF(K10=0,"",(K10/C10)-1)</f>
        <v>0</v>
      </c>
    </row>
    <row r="11" spans="1:14" ht="12.75" customHeight="1" x14ac:dyDescent="0.25">
      <c r="A11" s="129" t="s">
        <v>1379</v>
      </c>
      <c r="B11" s="73"/>
      <c r="C11" s="130">
        <v>3895000</v>
      </c>
      <c r="D11" s="109">
        <v>3895000</v>
      </c>
      <c r="E11" s="509"/>
      <c r="F11" s="509"/>
      <c r="G11" s="109">
        <v>0</v>
      </c>
      <c r="H11" s="509"/>
      <c r="I11" s="109">
        <v>0</v>
      </c>
      <c r="J11" s="508">
        <f t="shared" si="0"/>
        <v>0</v>
      </c>
      <c r="K11" s="508">
        <f t="shared" si="1"/>
        <v>3895000</v>
      </c>
      <c r="L11" s="510"/>
    </row>
    <row r="12" spans="1:14" ht="12.75" customHeight="1" x14ac:dyDescent="0.25">
      <c r="A12" s="129" t="s">
        <v>1380</v>
      </c>
      <c r="B12" s="73"/>
      <c r="C12" s="130">
        <v>0</v>
      </c>
      <c r="D12" s="109">
        <v>0</v>
      </c>
      <c r="E12" s="509"/>
      <c r="F12" s="509"/>
      <c r="G12" s="109">
        <v>0</v>
      </c>
      <c r="H12" s="509"/>
      <c r="I12" s="109">
        <v>0</v>
      </c>
      <c r="J12" s="508">
        <f t="shared" si="0"/>
        <v>0</v>
      </c>
      <c r="K12" s="508">
        <f t="shared" si="1"/>
        <v>0</v>
      </c>
      <c r="L12" s="510"/>
      <c r="N12" s="128"/>
    </row>
    <row r="13" spans="1:14" ht="12.75" customHeight="1" x14ac:dyDescent="0.25">
      <c r="A13" s="129" t="s">
        <v>1183</v>
      </c>
      <c r="B13" s="73"/>
      <c r="C13" s="130">
        <v>345000</v>
      </c>
      <c r="D13" s="109">
        <v>345000</v>
      </c>
      <c r="E13" s="509"/>
      <c r="F13" s="509"/>
      <c r="G13" s="109">
        <v>0</v>
      </c>
      <c r="H13" s="509"/>
      <c r="I13" s="109">
        <v>0</v>
      </c>
      <c r="J13" s="508">
        <f t="shared" si="0"/>
        <v>0</v>
      </c>
      <c r="K13" s="508">
        <f t="shared" si="1"/>
        <v>345000</v>
      </c>
      <c r="L13" s="510"/>
      <c r="N13" s="128"/>
    </row>
    <row r="14" spans="1:14" ht="12.75" customHeight="1" x14ac:dyDescent="0.25">
      <c r="A14" s="139" t="s">
        <v>195</v>
      </c>
      <c r="B14" s="73"/>
      <c r="C14" s="302">
        <f>SUM(C7:C13)</f>
        <v>42511000</v>
      </c>
      <c r="D14" s="151">
        <f>SUM(D7:D13)</f>
        <v>42511000</v>
      </c>
      <c r="E14" s="511"/>
      <c r="F14" s="511"/>
      <c r="G14" s="151">
        <f>SUM(G7:G13)</f>
        <v>0</v>
      </c>
      <c r="H14" s="511"/>
      <c r="I14" s="151">
        <f>SUM(I7:I13)</f>
        <v>0</v>
      </c>
      <c r="J14" s="151">
        <f>SUM(J7:J13)</f>
        <v>0</v>
      </c>
      <c r="K14" s="152">
        <f>SUM(K7:K13)</f>
        <v>42511000</v>
      </c>
      <c r="L14" s="512">
        <f>IF(K14=0,"",(K14/C14)-1)</f>
        <v>0</v>
      </c>
    </row>
    <row r="15" spans="1:14" ht="12.75" customHeight="1" x14ac:dyDescent="0.25">
      <c r="A15" s="825" t="s">
        <v>196</v>
      </c>
      <c r="B15" s="73"/>
      <c r="C15" s="513"/>
      <c r="D15" s="141">
        <f>IF(ISERROR((D14/C14)-1),0,((D14/C14)-1))</f>
        <v>0</v>
      </c>
      <c r="E15" s="514"/>
      <c r="F15" s="514"/>
      <c r="G15" s="514"/>
      <c r="H15" s="514"/>
      <c r="I15" s="514"/>
      <c r="J15" s="515"/>
      <c r="K15" s="516">
        <f>IF(ISERROR((K14/J14)-1),0,((K14/J14)-1))</f>
        <v>0</v>
      </c>
      <c r="L15" s="512"/>
    </row>
    <row r="16" spans="1:14" ht="3.75" customHeight="1" x14ac:dyDescent="0.25">
      <c r="A16" s="139"/>
      <c r="B16" s="73"/>
      <c r="C16" s="140"/>
      <c r="D16" s="141"/>
      <c r="E16" s="514"/>
      <c r="F16" s="514"/>
      <c r="G16" s="141"/>
      <c r="H16" s="514"/>
      <c r="I16" s="141"/>
      <c r="J16" s="516"/>
      <c r="K16" s="516"/>
      <c r="L16" s="512"/>
    </row>
    <row r="17" spans="1:12" ht="12.75" customHeight="1" x14ac:dyDescent="0.25">
      <c r="A17" s="126" t="s">
        <v>197</v>
      </c>
      <c r="B17" s="73"/>
      <c r="C17" s="74"/>
      <c r="D17" s="75"/>
      <c r="E17" s="75"/>
      <c r="F17" s="75"/>
      <c r="G17" s="75"/>
      <c r="H17" s="75"/>
      <c r="I17" s="75"/>
      <c r="J17" s="508"/>
      <c r="K17" s="508"/>
      <c r="L17" s="510"/>
    </row>
    <row r="18" spans="1:12" ht="12.75" customHeight="1" x14ac:dyDescent="0.25">
      <c r="A18" s="129" t="s">
        <v>201</v>
      </c>
      <c r="B18" s="73"/>
      <c r="C18" s="130">
        <v>11037542.3904</v>
      </c>
      <c r="D18" s="109">
        <v>11037542.3904</v>
      </c>
      <c r="E18" s="109">
        <v>0</v>
      </c>
      <c r="F18" s="509"/>
      <c r="G18" s="109">
        <v>0</v>
      </c>
      <c r="H18" s="509"/>
      <c r="I18" s="109">
        <v>0</v>
      </c>
      <c r="J18" s="508">
        <f t="shared" ref="J18:J29" si="2">E18+G18+I18</f>
        <v>0</v>
      </c>
      <c r="K18" s="508">
        <f t="shared" ref="K18:K29" si="3">IF(D18=0,C18+J18,D18+J18)</f>
        <v>11037542.3904</v>
      </c>
      <c r="L18" s="510">
        <f t="shared" ref="L18:L30" si="4">IF(K18=0,"",(K18/C18)-1)</f>
        <v>0</v>
      </c>
    </row>
    <row r="19" spans="1:12" ht="12.75" customHeight="1" x14ac:dyDescent="0.25">
      <c r="A19" s="129" t="s">
        <v>1377</v>
      </c>
      <c r="B19" s="73"/>
      <c r="C19" s="130">
        <v>1297565.08</v>
      </c>
      <c r="D19" s="109">
        <v>1297565.08</v>
      </c>
      <c r="E19" s="109">
        <v>0</v>
      </c>
      <c r="F19" s="509"/>
      <c r="G19" s="109">
        <v>0</v>
      </c>
      <c r="H19" s="509"/>
      <c r="I19" s="109">
        <v>0</v>
      </c>
      <c r="J19" s="508">
        <f t="shared" si="2"/>
        <v>0</v>
      </c>
      <c r="K19" s="508">
        <f t="shared" si="3"/>
        <v>1297565.08</v>
      </c>
      <c r="L19" s="510">
        <f t="shared" si="4"/>
        <v>0</v>
      </c>
    </row>
    <row r="20" spans="1:12" ht="12.75" customHeight="1" x14ac:dyDescent="0.25">
      <c r="A20" s="129" t="s">
        <v>194</v>
      </c>
      <c r="B20" s="73"/>
      <c r="C20" s="130">
        <v>121954.60060000001</v>
      </c>
      <c r="D20" s="109">
        <v>121954.60060000001</v>
      </c>
      <c r="E20" s="109">
        <v>0</v>
      </c>
      <c r="F20" s="509"/>
      <c r="G20" s="109">
        <v>0</v>
      </c>
      <c r="H20" s="509"/>
      <c r="I20" s="109">
        <v>0</v>
      </c>
      <c r="J20" s="508">
        <f t="shared" si="2"/>
        <v>0</v>
      </c>
      <c r="K20" s="508">
        <f t="shared" si="3"/>
        <v>121954.60060000001</v>
      </c>
      <c r="L20" s="510">
        <f t="shared" si="4"/>
        <v>0</v>
      </c>
    </row>
    <row r="21" spans="1:12" ht="12.75" customHeight="1" x14ac:dyDescent="0.25">
      <c r="A21" s="129" t="s">
        <v>1155</v>
      </c>
      <c r="B21" s="73"/>
      <c r="C21" s="130">
        <v>0</v>
      </c>
      <c r="D21" s="109">
        <v>0</v>
      </c>
      <c r="E21" s="109">
        <v>0</v>
      </c>
      <c r="F21" s="509"/>
      <c r="G21" s="109">
        <v>0</v>
      </c>
      <c r="H21" s="509"/>
      <c r="I21" s="109">
        <v>0</v>
      </c>
      <c r="J21" s="508">
        <f>E21+G21+I21</f>
        <v>0</v>
      </c>
      <c r="K21" s="508">
        <f t="shared" si="3"/>
        <v>0</v>
      </c>
      <c r="L21" s="510" t="str">
        <f t="shared" si="4"/>
        <v/>
      </c>
    </row>
    <row r="22" spans="1:12" ht="12.75" customHeight="1" x14ac:dyDescent="0.25">
      <c r="A22" s="129" t="s">
        <v>198</v>
      </c>
      <c r="B22" s="73"/>
      <c r="C22" s="130">
        <v>0</v>
      </c>
      <c r="D22" s="109">
        <v>0</v>
      </c>
      <c r="E22" s="109">
        <v>0</v>
      </c>
      <c r="F22" s="509"/>
      <c r="G22" s="109">
        <v>0</v>
      </c>
      <c r="H22" s="509"/>
      <c r="I22" s="109">
        <v>0</v>
      </c>
      <c r="J22" s="508">
        <f>E22+G22+I22</f>
        <v>0</v>
      </c>
      <c r="K22" s="508">
        <f>IF(D22=0,C22+J22,D22+J22)</f>
        <v>0</v>
      </c>
      <c r="L22" s="510"/>
    </row>
    <row r="23" spans="1:12" ht="12.75" customHeight="1" x14ac:dyDescent="0.25">
      <c r="A23" s="129" t="s">
        <v>1378</v>
      </c>
      <c r="B23" s="73"/>
      <c r="C23" s="130">
        <v>1974565.297</v>
      </c>
      <c r="D23" s="109">
        <v>1974565.297</v>
      </c>
      <c r="E23" s="109">
        <v>0</v>
      </c>
      <c r="F23" s="509"/>
      <c r="G23" s="109">
        <v>0</v>
      </c>
      <c r="H23" s="509"/>
      <c r="I23" s="109">
        <v>0</v>
      </c>
      <c r="J23" s="508">
        <f t="shared" si="2"/>
        <v>0</v>
      </c>
      <c r="K23" s="508">
        <f t="shared" si="3"/>
        <v>1974565.297</v>
      </c>
      <c r="L23" s="510">
        <f t="shared" si="4"/>
        <v>0</v>
      </c>
    </row>
    <row r="24" spans="1:12" ht="12.75" customHeight="1" x14ac:dyDescent="0.25">
      <c r="A24" s="129" t="s">
        <v>1379</v>
      </c>
      <c r="B24" s="73"/>
      <c r="C24" s="130">
        <v>0</v>
      </c>
      <c r="D24" s="109">
        <v>0</v>
      </c>
      <c r="E24" s="109">
        <v>0</v>
      </c>
      <c r="F24" s="509"/>
      <c r="G24" s="109">
        <v>0</v>
      </c>
      <c r="H24" s="509"/>
      <c r="I24" s="109">
        <v>0</v>
      </c>
      <c r="J24" s="508">
        <f t="shared" si="2"/>
        <v>0</v>
      </c>
      <c r="K24" s="508">
        <f t="shared" si="3"/>
        <v>0</v>
      </c>
      <c r="L24" s="510" t="str">
        <f t="shared" si="4"/>
        <v/>
      </c>
    </row>
    <row r="25" spans="1:12" ht="12.75" customHeight="1" x14ac:dyDescent="0.25">
      <c r="A25" s="129" t="s">
        <v>1380</v>
      </c>
      <c r="B25" s="73"/>
      <c r="C25" s="130">
        <v>0</v>
      </c>
      <c r="D25" s="109">
        <v>0</v>
      </c>
      <c r="E25" s="109">
        <v>0</v>
      </c>
      <c r="F25" s="509"/>
      <c r="G25" s="109">
        <v>0</v>
      </c>
      <c r="H25" s="509"/>
      <c r="I25" s="109">
        <v>0</v>
      </c>
      <c r="J25" s="508">
        <f>E25+G25+I25</f>
        <v>0</v>
      </c>
      <c r="K25" s="508">
        <f>IF(D25=0,C25+J25,D25+J25)</f>
        <v>0</v>
      </c>
      <c r="L25" s="510"/>
    </row>
    <row r="26" spans="1:12" ht="12.75" customHeight="1" x14ac:dyDescent="0.25">
      <c r="A26" s="129" t="s">
        <v>1183</v>
      </c>
      <c r="B26" s="73"/>
      <c r="C26" s="130">
        <v>3323747.9568000026</v>
      </c>
      <c r="D26" s="109">
        <v>3323747.9568000026</v>
      </c>
      <c r="E26" s="109">
        <v>0</v>
      </c>
      <c r="F26" s="509"/>
      <c r="G26" s="109">
        <v>0</v>
      </c>
      <c r="H26" s="509"/>
      <c r="I26" s="109">
        <v>0</v>
      </c>
      <c r="J26" s="508">
        <f>E26+G26+I26</f>
        <v>0</v>
      </c>
      <c r="K26" s="508">
        <f>IF(D26=0,C26+J26,D26+J26)</f>
        <v>3323747.9568000026</v>
      </c>
      <c r="L26" s="510"/>
    </row>
    <row r="27" spans="1:12" ht="12.75" customHeight="1" x14ac:dyDescent="0.25">
      <c r="A27" s="129" t="s">
        <v>1157</v>
      </c>
      <c r="B27" s="73"/>
      <c r="C27" s="130">
        <v>0</v>
      </c>
      <c r="D27" s="109">
        <v>0</v>
      </c>
      <c r="E27" s="109">
        <v>0</v>
      </c>
      <c r="F27" s="509"/>
      <c r="G27" s="109">
        <v>0</v>
      </c>
      <c r="H27" s="509"/>
      <c r="I27" s="109">
        <v>0</v>
      </c>
      <c r="J27" s="508">
        <f>E27+G27+I27</f>
        <v>0</v>
      </c>
      <c r="K27" s="508">
        <f>IF(D27=0,C27+J27,D27+J27)</f>
        <v>0</v>
      </c>
      <c r="L27" s="510"/>
    </row>
    <row r="28" spans="1:12" ht="12.75" customHeight="1" x14ac:dyDescent="0.25">
      <c r="A28" s="129" t="s">
        <v>1156</v>
      </c>
      <c r="B28" s="73"/>
      <c r="C28" s="130">
        <v>0</v>
      </c>
      <c r="D28" s="109">
        <v>0</v>
      </c>
      <c r="E28" s="109">
        <v>0</v>
      </c>
      <c r="F28" s="509"/>
      <c r="G28" s="109">
        <v>0</v>
      </c>
      <c r="H28" s="509"/>
      <c r="I28" s="109">
        <v>0</v>
      </c>
      <c r="J28" s="508">
        <f t="shared" si="2"/>
        <v>0</v>
      </c>
      <c r="K28" s="508">
        <f t="shared" si="3"/>
        <v>0</v>
      </c>
      <c r="L28" s="510" t="str">
        <f t="shared" si="4"/>
        <v/>
      </c>
    </row>
    <row r="29" spans="1:12" ht="12.75" customHeight="1" x14ac:dyDescent="0.25">
      <c r="A29" s="129" t="s">
        <v>1158</v>
      </c>
      <c r="B29" s="73">
        <v>5</v>
      </c>
      <c r="C29" s="130">
        <v>0</v>
      </c>
      <c r="D29" s="109">
        <v>0</v>
      </c>
      <c r="E29" s="109">
        <v>0</v>
      </c>
      <c r="F29" s="509"/>
      <c r="G29" s="109">
        <v>0</v>
      </c>
      <c r="H29" s="509"/>
      <c r="I29" s="109">
        <v>0</v>
      </c>
      <c r="J29" s="508">
        <f t="shared" si="2"/>
        <v>0</v>
      </c>
      <c r="K29" s="508">
        <f t="shared" si="3"/>
        <v>0</v>
      </c>
      <c r="L29" s="510" t="str">
        <f t="shared" si="4"/>
        <v/>
      </c>
    </row>
    <row r="30" spans="1:12" ht="12.75" customHeight="1" x14ac:dyDescent="0.25">
      <c r="A30" s="139" t="s">
        <v>199</v>
      </c>
      <c r="B30" s="73"/>
      <c r="C30" s="302">
        <f>SUM(C18:C29)</f>
        <v>17755375.324800003</v>
      </c>
      <c r="D30" s="151">
        <f>SUM(D18:D29)</f>
        <v>17755375.324800003</v>
      </c>
      <c r="E30" s="151">
        <f>SUM(E18:E29)</f>
        <v>0</v>
      </c>
      <c r="F30" s="511"/>
      <c r="G30" s="151">
        <f>SUM(G18:G29)</f>
        <v>0</v>
      </c>
      <c r="H30" s="511"/>
      <c r="I30" s="151">
        <f>SUM(I18:I29)</f>
        <v>0</v>
      </c>
      <c r="J30" s="151">
        <f>SUM(J18:J29)</f>
        <v>0</v>
      </c>
      <c r="K30" s="152">
        <f>SUM(K18:K29)</f>
        <v>17755375.324800003</v>
      </c>
      <c r="L30" s="512">
        <f t="shared" si="4"/>
        <v>0</v>
      </c>
    </row>
    <row r="31" spans="1:12" ht="12.75" customHeight="1" x14ac:dyDescent="0.25">
      <c r="A31" s="825" t="str">
        <f>$A$15</f>
        <v>% increase</v>
      </c>
      <c r="B31" s="73"/>
      <c r="C31" s="513"/>
      <c r="D31" s="141">
        <f>IF(ISERROR((D30/C30)-1),0,((D30/C30)-1))</f>
        <v>0</v>
      </c>
      <c r="E31" s="514"/>
      <c r="F31" s="514"/>
      <c r="G31" s="514"/>
      <c r="H31" s="514"/>
      <c r="I31" s="514"/>
      <c r="J31" s="515"/>
      <c r="K31" s="516">
        <f>IF(ISERROR((K30/J30)-1),0,((K30/J30)-1))</f>
        <v>0</v>
      </c>
      <c r="L31" s="512"/>
    </row>
    <row r="32" spans="1:12" ht="4.5" customHeight="1" x14ac:dyDescent="0.25">
      <c r="A32" s="139"/>
      <c r="B32" s="73"/>
      <c r="C32" s="140"/>
      <c r="D32" s="141"/>
      <c r="E32" s="141"/>
      <c r="F32" s="514"/>
      <c r="G32" s="141"/>
      <c r="H32" s="514"/>
      <c r="I32" s="141"/>
      <c r="J32" s="516"/>
      <c r="K32" s="516"/>
      <c r="L32" s="512"/>
    </row>
    <row r="33" spans="1:12" ht="12.75" customHeight="1" x14ac:dyDescent="0.25">
      <c r="A33" s="126" t="s">
        <v>200</v>
      </c>
      <c r="B33" s="73"/>
      <c r="C33" s="74"/>
      <c r="D33" s="75"/>
      <c r="E33" s="75"/>
      <c r="F33" s="75"/>
      <c r="G33" s="75"/>
      <c r="H33" s="75"/>
      <c r="I33" s="75"/>
      <c r="J33" s="508"/>
      <c r="K33" s="508"/>
      <c r="L33" s="510"/>
    </row>
    <row r="34" spans="1:12" ht="12.75" customHeight="1" x14ac:dyDescent="0.25">
      <c r="A34" s="129" t="s">
        <v>201</v>
      </c>
      <c r="B34" s="73"/>
      <c r="C34" s="130">
        <v>548565552.08459997</v>
      </c>
      <c r="D34" s="109">
        <f>548515552.0846-50000</f>
        <v>548465552.08459997</v>
      </c>
      <c r="E34" s="109">
        <v>0</v>
      </c>
      <c r="F34" s="109">
        <v>0</v>
      </c>
      <c r="G34" s="109">
        <v>0</v>
      </c>
      <c r="H34" s="109">
        <v>0</v>
      </c>
      <c r="I34" s="109">
        <v>0</v>
      </c>
      <c r="J34" s="508">
        <f t="shared" ref="J34:J45" si="5">SUM(E34:I34)</f>
        <v>0</v>
      </c>
      <c r="K34" s="508">
        <f t="shared" ref="K34:K45" si="6">IF(D34=0,C34+J34,D34+J34)</f>
        <v>548465552.08459997</v>
      </c>
      <c r="L34" s="510">
        <f t="shared" ref="L34:L46" si="7">IF(K34=0,"",(K34/C34)-1)</f>
        <v>-1.8229361945898415E-4</v>
      </c>
    </row>
    <row r="35" spans="1:12" ht="12.75" customHeight="1" x14ac:dyDescent="0.25">
      <c r="A35" s="129" t="s">
        <v>1377</v>
      </c>
      <c r="B35" s="73"/>
      <c r="C35" s="130">
        <v>122550842.94499999</v>
      </c>
      <c r="D35" s="109">
        <v>122550842.94499999</v>
      </c>
      <c r="E35" s="109">
        <v>0</v>
      </c>
      <c r="F35" s="109">
        <v>0</v>
      </c>
      <c r="G35" s="109">
        <v>0</v>
      </c>
      <c r="H35" s="109">
        <v>0</v>
      </c>
      <c r="I35" s="109">
        <v>0</v>
      </c>
      <c r="J35" s="508">
        <f t="shared" si="5"/>
        <v>0</v>
      </c>
      <c r="K35" s="508">
        <f t="shared" si="6"/>
        <v>122550842.94499999</v>
      </c>
      <c r="L35" s="510">
        <f t="shared" si="7"/>
        <v>0</v>
      </c>
    </row>
    <row r="36" spans="1:12" ht="12.75" customHeight="1" x14ac:dyDescent="0.25">
      <c r="A36" s="129" t="s">
        <v>194</v>
      </c>
      <c r="B36" s="73"/>
      <c r="C36" s="130">
        <v>36420431.899400003</v>
      </c>
      <c r="D36" s="109">
        <v>36420431.899400003</v>
      </c>
      <c r="E36" s="109">
        <v>0</v>
      </c>
      <c r="F36" s="109">
        <v>0</v>
      </c>
      <c r="G36" s="109">
        <v>0</v>
      </c>
      <c r="H36" s="109">
        <v>0</v>
      </c>
      <c r="I36" s="109">
        <v>0</v>
      </c>
      <c r="J36" s="508">
        <f t="shared" si="5"/>
        <v>0</v>
      </c>
      <c r="K36" s="508">
        <f t="shared" si="6"/>
        <v>36420431.899400003</v>
      </c>
      <c r="L36" s="510">
        <f t="shared" si="7"/>
        <v>0</v>
      </c>
    </row>
    <row r="37" spans="1:12" ht="12.75" customHeight="1" x14ac:dyDescent="0.25">
      <c r="A37" s="129" t="s">
        <v>1155</v>
      </c>
      <c r="B37" s="73"/>
      <c r="C37" s="130">
        <v>39300502</v>
      </c>
      <c r="D37" s="109">
        <v>39350502</v>
      </c>
      <c r="E37" s="109">
        <v>0</v>
      </c>
      <c r="F37" s="109">
        <v>0</v>
      </c>
      <c r="G37" s="109">
        <v>0</v>
      </c>
      <c r="H37" s="109">
        <v>0</v>
      </c>
      <c r="I37" s="109">
        <v>39719900</v>
      </c>
      <c r="J37" s="508">
        <f t="shared" si="5"/>
        <v>39719900</v>
      </c>
      <c r="K37" s="508">
        <f t="shared" si="6"/>
        <v>79070402</v>
      </c>
      <c r="L37" s="510">
        <f t="shared" si="7"/>
        <v>1.011943816900863</v>
      </c>
    </row>
    <row r="38" spans="1:12" ht="12.75" customHeight="1" x14ac:dyDescent="0.25">
      <c r="A38" s="129" t="s">
        <v>198</v>
      </c>
      <c r="B38" s="73"/>
      <c r="C38" s="130">
        <v>0</v>
      </c>
      <c r="D38" s="109">
        <v>0</v>
      </c>
      <c r="E38" s="109">
        <v>0</v>
      </c>
      <c r="F38" s="109">
        <v>0</v>
      </c>
      <c r="G38" s="109">
        <v>0</v>
      </c>
      <c r="H38" s="109">
        <v>0</v>
      </c>
      <c r="I38" s="109">
        <v>0</v>
      </c>
      <c r="J38" s="508">
        <f>SUM(E38:I38)</f>
        <v>0</v>
      </c>
      <c r="K38" s="508">
        <f>IF(D38=0,C38+J38,D38+J38)</f>
        <v>0</v>
      </c>
      <c r="L38" s="510"/>
    </row>
    <row r="39" spans="1:12" ht="12.75" customHeight="1" x14ac:dyDescent="0.25">
      <c r="A39" s="129" t="s">
        <v>1378</v>
      </c>
      <c r="B39" s="73"/>
      <c r="C39" s="130">
        <v>68119134.967999995</v>
      </c>
      <c r="D39" s="109">
        <v>68119134.967999995</v>
      </c>
      <c r="E39" s="109">
        <v>0</v>
      </c>
      <c r="F39" s="109">
        <v>0</v>
      </c>
      <c r="G39" s="109">
        <v>0</v>
      </c>
      <c r="H39" s="109">
        <v>0</v>
      </c>
      <c r="I39" s="109">
        <v>0</v>
      </c>
      <c r="J39" s="508">
        <f t="shared" si="5"/>
        <v>0</v>
      </c>
      <c r="K39" s="508">
        <f t="shared" si="6"/>
        <v>68119134.967999995</v>
      </c>
      <c r="L39" s="510">
        <f t="shared" si="7"/>
        <v>0</v>
      </c>
    </row>
    <row r="40" spans="1:12" ht="12.75" customHeight="1" x14ac:dyDescent="0.25">
      <c r="A40" s="129" t="s">
        <v>1379</v>
      </c>
      <c r="B40" s="73"/>
      <c r="C40" s="130">
        <v>319393.5</v>
      </c>
      <c r="D40" s="109">
        <v>319393.5</v>
      </c>
      <c r="E40" s="109">
        <v>0</v>
      </c>
      <c r="F40" s="109">
        <v>0</v>
      </c>
      <c r="G40" s="109">
        <v>0</v>
      </c>
      <c r="H40" s="109">
        <v>0</v>
      </c>
      <c r="I40" s="109">
        <v>0</v>
      </c>
      <c r="J40" s="508">
        <f t="shared" si="5"/>
        <v>0</v>
      </c>
      <c r="K40" s="508">
        <f t="shared" si="6"/>
        <v>319393.5</v>
      </c>
      <c r="L40" s="510">
        <f t="shared" si="7"/>
        <v>0</v>
      </c>
    </row>
    <row r="41" spans="1:12" ht="12.75" customHeight="1" x14ac:dyDescent="0.25">
      <c r="A41" s="129" t="s">
        <v>1380</v>
      </c>
      <c r="B41" s="73"/>
      <c r="C41" s="130">
        <v>11040322.5</v>
      </c>
      <c r="D41" s="109">
        <v>11040322.5</v>
      </c>
      <c r="E41" s="109">
        <v>0</v>
      </c>
      <c r="F41" s="109">
        <v>0</v>
      </c>
      <c r="G41" s="109">
        <v>0</v>
      </c>
      <c r="H41" s="109">
        <v>0</v>
      </c>
      <c r="I41" s="109">
        <v>0</v>
      </c>
      <c r="J41" s="508">
        <f>SUM(E41:I41)</f>
        <v>0</v>
      </c>
      <c r="K41" s="508">
        <f>IF(D41=0,C41+J41,D41+J41)</f>
        <v>11040322.5</v>
      </c>
      <c r="L41" s="510"/>
    </row>
    <row r="42" spans="1:12" ht="12.75" customHeight="1" x14ac:dyDescent="0.25">
      <c r="A42" s="129" t="s">
        <v>1183</v>
      </c>
      <c r="B42" s="73"/>
      <c r="C42" s="130">
        <v>72644458.518200159</v>
      </c>
      <c r="D42" s="109">
        <v>72694458.518200159</v>
      </c>
      <c r="E42" s="109">
        <v>0</v>
      </c>
      <c r="F42" s="109">
        <v>0</v>
      </c>
      <c r="G42" s="109">
        <v>0</v>
      </c>
      <c r="H42" s="109">
        <v>0</v>
      </c>
      <c r="I42" s="109">
        <v>2875000</v>
      </c>
      <c r="J42" s="508">
        <f>SUM(E42:I42)</f>
        <v>2875000</v>
      </c>
      <c r="K42" s="508">
        <f>IF(D42=0,C42+J42,D42+J42)</f>
        <v>75569458.518200159</v>
      </c>
      <c r="L42" s="510"/>
    </row>
    <row r="43" spans="1:12" ht="12.75" customHeight="1" x14ac:dyDescent="0.25">
      <c r="A43" s="129" t="s">
        <v>1157</v>
      </c>
      <c r="B43" s="73"/>
      <c r="C43" s="130">
        <v>15991401</v>
      </c>
      <c r="D43" s="109">
        <v>15991401</v>
      </c>
      <c r="E43" s="109">
        <v>0</v>
      </c>
      <c r="F43" s="109">
        <v>0</v>
      </c>
      <c r="G43" s="109">
        <v>0</v>
      </c>
      <c r="H43" s="109">
        <v>0</v>
      </c>
      <c r="I43" s="109">
        <v>0</v>
      </c>
      <c r="J43" s="508">
        <f t="shared" si="5"/>
        <v>0</v>
      </c>
      <c r="K43" s="508">
        <f t="shared" si="6"/>
        <v>15991401</v>
      </c>
      <c r="L43" s="510">
        <f t="shared" si="7"/>
        <v>0</v>
      </c>
    </row>
    <row r="44" spans="1:12" ht="12.75" customHeight="1" x14ac:dyDescent="0.25">
      <c r="A44" s="129" t="s">
        <v>1156</v>
      </c>
      <c r="B44" s="73"/>
      <c r="C44" s="130">
        <v>7415808</v>
      </c>
      <c r="D44" s="109">
        <v>7415808</v>
      </c>
      <c r="E44" s="109">
        <v>0</v>
      </c>
      <c r="F44" s="109">
        <v>0</v>
      </c>
      <c r="G44" s="109">
        <v>0</v>
      </c>
      <c r="H44" s="109">
        <v>0</v>
      </c>
      <c r="I44" s="109">
        <v>0</v>
      </c>
      <c r="J44" s="508">
        <f t="shared" si="5"/>
        <v>0</v>
      </c>
      <c r="K44" s="508">
        <f t="shared" si="6"/>
        <v>7415808</v>
      </c>
      <c r="L44" s="510">
        <f t="shared" si="7"/>
        <v>0</v>
      </c>
    </row>
    <row r="45" spans="1:12" ht="12.75" customHeight="1" x14ac:dyDescent="0.25">
      <c r="A45" s="129" t="s">
        <v>1158</v>
      </c>
      <c r="B45" s="73">
        <v>5</v>
      </c>
      <c r="C45" s="130">
        <v>7418794.2599999998</v>
      </c>
      <c r="D45" s="109">
        <v>7418794.2599999998</v>
      </c>
      <c r="E45" s="109">
        <v>0</v>
      </c>
      <c r="F45" s="109">
        <v>0</v>
      </c>
      <c r="G45" s="109">
        <v>0</v>
      </c>
      <c r="H45" s="109">
        <v>0</v>
      </c>
      <c r="I45" s="109">
        <v>0</v>
      </c>
      <c r="J45" s="508">
        <f t="shared" si="5"/>
        <v>0</v>
      </c>
      <c r="K45" s="508">
        <f t="shared" si="6"/>
        <v>7418794.2599999998</v>
      </c>
      <c r="L45" s="510">
        <f t="shared" si="7"/>
        <v>0</v>
      </c>
    </row>
    <row r="46" spans="1:12" ht="12.75" customHeight="1" x14ac:dyDescent="0.25">
      <c r="A46" s="139" t="s">
        <v>202</v>
      </c>
      <c r="B46" s="73"/>
      <c r="C46" s="302">
        <f t="shared" ref="C46:K46" si="8">SUM(C34:C45)</f>
        <v>929786641.67519999</v>
      </c>
      <c r="D46" s="151">
        <f t="shared" si="8"/>
        <v>929786641.67519999</v>
      </c>
      <c r="E46" s="151">
        <f t="shared" si="8"/>
        <v>0</v>
      </c>
      <c r="F46" s="151">
        <f t="shared" si="8"/>
        <v>0</v>
      </c>
      <c r="G46" s="151">
        <f t="shared" si="8"/>
        <v>0</v>
      </c>
      <c r="H46" s="151">
        <f t="shared" si="8"/>
        <v>0</v>
      </c>
      <c r="I46" s="151">
        <f t="shared" si="8"/>
        <v>42594900</v>
      </c>
      <c r="J46" s="151">
        <f t="shared" si="8"/>
        <v>42594900</v>
      </c>
      <c r="K46" s="152">
        <f t="shared" si="8"/>
        <v>972381541.67519999</v>
      </c>
      <c r="L46" s="512">
        <f t="shared" si="7"/>
        <v>4.5811477699073677E-2</v>
      </c>
    </row>
    <row r="47" spans="1:12" ht="12.75" customHeight="1" x14ac:dyDescent="0.25">
      <c r="A47" s="825" t="str">
        <f>$A$15</f>
        <v>% increase</v>
      </c>
      <c r="B47" s="73"/>
      <c r="C47" s="517"/>
      <c r="D47" s="237"/>
      <c r="E47" s="237"/>
      <c r="F47" s="237"/>
      <c r="G47" s="237"/>
      <c r="H47" s="237"/>
      <c r="I47" s="237"/>
      <c r="J47" s="237"/>
      <c r="K47" s="518"/>
      <c r="L47" s="512"/>
    </row>
    <row r="48" spans="1:12" ht="12.75" customHeight="1" x14ac:dyDescent="0.25">
      <c r="A48" s="162" t="s">
        <v>203</v>
      </c>
      <c r="B48" s="79"/>
      <c r="C48" s="80">
        <f t="shared" ref="C48:K48" si="9">C14+C30+C46</f>
        <v>990053017</v>
      </c>
      <c r="D48" s="81">
        <f t="shared" si="9"/>
        <v>990053017</v>
      </c>
      <c r="E48" s="81">
        <f t="shared" si="9"/>
        <v>0</v>
      </c>
      <c r="F48" s="81">
        <f t="shared" si="9"/>
        <v>0</v>
      </c>
      <c r="G48" s="81">
        <f t="shared" si="9"/>
        <v>0</v>
      </c>
      <c r="H48" s="81">
        <f t="shared" si="9"/>
        <v>0</v>
      </c>
      <c r="I48" s="81">
        <f t="shared" si="9"/>
        <v>42594900</v>
      </c>
      <c r="J48" s="81">
        <f t="shared" si="9"/>
        <v>42594900</v>
      </c>
      <c r="K48" s="519">
        <f t="shared" si="9"/>
        <v>1032647917</v>
      </c>
      <c r="L48" s="512">
        <f>IF(K48=0,"",(K48/C48)-1)</f>
        <v>4.3022847533022546E-2</v>
      </c>
    </row>
    <row r="49" spans="1:12" ht="14.25" customHeight="1" x14ac:dyDescent="0.25">
      <c r="A49" s="139"/>
      <c r="B49" s="73"/>
      <c r="C49" s="140"/>
      <c r="D49" s="141"/>
      <c r="E49" s="141"/>
      <c r="F49" s="141"/>
      <c r="G49" s="141"/>
      <c r="H49" s="141"/>
      <c r="I49" s="141"/>
      <c r="J49" s="516"/>
      <c r="K49" s="516"/>
      <c r="L49" s="512"/>
    </row>
    <row r="50" spans="1:12" ht="5.25" customHeight="1" x14ac:dyDescent="0.25">
      <c r="A50" s="139"/>
      <c r="B50" s="73"/>
      <c r="C50" s="140"/>
      <c r="D50" s="141"/>
      <c r="E50" s="141"/>
      <c r="F50" s="141"/>
      <c r="G50" s="141"/>
      <c r="H50" s="141"/>
      <c r="I50" s="141"/>
      <c r="J50" s="516"/>
      <c r="K50" s="516"/>
      <c r="L50" s="512"/>
    </row>
    <row r="51" spans="1:12" ht="12.75" customHeight="1" x14ac:dyDescent="0.25">
      <c r="A51" s="126" t="s">
        <v>204</v>
      </c>
      <c r="B51" s="73"/>
      <c r="C51" s="74"/>
      <c r="D51" s="75"/>
      <c r="E51" s="75"/>
      <c r="F51" s="75"/>
      <c r="G51" s="75"/>
      <c r="H51" s="75"/>
      <c r="I51" s="75"/>
      <c r="J51" s="508"/>
      <c r="K51" s="508"/>
      <c r="L51" s="510"/>
    </row>
    <row r="52" spans="1:12" ht="12.75" customHeight="1" x14ac:dyDescent="0.25">
      <c r="A52" s="129" t="s">
        <v>201</v>
      </c>
      <c r="B52" s="73"/>
      <c r="C52" s="130">
        <v>2014781.9916800002</v>
      </c>
      <c r="D52" s="109">
        <v>2014781.9916800002</v>
      </c>
      <c r="E52" s="109">
        <v>0</v>
      </c>
      <c r="F52" s="109">
        <v>0</v>
      </c>
      <c r="G52" s="109">
        <v>0</v>
      </c>
      <c r="H52" s="109">
        <v>0</v>
      </c>
      <c r="I52" s="109">
        <v>0</v>
      </c>
      <c r="J52" s="508">
        <f t="shared" ref="J52:J58" si="10">SUM(E52:I52)</f>
        <v>0</v>
      </c>
      <c r="K52" s="508">
        <f t="shared" ref="K52:K64" si="11">IF(D52=0,C52+J52,D52+J52)</f>
        <v>2014781.9916800002</v>
      </c>
      <c r="L52" s="510">
        <f>IF(K52=0,"",(K52/C52)-1)</f>
        <v>0</v>
      </c>
    </row>
    <row r="53" spans="1:12" ht="12.75" customHeight="1" x14ac:dyDescent="0.25">
      <c r="A53" s="129" t="s">
        <v>1377</v>
      </c>
      <c r="B53" s="73"/>
      <c r="C53" s="130">
        <v>369088.95949600008</v>
      </c>
      <c r="D53" s="109">
        <v>369088.95949600008</v>
      </c>
      <c r="E53" s="109">
        <v>0</v>
      </c>
      <c r="F53" s="109">
        <v>0</v>
      </c>
      <c r="G53" s="109">
        <v>0</v>
      </c>
      <c r="H53" s="109">
        <v>0</v>
      </c>
      <c r="I53" s="109">
        <v>0</v>
      </c>
      <c r="J53" s="508">
        <f t="shared" si="10"/>
        <v>0</v>
      </c>
      <c r="K53" s="508">
        <f t="shared" si="11"/>
        <v>369088.95949600008</v>
      </c>
      <c r="L53" s="510">
        <f>IF(K53=0,"",(K53/C53)-1)</f>
        <v>0</v>
      </c>
    </row>
    <row r="54" spans="1:12" ht="12.75" customHeight="1" x14ac:dyDescent="0.25">
      <c r="A54" s="129" t="s">
        <v>194</v>
      </c>
      <c r="B54" s="73"/>
      <c r="C54" s="130">
        <v>0</v>
      </c>
      <c r="D54" s="109">
        <v>0</v>
      </c>
      <c r="E54" s="109">
        <v>0</v>
      </c>
      <c r="F54" s="109">
        <v>0</v>
      </c>
      <c r="G54" s="109">
        <v>0</v>
      </c>
      <c r="H54" s="109">
        <v>0</v>
      </c>
      <c r="I54" s="109">
        <v>0</v>
      </c>
      <c r="J54" s="508">
        <f t="shared" si="10"/>
        <v>0</v>
      </c>
      <c r="K54" s="508">
        <f t="shared" si="11"/>
        <v>0</v>
      </c>
      <c r="L54" s="510" t="str">
        <f>IF(K54=0,"",(K54/C54)-1)</f>
        <v/>
      </c>
    </row>
    <row r="55" spans="1:12" ht="12.75" customHeight="1" x14ac:dyDescent="0.25">
      <c r="A55" s="129" t="s">
        <v>1155</v>
      </c>
      <c r="B55" s="73"/>
      <c r="C55" s="130">
        <v>0</v>
      </c>
      <c r="D55" s="109">
        <v>0</v>
      </c>
      <c r="E55" s="109">
        <v>0</v>
      </c>
      <c r="F55" s="109">
        <v>0</v>
      </c>
      <c r="G55" s="109">
        <v>0</v>
      </c>
      <c r="H55" s="109">
        <v>0</v>
      </c>
      <c r="I55" s="109">
        <v>0</v>
      </c>
      <c r="J55" s="508">
        <f t="shared" si="10"/>
        <v>0</v>
      </c>
      <c r="K55" s="508">
        <f>IF(D55=0,C55+J55,D55+J55)</f>
        <v>0</v>
      </c>
      <c r="L55" s="510"/>
    </row>
    <row r="56" spans="1:12" ht="12.75" customHeight="1" x14ac:dyDescent="0.25">
      <c r="A56" s="129" t="s">
        <v>198</v>
      </c>
      <c r="B56" s="73"/>
      <c r="C56" s="130">
        <v>0</v>
      </c>
      <c r="D56" s="109">
        <v>0</v>
      </c>
      <c r="E56" s="109">
        <v>0</v>
      </c>
      <c r="F56" s="109">
        <v>0</v>
      </c>
      <c r="G56" s="109">
        <v>0</v>
      </c>
      <c r="H56" s="109">
        <v>0</v>
      </c>
      <c r="I56" s="109">
        <v>0</v>
      </c>
      <c r="J56" s="508">
        <f t="shared" si="10"/>
        <v>0</v>
      </c>
      <c r="K56" s="508">
        <f>IF(D56=0,C56+J56,D56+J56)</f>
        <v>0</v>
      </c>
      <c r="L56" s="510"/>
    </row>
    <row r="57" spans="1:12" ht="12.75" customHeight="1" x14ac:dyDescent="0.25">
      <c r="A57" s="129" t="s">
        <v>1378</v>
      </c>
      <c r="B57" s="73"/>
      <c r="C57" s="130">
        <v>0</v>
      </c>
      <c r="D57" s="109">
        <v>0</v>
      </c>
      <c r="E57" s="109">
        <v>0</v>
      </c>
      <c r="F57" s="109">
        <v>0</v>
      </c>
      <c r="G57" s="109">
        <v>0</v>
      </c>
      <c r="H57" s="109">
        <v>0</v>
      </c>
      <c r="I57" s="109">
        <v>0</v>
      </c>
      <c r="J57" s="508">
        <f t="shared" si="10"/>
        <v>0</v>
      </c>
      <c r="K57" s="508">
        <f>IF(D57=0,C57+J57,D57+J57)</f>
        <v>0</v>
      </c>
      <c r="L57" s="510"/>
    </row>
    <row r="58" spans="1:12" ht="12.75" customHeight="1" x14ac:dyDescent="0.25">
      <c r="A58" s="129" t="s">
        <v>1379</v>
      </c>
      <c r="B58" s="73"/>
      <c r="C58" s="130">
        <v>0</v>
      </c>
      <c r="D58" s="109">
        <v>0</v>
      </c>
      <c r="E58" s="109">
        <v>0</v>
      </c>
      <c r="F58" s="109">
        <v>0</v>
      </c>
      <c r="G58" s="109">
        <v>0</v>
      </c>
      <c r="H58" s="109">
        <v>0</v>
      </c>
      <c r="I58" s="109">
        <v>0</v>
      </c>
      <c r="J58" s="508">
        <f t="shared" si="10"/>
        <v>0</v>
      </c>
      <c r="K58" s="508">
        <f>IF(D58=0,C58+J58,D58+J58)</f>
        <v>0</v>
      </c>
      <c r="L58" s="510"/>
    </row>
    <row r="59" spans="1:12" ht="12.75" customHeight="1" x14ac:dyDescent="0.25">
      <c r="A59" s="129" t="s">
        <v>1380</v>
      </c>
      <c r="B59" s="73"/>
      <c r="C59" s="130">
        <v>0</v>
      </c>
      <c r="D59" s="109">
        <v>0</v>
      </c>
      <c r="E59" s="509"/>
      <c r="F59" s="509"/>
      <c r="G59" s="109">
        <v>0</v>
      </c>
      <c r="H59" s="509"/>
      <c r="I59" s="109">
        <v>0</v>
      </c>
      <c r="J59" s="508">
        <f>G59+I59</f>
        <v>0</v>
      </c>
      <c r="K59" s="508">
        <f t="shared" si="11"/>
        <v>0</v>
      </c>
      <c r="L59" s="510" t="str">
        <f>IF(K59=0,"",(K59/C59)-1)</f>
        <v/>
      </c>
    </row>
    <row r="60" spans="1:12" ht="12.75" customHeight="1" x14ac:dyDescent="0.25">
      <c r="A60" s="129" t="s">
        <v>1183</v>
      </c>
      <c r="B60" s="73"/>
      <c r="C60" s="130">
        <v>0</v>
      </c>
      <c r="D60" s="109">
        <v>0</v>
      </c>
      <c r="E60" s="509"/>
      <c r="F60" s="509"/>
      <c r="G60" s="109">
        <v>0</v>
      </c>
      <c r="H60" s="509"/>
      <c r="I60" s="109">
        <v>0</v>
      </c>
      <c r="J60" s="508">
        <f>G60+I60</f>
        <v>0</v>
      </c>
      <c r="K60" s="508">
        <f t="shared" si="11"/>
        <v>0</v>
      </c>
      <c r="L60" s="510"/>
    </row>
    <row r="61" spans="1:12" ht="12.75" customHeight="1" x14ac:dyDescent="0.25">
      <c r="A61" s="129" t="s">
        <v>205</v>
      </c>
      <c r="B61" s="73"/>
      <c r="C61" s="130">
        <v>0</v>
      </c>
      <c r="D61" s="109">
        <v>0</v>
      </c>
      <c r="E61" s="109">
        <v>0</v>
      </c>
      <c r="F61" s="109">
        <v>0</v>
      </c>
      <c r="G61" s="109">
        <v>0</v>
      </c>
      <c r="H61" s="109">
        <v>0</v>
      </c>
      <c r="I61" s="109">
        <v>0</v>
      </c>
      <c r="J61" s="508">
        <f>SUM(E61:I61)</f>
        <v>0</v>
      </c>
      <c r="K61" s="508">
        <f t="shared" si="11"/>
        <v>0</v>
      </c>
      <c r="L61" s="510" t="str">
        <f>IF(K61=0,"",(K61/C61)-1)</f>
        <v/>
      </c>
    </row>
    <row r="62" spans="1:12" ht="12.75" customHeight="1" x14ac:dyDescent="0.25">
      <c r="A62" s="129" t="s">
        <v>1157</v>
      </c>
      <c r="B62" s="73"/>
      <c r="C62" s="130">
        <v>0</v>
      </c>
      <c r="D62" s="109">
        <v>0</v>
      </c>
      <c r="E62" s="109">
        <v>0</v>
      </c>
      <c r="F62" s="109">
        <v>0</v>
      </c>
      <c r="G62" s="109">
        <v>0</v>
      </c>
      <c r="H62" s="109">
        <v>0</v>
      </c>
      <c r="I62" s="109">
        <v>0</v>
      </c>
      <c r="J62" s="508">
        <f>SUM(E62:I62)</f>
        <v>0</v>
      </c>
      <c r="K62" s="508">
        <f t="shared" si="11"/>
        <v>0</v>
      </c>
      <c r="L62" s="510" t="str">
        <f>IF(K62=0,"",(K62/C62)-1)</f>
        <v/>
      </c>
    </row>
    <row r="63" spans="1:12" ht="12.75" customHeight="1" x14ac:dyDescent="0.25">
      <c r="A63" s="129" t="s">
        <v>1156</v>
      </c>
      <c r="B63" s="73"/>
      <c r="C63" s="130">
        <v>0</v>
      </c>
      <c r="D63" s="109">
        <v>0</v>
      </c>
      <c r="E63" s="109">
        <v>0</v>
      </c>
      <c r="F63" s="109">
        <v>0</v>
      </c>
      <c r="G63" s="109">
        <v>0</v>
      </c>
      <c r="H63" s="109">
        <v>0</v>
      </c>
      <c r="I63" s="109">
        <v>0</v>
      </c>
      <c r="J63" s="508">
        <f>SUM(E63:I63)</f>
        <v>0</v>
      </c>
      <c r="K63" s="508">
        <f>IF(D63=0,C63+J63,D63+J63)</f>
        <v>0</v>
      </c>
      <c r="L63" s="510"/>
    </row>
    <row r="64" spans="1:12" ht="12.75" customHeight="1" x14ac:dyDescent="0.25">
      <c r="A64" s="129" t="s">
        <v>1158</v>
      </c>
      <c r="B64" s="137">
        <v>5</v>
      </c>
      <c r="C64" s="130">
        <v>0</v>
      </c>
      <c r="D64" s="109">
        <v>0</v>
      </c>
      <c r="E64" s="109">
        <v>0</v>
      </c>
      <c r="F64" s="109">
        <v>0</v>
      </c>
      <c r="G64" s="109">
        <v>0</v>
      </c>
      <c r="H64" s="109">
        <v>0</v>
      </c>
      <c r="I64" s="109">
        <v>0</v>
      </c>
      <c r="J64" s="508">
        <f>SUM(E64:I64)</f>
        <v>0</v>
      </c>
      <c r="K64" s="508">
        <f t="shared" si="11"/>
        <v>0</v>
      </c>
      <c r="L64" s="510" t="str">
        <f>IF(K64=0,"",(K64/C64)-1)</f>
        <v/>
      </c>
    </row>
    <row r="65" spans="1:12" ht="12.75" customHeight="1" x14ac:dyDescent="0.25">
      <c r="A65" s="139" t="s">
        <v>206</v>
      </c>
      <c r="B65" s="73"/>
      <c r="C65" s="302">
        <f t="shared" ref="C65:K65" si="12">SUM(C52:C64)</f>
        <v>2383870.9511760003</v>
      </c>
      <c r="D65" s="151">
        <f t="shared" si="12"/>
        <v>2383870.9511760003</v>
      </c>
      <c r="E65" s="151">
        <f t="shared" si="12"/>
        <v>0</v>
      </c>
      <c r="F65" s="151">
        <f t="shared" si="12"/>
        <v>0</v>
      </c>
      <c r="G65" s="151">
        <f t="shared" si="12"/>
        <v>0</v>
      </c>
      <c r="H65" s="151">
        <f t="shared" si="12"/>
        <v>0</v>
      </c>
      <c r="I65" s="151">
        <f t="shared" si="12"/>
        <v>0</v>
      </c>
      <c r="J65" s="151">
        <f t="shared" si="12"/>
        <v>0</v>
      </c>
      <c r="K65" s="152">
        <f t="shared" si="12"/>
        <v>2383870.9511760003</v>
      </c>
      <c r="L65" s="512">
        <f>IF(K65=0,"",(K65/C65)-1)</f>
        <v>0</v>
      </c>
    </row>
    <row r="66" spans="1:12" ht="12.75" customHeight="1" x14ac:dyDescent="0.25">
      <c r="A66" s="825" t="str">
        <f>$A$15</f>
        <v>% increase</v>
      </c>
      <c r="B66" s="73"/>
      <c r="C66" s="140"/>
      <c r="D66" s="141"/>
      <c r="E66" s="141"/>
      <c r="F66" s="141"/>
      <c r="G66" s="141"/>
      <c r="H66" s="141"/>
      <c r="I66" s="141"/>
      <c r="J66" s="516"/>
      <c r="K66" s="516"/>
      <c r="L66" s="512"/>
    </row>
    <row r="67" spans="1:12" ht="5.25" customHeight="1" x14ac:dyDescent="0.25">
      <c r="A67" s="825"/>
      <c r="B67" s="73"/>
      <c r="C67" s="140"/>
      <c r="D67" s="141"/>
      <c r="E67" s="141"/>
      <c r="F67" s="141"/>
      <c r="G67" s="141"/>
      <c r="H67" s="141"/>
      <c r="I67" s="141"/>
      <c r="J67" s="516"/>
      <c r="K67" s="516"/>
      <c r="L67" s="512"/>
    </row>
    <row r="68" spans="1:12" ht="12.75" customHeight="1" x14ac:dyDescent="0.25">
      <c r="A68" s="126" t="s">
        <v>207</v>
      </c>
      <c r="B68" s="73"/>
      <c r="C68" s="74"/>
      <c r="D68" s="75"/>
      <c r="E68" s="75"/>
      <c r="F68" s="75"/>
      <c r="G68" s="75"/>
      <c r="H68" s="75"/>
      <c r="I68" s="75"/>
      <c r="J68" s="508"/>
      <c r="K68" s="508"/>
      <c r="L68" s="510"/>
    </row>
    <row r="69" spans="1:12" ht="12.75" customHeight="1" x14ac:dyDescent="0.25">
      <c r="A69" s="588" t="s">
        <v>201</v>
      </c>
      <c r="B69" s="73"/>
      <c r="C69" s="130"/>
      <c r="D69" s="109"/>
      <c r="E69" s="109"/>
      <c r="F69" s="109"/>
      <c r="G69" s="109"/>
      <c r="H69" s="109"/>
      <c r="I69" s="109"/>
      <c r="J69" s="508">
        <f t="shared" ref="J69:J80" si="13">SUM(E69:I69)</f>
        <v>0</v>
      </c>
      <c r="K69" s="508">
        <f t="shared" ref="K69:K80" si="14">IF(D69=0,C69+J69,D69+J69)</f>
        <v>0</v>
      </c>
      <c r="L69" s="510" t="str">
        <f t="shared" ref="L69:L81" si="15">IF(K69=0,"",(K69/C69)-1)</f>
        <v/>
      </c>
    </row>
    <row r="70" spans="1:12" ht="12.75" customHeight="1" x14ac:dyDescent="0.25">
      <c r="A70" s="588" t="s">
        <v>1377</v>
      </c>
      <c r="B70" s="73"/>
      <c r="C70" s="130"/>
      <c r="D70" s="109"/>
      <c r="E70" s="109"/>
      <c r="F70" s="109"/>
      <c r="G70" s="109"/>
      <c r="H70" s="109"/>
      <c r="I70" s="109"/>
      <c r="J70" s="508">
        <f t="shared" si="13"/>
        <v>0</v>
      </c>
      <c r="K70" s="508">
        <f t="shared" si="14"/>
        <v>0</v>
      </c>
      <c r="L70" s="510" t="str">
        <f t="shared" si="15"/>
        <v/>
      </c>
    </row>
    <row r="71" spans="1:12" ht="12.75" customHeight="1" x14ac:dyDescent="0.25">
      <c r="A71" s="588" t="s">
        <v>194</v>
      </c>
      <c r="B71" s="73"/>
      <c r="C71" s="130"/>
      <c r="D71" s="109"/>
      <c r="E71" s="109"/>
      <c r="F71" s="109"/>
      <c r="G71" s="109"/>
      <c r="H71" s="109"/>
      <c r="I71" s="109"/>
      <c r="J71" s="508">
        <f t="shared" si="13"/>
        <v>0</v>
      </c>
      <c r="K71" s="508">
        <f t="shared" si="14"/>
        <v>0</v>
      </c>
      <c r="L71" s="510" t="str">
        <f t="shared" si="15"/>
        <v/>
      </c>
    </row>
    <row r="72" spans="1:12" ht="12.75" customHeight="1" x14ac:dyDescent="0.25">
      <c r="A72" s="588" t="s">
        <v>1155</v>
      </c>
      <c r="B72" s="73"/>
      <c r="C72" s="130"/>
      <c r="D72" s="109"/>
      <c r="E72" s="109"/>
      <c r="F72" s="109"/>
      <c r="G72" s="109"/>
      <c r="H72" s="109"/>
      <c r="I72" s="109"/>
      <c r="J72" s="508">
        <f>SUM(E72:I72)</f>
        <v>0</v>
      </c>
      <c r="K72" s="508">
        <f>IF(D72=0,C72+J72,D72+J72)</f>
        <v>0</v>
      </c>
      <c r="L72" s="510"/>
    </row>
    <row r="73" spans="1:12" ht="12.75" customHeight="1" x14ac:dyDescent="0.25">
      <c r="A73" s="588" t="s">
        <v>198</v>
      </c>
      <c r="B73" s="73"/>
      <c r="C73" s="130"/>
      <c r="D73" s="109"/>
      <c r="E73" s="109"/>
      <c r="F73" s="109"/>
      <c r="G73" s="109"/>
      <c r="H73" s="109"/>
      <c r="I73" s="109"/>
      <c r="J73" s="508">
        <f>SUM(E73:I73)</f>
        <v>0</v>
      </c>
      <c r="K73" s="508">
        <f>IF(D73=0,C73+J73,D73+J73)</f>
        <v>0</v>
      </c>
      <c r="L73" s="510"/>
    </row>
    <row r="74" spans="1:12" ht="12.75" customHeight="1" x14ac:dyDescent="0.25">
      <c r="A74" s="588" t="s">
        <v>1378</v>
      </c>
      <c r="B74" s="73"/>
      <c r="C74" s="130"/>
      <c r="D74" s="109"/>
      <c r="E74" s="109"/>
      <c r="F74" s="109"/>
      <c r="G74" s="109"/>
      <c r="H74" s="109"/>
      <c r="I74" s="109"/>
      <c r="J74" s="508">
        <f>SUM(E74:I74)</f>
        <v>0</v>
      </c>
      <c r="K74" s="508">
        <f>IF(D74=0,C74+J74,D74+J74)</f>
        <v>0</v>
      </c>
      <c r="L74" s="510"/>
    </row>
    <row r="75" spans="1:12" ht="12.75" customHeight="1" x14ac:dyDescent="0.25">
      <c r="A75" s="588" t="s">
        <v>1379</v>
      </c>
      <c r="B75" s="73"/>
      <c r="C75" s="130"/>
      <c r="D75" s="109"/>
      <c r="E75" s="109"/>
      <c r="F75" s="109"/>
      <c r="G75" s="109"/>
      <c r="H75" s="109"/>
      <c r="I75" s="109"/>
      <c r="J75" s="508">
        <f>SUM(E75:I75)</f>
        <v>0</v>
      </c>
      <c r="K75" s="508">
        <f>IF(D75=0,C75+J75,D75+J75)</f>
        <v>0</v>
      </c>
      <c r="L75" s="510"/>
    </row>
    <row r="76" spans="1:12" ht="12.75" customHeight="1" x14ac:dyDescent="0.25">
      <c r="A76" s="588" t="s">
        <v>1380</v>
      </c>
      <c r="B76" s="73"/>
      <c r="C76" s="130"/>
      <c r="D76" s="109"/>
      <c r="E76" s="109"/>
      <c r="F76" s="109"/>
      <c r="G76" s="109"/>
      <c r="H76" s="109"/>
      <c r="I76" s="109"/>
      <c r="J76" s="508">
        <f t="shared" si="13"/>
        <v>0</v>
      </c>
      <c r="K76" s="508">
        <f t="shared" si="14"/>
        <v>0</v>
      </c>
      <c r="L76" s="510" t="str">
        <f t="shared" si="15"/>
        <v/>
      </c>
    </row>
    <row r="77" spans="1:12" ht="12.75" customHeight="1" x14ac:dyDescent="0.25">
      <c r="A77" s="588" t="s">
        <v>1183</v>
      </c>
      <c r="B77" s="73"/>
      <c r="C77" s="130"/>
      <c r="D77" s="109"/>
      <c r="E77" s="109"/>
      <c r="F77" s="109"/>
      <c r="G77" s="109"/>
      <c r="H77" s="109"/>
      <c r="I77" s="109"/>
      <c r="J77" s="508">
        <f>SUM(E77:I77)</f>
        <v>0</v>
      </c>
      <c r="K77" s="508">
        <f>IF(D77=0,C77+J77,D77+J77)</f>
        <v>0</v>
      </c>
      <c r="L77" s="510"/>
    </row>
    <row r="78" spans="1:12" ht="12.75" customHeight="1" x14ac:dyDescent="0.25">
      <c r="A78" s="588" t="s">
        <v>1157</v>
      </c>
      <c r="B78" s="73"/>
      <c r="C78" s="130"/>
      <c r="D78" s="109"/>
      <c r="E78" s="109"/>
      <c r="F78" s="109"/>
      <c r="G78" s="109"/>
      <c r="H78" s="109"/>
      <c r="I78" s="109"/>
      <c r="J78" s="508">
        <f t="shared" si="13"/>
        <v>0</v>
      </c>
      <c r="K78" s="508">
        <f t="shared" si="14"/>
        <v>0</v>
      </c>
      <c r="L78" s="510" t="str">
        <f t="shared" si="15"/>
        <v/>
      </c>
    </row>
    <row r="79" spans="1:12" ht="12.75" customHeight="1" x14ac:dyDescent="0.25">
      <c r="A79" s="588" t="s">
        <v>1156</v>
      </c>
      <c r="B79" s="73"/>
      <c r="C79" s="130"/>
      <c r="D79" s="109"/>
      <c r="E79" s="109"/>
      <c r="F79" s="109"/>
      <c r="G79" s="109"/>
      <c r="H79" s="109"/>
      <c r="I79" s="109"/>
      <c r="J79" s="508">
        <f t="shared" si="13"/>
        <v>0</v>
      </c>
      <c r="K79" s="508">
        <f t="shared" si="14"/>
        <v>0</v>
      </c>
      <c r="L79" s="510" t="str">
        <f t="shared" si="15"/>
        <v/>
      </c>
    </row>
    <row r="80" spans="1:12" ht="12.75" customHeight="1" x14ac:dyDescent="0.25">
      <c r="A80" s="588" t="s">
        <v>1158</v>
      </c>
      <c r="B80" s="73">
        <v>5</v>
      </c>
      <c r="C80" s="130"/>
      <c r="D80" s="109"/>
      <c r="E80" s="109"/>
      <c r="F80" s="109"/>
      <c r="G80" s="109"/>
      <c r="H80" s="109"/>
      <c r="I80" s="109"/>
      <c r="J80" s="508">
        <f t="shared" si="13"/>
        <v>0</v>
      </c>
      <c r="K80" s="508">
        <f t="shared" si="14"/>
        <v>0</v>
      </c>
      <c r="L80" s="510" t="str">
        <f t="shared" si="15"/>
        <v/>
      </c>
    </row>
    <row r="81" spans="1:12" ht="12.75" customHeight="1" x14ac:dyDescent="0.25">
      <c r="A81" s="139" t="s">
        <v>208</v>
      </c>
      <c r="B81" s="73"/>
      <c r="C81" s="302">
        <f t="shared" ref="C81:K81" si="16">SUM(C69:C80)</f>
        <v>0</v>
      </c>
      <c r="D81" s="151">
        <f t="shared" si="16"/>
        <v>0</v>
      </c>
      <c r="E81" s="151">
        <f t="shared" si="16"/>
        <v>0</v>
      </c>
      <c r="F81" s="151">
        <f t="shared" si="16"/>
        <v>0</v>
      </c>
      <c r="G81" s="151">
        <f t="shared" si="16"/>
        <v>0</v>
      </c>
      <c r="H81" s="151">
        <f t="shared" si="16"/>
        <v>0</v>
      </c>
      <c r="I81" s="151">
        <f t="shared" si="16"/>
        <v>0</v>
      </c>
      <c r="J81" s="151">
        <f t="shared" si="16"/>
        <v>0</v>
      </c>
      <c r="K81" s="152">
        <f t="shared" si="16"/>
        <v>0</v>
      </c>
      <c r="L81" s="512" t="str">
        <f t="shared" si="15"/>
        <v/>
      </c>
    </row>
    <row r="82" spans="1:12" ht="12.75" customHeight="1" x14ac:dyDescent="0.25">
      <c r="A82" s="825" t="str">
        <f>$A$15</f>
        <v>% increase</v>
      </c>
      <c r="B82" s="73"/>
      <c r="C82" s="140"/>
      <c r="D82" s="141"/>
      <c r="E82" s="141"/>
      <c r="F82" s="141"/>
      <c r="G82" s="141"/>
      <c r="H82" s="141"/>
      <c r="I82" s="141"/>
      <c r="J82" s="516"/>
      <c r="K82" s="516"/>
      <c r="L82" s="512"/>
    </row>
    <row r="83" spans="1:12" ht="3.75" customHeight="1" x14ac:dyDescent="0.25">
      <c r="A83" s="825"/>
      <c r="B83" s="73"/>
      <c r="C83" s="140"/>
      <c r="D83" s="141"/>
      <c r="E83" s="141"/>
      <c r="F83" s="141"/>
      <c r="G83" s="141"/>
      <c r="H83" s="141"/>
      <c r="I83" s="141"/>
      <c r="J83" s="516"/>
      <c r="K83" s="516"/>
      <c r="L83" s="512"/>
    </row>
    <row r="84" spans="1:12" ht="12.75" customHeight="1" x14ac:dyDescent="0.25">
      <c r="A84" s="126" t="s">
        <v>209</v>
      </c>
      <c r="B84" s="73"/>
      <c r="C84" s="74"/>
      <c r="D84" s="75"/>
      <c r="E84" s="75"/>
      <c r="F84" s="75"/>
      <c r="G84" s="75"/>
      <c r="H84" s="75"/>
      <c r="I84" s="75"/>
      <c r="J84" s="508"/>
      <c r="K84" s="508"/>
      <c r="L84" s="510"/>
    </row>
    <row r="85" spans="1:12" ht="12.75" customHeight="1" x14ac:dyDescent="0.25">
      <c r="A85" s="588" t="s">
        <v>201</v>
      </c>
      <c r="B85" s="73"/>
      <c r="C85" s="130"/>
      <c r="D85" s="109"/>
      <c r="E85" s="109"/>
      <c r="F85" s="109"/>
      <c r="G85" s="109"/>
      <c r="H85" s="109"/>
      <c r="I85" s="109"/>
      <c r="J85" s="508">
        <f t="shared" ref="J85:J96" si="17">SUM(E85:I85)</f>
        <v>0</v>
      </c>
      <c r="K85" s="508">
        <f t="shared" ref="K85:K96" si="18">IF(D85=0,C85+J85,D85+J85)</f>
        <v>0</v>
      </c>
      <c r="L85" s="510" t="str">
        <f t="shared" ref="L85:L97" si="19">IF(K85=0,"",(K85/C85)-1)</f>
        <v/>
      </c>
    </row>
    <row r="86" spans="1:12" ht="12.75" customHeight="1" x14ac:dyDescent="0.25">
      <c r="A86" s="588" t="s">
        <v>1377</v>
      </c>
      <c r="B86" s="73"/>
      <c r="C86" s="130"/>
      <c r="D86" s="109"/>
      <c r="E86" s="109"/>
      <c r="F86" s="109"/>
      <c r="G86" s="109"/>
      <c r="H86" s="109"/>
      <c r="I86" s="109"/>
      <c r="J86" s="508">
        <f t="shared" si="17"/>
        <v>0</v>
      </c>
      <c r="K86" s="508">
        <f t="shared" si="18"/>
        <v>0</v>
      </c>
      <c r="L86" s="510" t="str">
        <f t="shared" si="19"/>
        <v/>
      </c>
    </row>
    <row r="87" spans="1:12" ht="12.75" customHeight="1" x14ac:dyDescent="0.25">
      <c r="A87" s="588" t="s">
        <v>194</v>
      </c>
      <c r="B87" s="73"/>
      <c r="C87" s="130"/>
      <c r="D87" s="109"/>
      <c r="E87" s="109"/>
      <c r="F87" s="109"/>
      <c r="G87" s="109"/>
      <c r="H87" s="109"/>
      <c r="I87" s="109"/>
      <c r="J87" s="508">
        <f t="shared" si="17"/>
        <v>0</v>
      </c>
      <c r="K87" s="508">
        <f t="shared" si="18"/>
        <v>0</v>
      </c>
      <c r="L87" s="510" t="str">
        <f t="shared" si="19"/>
        <v/>
      </c>
    </row>
    <row r="88" spans="1:12" ht="12.75" customHeight="1" x14ac:dyDescent="0.25">
      <c r="A88" s="588" t="s">
        <v>1155</v>
      </c>
      <c r="B88" s="73"/>
      <c r="C88" s="130"/>
      <c r="D88" s="109"/>
      <c r="E88" s="109"/>
      <c r="F88" s="109"/>
      <c r="G88" s="109"/>
      <c r="H88" s="109"/>
      <c r="I88" s="109"/>
      <c r="J88" s="508">
        <f t="shared" si="17"/>
        <v>0</v>
      </c>
      <c r="K88" s="508">
        <f t="shared" si="18"/>
        <v>0</v>
      </c>
      <c r="L88" s="510" t="str">
        <f t="shared" si="19"/>
        <v/>
      </c>
    </row>
    <row r="89" spans="1:12" ht="12.75" customHeight="1" x14ac:dyDescent="0.25">
      <c r="A89" s="588" t="s">
        <v>198</v>
      </c>
      <c r="B89" s="73"/>
      <c r="C89" s="130"/>
      <c r="D89" s="109"/>
      <c r="E89" s="109"/>
      <c r="F89" s="109"/>
      <c r="G89" s="109"/>
      <c r="H89" s="109"/>
      <c r="I89" s="109"/>
      <c r="J89" s="508">
        <f>SUM(E89:I89)</f>
        <v>0</v>
      </c>
      <c r="K89" s="508">
        <f>IF(D89=0,C89+J89,D89+J89)</f>
        <v>0</v>
      </c>
      <c r="L89" s="510"/>
    </row>
    <row r="90" spans="1:12" ht="12.75" customHeight="1" x14ac:dyDescent="0.25">
      <c r="A90" s="588" t="s">
        <v>1378</v>
      </c>
      <c r="B90" s="73"/>
      <c r="C90" s="130"/>
      <c r="D90" s="109"/>
      <c r="E90" s="109"/>
      <c r="F90" s="109"/>
      <c r="G90" s="109"/>
      <c r="H90" s="109"/>
      <c r="I90" s="109"/>
      <c r="J90" s="508">
        <f t="shared" si="17"/>
        <v>0</v>
      </c>
      <c r="K90" s="508">
        <f t="shared" si="18"/>
        <v>0</v>
      </c>
      <c r="L90" s="510" t="str">
        <f t="shared" si="19"/>
        <v/>
      </c>
    </row>
    <row r="91" spans="1:12" ht="12.75" customHeight="1" x14ac:dyDescent="0.25">
      <c r="A91" s="588" t="s">
        <v>1379</v>
      </c>
      <c r="B91" s="73"/>
      <c r="C91" s="130"/>
      <c r="D91" s="109"/>
      <c r="E91" s="109"/>
      <c r="F91" s="109"/>
      <c r="G91" s="109"/>
      <c r="H91" s="109"/>
      <c r="I91" s="109"/>
      <c r="J91" s="508">
        <f t="shared" si="17"/>
        <v>0</v>
      </c>
      <c r="K91" s="508">
        <f t="shared" si="18"/>
        <v>0</v>
      </c>
      <c r="L91" s="510" t="str">
        <f t="shared" si="19"/>
        <v/>
      </c>
    </row>
    <row r="92" spans="1:12" ht="12.75" customHeight="1" x14ac:dyDescent="0.25">
      <c r="A92" s="588" t="s">
        <v>1380</v>
      </c>
      <c r="B92" s="73"/>
      <c r="C92" s="130"/>
      <c r="D92" s="109"/>
      <c r="E92" s="109"/>
      <c r="F92" s="109"/>
      <c r="G92" s="109"/>
      <c r="H92" s="109"/>
      <c r="I92" s="109"/>
      <c r="J92" s="508">
        <f>SUM(E92:I92)</f>
        <v>0</v>
      </c>
      <c r="K92" s="508">
        <f>IF(D92=0,C92+J92,D92+J92)</f>
        <v>0</v>
      </c>
      <c r="L92" s="510"/>
    </row>
    <row r="93" spans="1:12" ht="12.75" customHeight="1" x14ac:dyDescent="0.25">
      <c r="A93" s="588" t="s">
        <v>1183</v>
      </c>
      <c r="B93" s="73"/>
      <c r="C93" s="130"/>
      <c r="D93" s="109"/>
      <c r="E93" s="109"/>
      <c r="F93" s="109"/>
      <c r="G93" s="109"/>
      <c r="H93" s="109"/>
      <c r="I93" s="109"/>
      <c r="J93" s="508">
        <f>SUM(E93:I93)</f>
        <v>0</v>
      </c>
      <c r="K93" s="508">
        <f>IF(D93=0,C93+J93,D93+J93)</f>
        <v>0</v>
      </c>
      <c r="L93" s="510"/>
    </row>
    <row r="94" spans="1:12" ht="12.75" customHeight="1" x14ac:dyDescent="0.25">
      <c r="A94" s="588" t="s">
        <v>1157</v>
      </c>
      <c r="B94" s="73"/>
      <c r="C94" s="130"/>
      <c r="D94" s="109"/>
      <c r="E94" s="109"/>
      <c r="F94" s="109"/>
      <c r="G94" s="109"/>
      <c r="H94" s="109"/>
      <c r="I94" s="109"/>
      <c r="J94" s="508">
        <f t="shared" si="17"/>
        <v>0</v>
      </c>
      <c r="K94" s="508">
        <f t="shared" si="18"/>
        <v>0</v>
      </c>
      <c r="L94" s="510" t="str">
        <f t="shared" si="19"/>
        <v/>
      </c>
    </row>
    <row r="95" spans="1:12" ht="12.75" customHeight="1" x14ac:dyDescent="0.25">
      <c r="A95" s="588" t="s">
        <v>1156</v>
      </c>
      <c r="B95" s="73"/>
      <c r="C95" s="130"/>
      <c r="D95" s="109"/>
      <c r="E95" s="109"/>
      <c r="F95" s="109"/>
      <c r="G95" s="109"/>
      <c r="H95" s="109"/>
      <c r="I95" s="109"/>
      <c r="J95" s="508">
        <f t="shared" si="17"/>
        <v>0</v>
      </c>
      <c r="K95" s="508">
        <f t="shared" si="18"/>
        <v>0</v>
      </c>
      <c r="L95" s="510" t="str">
        <f t="shared" si="19"/>
        <v/>
      </c>
    </row>
    <row r="96" spans="1:12" ht="12.75" customHeight="1" x14ac:dyDescent="0.25">
      <c r="A96" s="588" t="s">
        <v>1158</v>
      </c>
      <c r="B96" s="73">
        <v>5</v>
      </c>
      <c r="C96" s="130"/>
      <c r="D96" s="109"/>
      <c r="E96" s="109"/>
      <c r="F96" s="109"/>
      <c r="G96" s="109"/>
      <c r="H96" s="109"/>
      <c r="I96" s="109"/>
      <c r="J96" s="508">
        <f t="shared" si="17"/>
        <v>0</v>
      </c>
      <c r="K96" s="508">
        <f t="shared" si="18"/>
        <v>0</v>
      </c>
      <c r="L96" s="510" t="str">
        <f t="shared" si="19"/>
        <v/>
      </c>
    </row>
    <row r="97" spans="1:15" ht="12.75" customHeight="1" x14ac:dyDescent="0.25">
      <c r="A97" s="139" t="s">
        <v>210</v>
      </c>
      <c r="B97" s="73"/>
      <c r="C97" s="302">
        <f t="shared" ref="C97:K97" si="20">SUM(C85:C96)</f>
        <v>0</v>
      </c>
      <c r="D97" s="151">
        <f t="shared" si="20"/>
        <v>0</v>
      </c>
      <c r="E97" s="151">
        <f t="shared" si="20"/>
        <v>0</v>
      </c>
      <c r="F97" s="151">
        <f t="shared" si="20"/>
        <v>0</v>
      </c>
      <c r="G97" s="151">
        <f t="shared" si="20"/>
        <v>0</v>
      </c>
      <c r="H97" s="151">
        <f t="shared" si="20"/>
        <v>0</v>
      </c>
      <c r="I97" s="151">
        <f t="shared" si="20"/>
        <v>0</v>
      </c>
      <c r="J97" s="151">
        <f t="shared" si="20"/>
        <v>0</v>
      </c>
      <c r="K97" s="152">
        <f t="shared" si="20"/>
        <v>0</v>
      </c>
      <c r="L97" s="512" t="str">
        <f t="shared" si="19"/>
        <v/>
      </c>
    </row>
    <row r="98" spans="1:15" ht="12.75" customHeight="1" x14ac:dyDescent="0.25">
      <c r="A98" s="825" t="str">
        <f>$A$15</f>
        <v>% increase</v>
      </c>
      <c r="B98" s="154"/>
      <c r="C98" s="517"/>
      <c r="D98" s="237"/>
      <c r="E98" s="237"/>
      <c r="F98" s="237"/>
      <c r="G98" s="237"/>
      <c r="H98" s="237"/>
      <c r="I98" s="237"/>
      <c r="J98" s="237"/>
      <c r="K98" s="518"/>
      <c r="L98" s="512"/>
    </row>
    <row r="99" spans="1:15" ht="12.75" customHeight="1" x14ac:dyDescent="0.25">
      <c r="A99" s="162" t="s">
        <v>211</v>
      </c>
      <c r="B99" s="79"/>
      <c r="C99" s="80">
        <f t="shared" ref="C99:K99" si="21">C65+C81+C97</f>
        <v>2383870.9511760003</v>
      </c>
      <c r="D99" s="81">
        <f t="shared" si="21"/>
        <v>2383870.9511760003</v>
      </c>
      <c r="E99" s="81">
        <f t="shared" si="21"/>
        <v>0</v>
      </c>
      <c r="F99" s="81">
        <f t="shared" si="21"/>
        <v>0</v>
      </c>
      <c r="G99" s="81">
        <f t="shared" si="21"/>
        <v>0</v>
      </c>
      <c r="H99" s="81">
        <f t="shared" si="21"/>
        <v>0</v>
      </c>
      <c r="I99" s="81">
        <f t="shared" si="21"/>
        <v>0</v>
      </c>
      <c r="J99" s="81">
        <f t="shared" si="21"/>
        <v>0</v>
      </c>
      <c r="K99" s="519">
        <f t="shared" si="21"/>
        <v>2383870.9511760003</v>
      </c>
      <c r="L99" s="512">
        <f>IF(K99=0,"",(K99/C99)-1)</f>
        <v>0</v>
      </c>
    </row>
    <row r="100" spans="1:15" ht="5.0999999999999996" customHeight="1" x14ac:dyDescent="0.25">
      <c r="A100" s="136"/>
      <c r="B100" s="105"/>
      <c r="C100" s="106"/>
      <c r="D100" s="480"/>
      <c r="E100" s="480"/>
      <c r="F100" s="480"/>
      <c r="G100" s="480"/>
      <c r="H100" s="480"/>
      <c r="I100" s="480"/>
      <c r="J100" s="480"/>
      <c r="K100" s="520"/>
      <c r="L100" s="512"/>
    </row>
    <row r="101" spans="1:15" ht="24.75" customHeight="1" x14ac:dyDescent="0.25">
      <c r="A101" s="1185" t="s">
        <v>1460</v>
      </c>
      <c r="B101" s="154"/>
      <c r="C101" s="517">
        <f t="shared" ref="C101:K101" si="22">C48+C99</f>
        <v>992436887.95117605</v>
      </c>
      <c r="D101" s="237">
        <f t="shared" si="22"/>
        <v>992436887.95117605</v>
      </c>
      <c r="E101" s="237">
        <f t="shared" si="22"/>
        <v>0</v>
      </c>
      <c r="F101" s="237">
        <f t="shared" si="22"/>
        <v>0</v>
      </c>
      <c r="G101" s="237">
        <f t="shared" si="22"/>
        <v>0</v>
      </c>
      <c r="H101" s="237">
        <f t="shared" si="22"/>
        <v>0</v>
      </c>
      <c r="I101" s="237">
        <f t="shared" si="22"/>
        <v>42594900</v>
      </c>
      <c r="J101" s="237">
        <f t="shared" si="22"/>
        <v>42594900</v>
      </c>
      <c r="K101" s="518">
        <f t="shared" si="22"/>
        <v>1035031787.951176</v>
      </c>
      <c r="L101" s="512">
        <f>IF(K101=0,"",(K101/C101)-1)</f>
        <v>4.2919505025588611E-2</v>
      </c>
    </row>
    <row r="102" spans="1:15" x14ac:dyDescent="0.25">
      <c r="A102" s="825" t="str">
        <f>$A$15</f>
        <v>% increase</v>
      </c>
      <c r="B102" s="105"/>
      <c r="C102" s="150"/>
      <c r="D102" s="151"/>
      <c r="E102" s="151"/>
      <c r="F102" s="151"/>
      <c r="G102" s="151"/>
      <c r="H102" s="151"/>
      <c r="I102" s="151"/>
      <c r="J102" s="151"/>
      <c r="K102" s="521"/>
      <c r="L102" s="512"/>
    </row>
    <row r="103" spans="1:15" ht="12.75" customHeight="1" x14ac:dyDescent="0.25">
      <c r="A103" s="155" t="s">
        <v>212</v>
      </c>
      <c r="B103" s="156"/>
      <c r="C103" s="157">
        <f t="shared" ref="C103:K103" si="23">C30+C46+C81+C97</f>
        <v>947542017</v>
      </c>
      <c r="D103" s="117">
        <f t="shared" si="23"/>
        <v>947542017</v>
      </c>
      <c r="E103" s="117">
        <f t="shared" si="23"/>
        <v>0</v>
      </c>
      <c r="F103" s="117">
        <f t="shared" si="23"/>
        <v>0</v>
      </c>
      <c r="G103" s="117">
        <f t="shared" si="23"/>
        <v>0</v>
      </c>
      <c r="H103" s="117">
        <f t="shared" si="23"/>
        <v>0</v>
      </c>
      <c r="I103" s="117">
        <f t="shared" si="23"/>
        <v>42594900</v>
      </c>
      <c r="J103" s="117">
        <f t="shared" si="23"/>
        <v>42594900</v>
      </c>
      <c r="K103" s="522">
        <f t="shared" si="23"/>
        <v>990136917</v>
      </c>
      <c r="L103" s="523">
        <f>IF(K103=0,"",(K103/C103)-1)</f>
        <v>4.4953046129668328E-2</v>
      </c>
    </row>
    <row r="104" spans="1:15" ht="12.75" customHeight="1" x14ac:dyDescent="0.25">
      <c r="A104" s="158" t="str">
        <f>head27a</f>
        <v>References</v>
      </c>
      <c r="B104" s="93"/>
      <c r="C104" s="491"/>
      <c r="D104" s="491"/>
      <c r="E104" s="491"/>
      <c r="F104" s="491"/>
      <c r="G104" s="491"/>
      <c r="H104" s="491"/>
      <c r="I104" s="491"/>
      <c r="J104" s="491"/>
      <c r="K104" s="491"/>
      <c r="L104" s="524"/>
      <c r="M104" s="48"/>
      <c r="N104" s="48"/>
      <c r="O104" s="48"/>
    </row>
    <row r="105" spans="1:15" ht="12.75" customHeight="1" x14ac:dyDescent="0.25">
      <c r="A105" s="99" t="s">
        <v>213</v>
      </c>
      <c r="B105" s="93"/>
      <c r="C105" s="491"/>
      <c r="D105" s="491"/>
      <c r="E105" s="491"/>
      <c r="F105" s="491"/>
      <c r="G105" s="491"/>
      <c r="H105" s="491"/>
      <c r="I105" s="491"/>
      <c r="J105" s="491"/>
      <c r="K105" s="491"/>
      <c r="L105" s="524"/>
      <c r="M105" s="48"/>
      <c r="N105" s="48"/>
      <c r="O105" s="48"/>
    </row>
    <row r="106" spans="1:15" ht="12.75" customHeight="1" x14ac:dyDescent="0.25">
      <c r="A106" s="99" t="s">
        <v>214</v>
      </c>
      <c r="B106" s="93"/>
      <c r="C106" s="491"/>
      <c r="D106" s="491"/>
      <c r="E106" s="491"/>
      <c r="F106" s="491"/>
      <c r="G106" s="491"/>
      <c r="H106" s="491"/>
      <c r="I106" s="491"/>
      <c r="J106" s="491"/>
      <c r="K106" s="491"/>
      <c r="L106" s="524"/>
      <c r="M106" s="48"/>
      <c r="N106" s="48"/>
      <c r="O106" s="48"/>
    </row>
    <row r="107" spans="1:15" ht="12.75" customHeight="1" x14ac:dyDescent="0.25">
      <c r="A107" s="99" t="s">
        <v>215</v>
      </c>
      <c r="B107" s="93"/>
      <c r="C107" s="99"/>
      <c r="D107" s="99"/>
      <c r="E107" s="99"/>
      <c r="F107" s="99"/>
      <c r="G107" s="99"/>
      <c r="H107" s="99"/>
      <c r="I107" s="99"/>
      <c r="J107" s="99"/>
      <c r="K107" s="99"/>
      <c r="L107" s="93"/>
    </row>
    <row r="108" spans="1:15" ht="12.75" customHeight="1" x14ac:dyDescent="0.25">
      <c r="A108" s="159" t="s">
        <v>216</v>
      </c>
      <c r="B108" s="93"/>
      <c r="C108" s="99"/>
      <c r="D108" s="99"/>
      <c r="E108" s="99"/>
      <c r="F108" s="99"/>
      <c r="G108" s="99"/>
      <c r="H108" s="99"/>
      <c r="I108" s="99"/>
      <c r="J108" s="99"/>
      <c r="K108" s="99"/>
      <c r="L108" s="93"/>
    </row>
    <row r="109" spans="1:15" ht="12.75" customHeight="1" x14ac:dyDescent="0.25">
      <c r="A109" s="1023" t="s">
        <v>1381</v>
      </c>
      <c r="B109" s="93"/>
      <c r="C109" s="99"/>
      <c r="D109" s="99"/>
      <c r="E109" s="99"/>
      <c r="F109" s="99"/>
      <c r="G109" s="99"/>
      <c r="H109" s="99"/>
      <c r="I109" s="99"/>
      <c r="J109" s="99"/>
      <c r="K109" s="99"/>
      <c r="L109" s="93"/>
    </row>
    <row r="110" spans="1:15" ht="12.75" customHeight="1" x14ac:dyDescent="0.25">
      <c r="A110" s="1023"/>
      <c r="B110" s="93"/>
      <c r="C110" s="99"/>
      <c r="D110" s="99"/>
      <c r="E110" s="99"/>
      <c r="F110" s="99"/>
      <c r="G110" s="99"/>
      <c r="H110" s="99"/>
      <c r="I110" s="99"/>
      <c r="J110" s="99"/>
      <c r="K110" s="99"/>
      <c r="L110" s="93"/>
    </row>
    <row r="111" spans="1:15" ht="12.75" customHeight="1" x14ac:dyDescent="0.25">
      <c r="A111" s="158" t="s">
        <v>217</v>
      </c>
      <c r="B111" s="93"/>
      <c r="C111" s="99"/>
      <c r="D111" s="99"/>
      <c r="E111" s="99"/>
      <c r="F111" s="99"/>
      <c r="G111" s="99"/>
      <c r="H111" s="99"/>
      <c r="I111" s="99"/>
      <c r="J111" s="99"/>
      <c r="K111" s="99"/>
      <c r="L111" s="93"/>
    </row>
    <row r="112" spans="1:15" ht="12.75" customHeight="1" x14ac:dyDescent="0.25">
      <c r="A112" s="99" t="s">
        <v>218</v>
      </c>
      <c r="B112" s="93"/>
      <c r="C112" s="99"/>
      <c r="D112" s="99"/>
      <c r="E112" s="99"/>
      <c r="F112" s="99"/>
      <c r="G112" s="99"/>
      <c r="H112" s="99"/>
      <c r="I112" s="99"/>
      <c r="J112" s="99"/>
      <c r="K112" s="99"/>
      <c r="L112" s="93"/>
    </row>
    <row r="113" spans="1:12" ht="12.75" customHeight="1" x14ac:dyDescent="0.25">
      <c r="A113" s="1402" t="s">
        <v>987</v>
      </c>
      <c r="B113" s="1402"/>
      <c r="C113" s="1402"/>
      <c r="D113" s="1402"/>
      <c r="E113" s="1402"/>
      <c r="F113" s="1402"/>
      <c r="G113" s="1402"/>
      <c r="H113" s="1402"/>
      <c r="I113" s="1402"/>
      <c r="J113" s="1402"/>
      <c r="K113" s="1402"/>
      <c r="L113" s="1402"/>
    </row>
    <row r="114" spans="1:12" ht="24.95" customHeight="1" x14ac:dyDescent="0.25">
      <c r="A114" s="1402" t="s">
        <v>670</v>
      </c>
      <c r="B114" s="1402"/>
      <c r="C114" s="1402"/>
      <c r="D114" s="1402"/>
      <c r="E114" s="1402"/>
      <c r="F114" s="1402"/>
      <c r="G114" s="1402"/>
      <c r="H114" s="1402"/>
      <c r="I114" s="1402"/>
      <c r="J114" s="1402"/>
      <c r="K114" s="1402"/>
      <c r="L114" s="1402"/>
    </row>
    <row r="115" spans="1:12" ht="12.75" customHeight="1" x14ac:dyDescent="0.25">
      <c r="A115" s="1402" t="s">
        <v>632</v>
      </c>
      <c r="B115" s="1402"/>
      <c r="C115" s="1402"/>
      <c r="D115" s="1402"/>
      <c r="E115" s="1402"/>
      <c r="F115" s="1402"/>
      <c r="G115" s="1402"/>
      <c r="H115" s="1402"/>
      <c r="I115" s="1402"/>
      <c r="J115" s="1402"/>
      <c r="K115" s="98"/>
      <c r="L115" s="525"/>
    </row>
    <row r="116" spans="1:12" ht="12.75" customHeight="1" x14ac:dyDescent="0.25">
      <c r="A116" s="1402" t="s">
        <v>633</v>
      </c>
      <c r="B116" s="1402"/>
      <c r="C116" s="1402"/>
      <c r="D116" s="1402"/>
      <c r="E116" s="1402"/>
      <c r="F116" s="1402"/>
      <c r="G116" s="1402"/>
      <c r="H116" s="1402"/>
      <c r="I116" s="1402"/>
      <c r="J116" s="1402"/>
      <c r="K116" s="1402"/>
      <c r="L116" s="1402"/>
    </row>
    <row r="117" spans="1:12" ht="12.75" customHeight="1" x14ac:dyDescent="0.25">
      <c r="A117" s="99" t="s">
        <v>221</v>
      </c>
      <c r="B117" s="93"/>
      <c r="C117" s="96"/>
      <c r="D117" s="96"/>
      <c r="E117" s="96"/>
      <c r="F117" s="96"/>
      <c r="G117" s="96"/>
      <c r="H117" s="96"/>
      <c r="I117" s="96"/>
      <c r="J117" s="96"/>
      <c r="K117" s="96"/>
      <c r="L117" s="526"/>
    </row>
    <row r="118" spans="1:12" ht="24.95" customHeight="1" x14ac:dyDescent="0.25">
      <c r="A118" s="1402" t="s">
        <v>635</v>
      </c>
      <c r="B118" s="1402"/>
      <c r="C118" s="1402"/>
      <c r="D118" s="1402"/>
      <c r="E118" s="1402"/>
      <c r="F118" s="1402"/>
      <c r="G118" s="1402"/>
      <c r="H118" s="1402"/>
      <c r="I118" s="1402"/>
      <c r="J118" s="1402"/>
      <c r="K118" s="1402"/>
      <c r="L118" s="1402"/>
    </row>
    <row r="119" spans="1:12" ht="12.75" customHeight="1" x14ac:dyDescent="0.25">
      <c r="A119" s="99" t="s">
        <v>222</v>
      </c>
      <c r="B119" s="93"/>
      <c r="C119" s="96"/>
      <c r="D119" s="96"/>
      <c r="E119" s="96"/>
      <c r="F119" s="96"/>
      <c r="G119" s="96"/>
      <c r="H119" s="96"/>
      <c r="I119" s="96"/>
      <c r="J119" s="96"/>
      <c r="K119" s="96"/>
      <c r="L119" s="526"/>
    </row>
    <row r="120" spans="1:12" ht="12.75" customHeight="1" x14ac:dyDescent="0.25">
      <c r="A120" s="1402" t="s">
        <v>637</v>
      </c>
      <c r="B120" s="1402"/>
      <c r="C120" s="1402"/>
      <c r="D120" s="1402"/>
      <c r="E120" s="1402"/>
      <c r="F120" s="1402"/>
      <c r="G120" s="1402"/>
      <c r="H120" s="1402"/>
      <c r="I120" s="1402"/>
      <c r="J120" s="1402"/>
      <c r="K120" s="1402"/>
      <c r="L120" s="1402"/>
    </row>
    <row r="121" spans="1:12" x14ac:dyDescent="0.25">
      <c r="B121" s="5"/>
    </row>
    <row r="122" spans="1:12" x14ac:dyDescent="0.25">
      <c r="B122" s="5"/>
    </row>
    <row r="123" spans="1:12" x14ac:dyDescent="0.25">
      <c r="B123" s="5"/>
    </row>
    <row r="124" spans="1:12" x14ac:dyDescent="0.25">
      <c r="B124" s="5"/>
    </row>
    <row r="125" spans="1:12" x14ac:dyDescent="0.25">
      <c r="B125" s="5"/>
    </row>
    <row r="126" spans="1:12" x14ac:dyDescent="0.25">
      <c r="B126" s="5"/>
    </row>
    <row r="127" spans="1:12" x14ac:dyDescent="0.25">
      <c r="B127" s="5"/>
    </row>
    <row r="128" spans="1:12" x14ac:dyDescent="0.25">
      <c r="B128" s="5"/>
    </row>
    <row r="129" spans="2:2" x14ac:dyDescent="0.25">
      <c r="B129" s="5"/>
    </row>
    <row r="130" spans="2:2" x14ac:dyDescent="0.25">
      <c r="B130" s="5"/>
    </row>
    <row r="131" spans="2:2" x14ac:dyDescent="0.25">
      <c r="B131" s="5"/>
    </row>
    <row r="132" spans="2:2" x14ac:dyDescent="0.25">
      <c r="B132" s="5"/>
    </row>
    <row r="133" spans="2:2" x14ac:dyDescent="0.25">
      <c r="B133" s="5"/>
    </row>
    <row r="134" spans="2:2" x14ac:dyDescent="0.25">
      <c r="B134" s="5"/>
    </row>
    <row r="135" spans="2:2" x14ac:dyDescent="0.25">
      <c r="B135" s="5"/>
    </row>
    <row r="136" spans="2:2" x14ac:dyDescent="0.25">
      <c r="B136" s="5"/>
    </row>
    <row r="137" spans="2:2" x14ac:dyDescent="0.25">
      <c r="B137" s="5"/>
    </row>
    <row r="138" spans="2:2" x14ac:dyDescent="0.25">
      <c r="B138" s="5"/>
    </row>
    <row r="139" spans="2:2" x14ac:dyDescent="0.25">
      <c r="B139" s="5"/>
    </row>
    <row r="140" spans="2:2" x14ac:dyDescent="0.25">
      <c r="B140" s="5"/>
    </row>
    <row r="141" spans="2:2" x14ac:dyDescent="0.25">
      <c r="B141" s="5"/>
    </row>
    <row r="142" spans="2:2" x14ac:dyDescent="0.25">
      <c r="B142" s="5"/>
    </row>
    <row r="143" spans="2:2" x14ac:dyDescent="0.25">
      <c r="B143" s="5"/>
    </row>
    <row r="144" spans="2:2" x14ac:dyDescent="0.25">
      <c r="B144" s="5"/>
    </row>
    <row r="145" spans="2:2" x14ac:dyDescent="0.25">
      <c r="B145" s="5"/>
    </row>
    <row r="146" spans="2:2" x14ac:dyDescent="0.25">
      <c r="B146" s="5"/>
    </row>
    <row r="147" spans="2:2" x14ac:dyDescent="0.25">
      <c r="B147" s="5"/>
    </row>
    <row r="148" spans="2:2" x14ac:dyDescent="0.25">
      <c r="B148" s="5"/>
    </row>
    <row r="149" spans="2:2" x14ac:dyDescent="0.25">
      <c r="B149" s="5"/>
    </row>
    <row r="150" spans="2:2" x14ac:dyDescent="0.25">
      <c r="B150" s="5"/>
    </row>
    <row r="151" spans="2:2" x14ac:dyDescent="0.25">
      <c r="B151" s="5"/>
    </row>
    <row r="152" spans="2:2" x14ac:dyDescent="0.25">
      <c r="B152" s="5"/>
    </row>
    <row r="153" spans="2:2" x14ac:dyDescent="0.25">
      <c r="B153" s="5"/>
    </row>
    <row r="154" spans="2:2" x14ac:dyDescent="0.25">
      <c r="B154" s="5"/>
    </row>
    <row r="155" spans="2:2" x14ac:dyDescent="0.25">
      <c r="B155" s="5"/>
    </row>
    <row r="156" spans="2:2" x14ac:dyDescent="0.25">
      <c r="B156" s="5"/>
    </row>
    <row r="157" spans="2:2" x14ac:dyDescent="0.25">
      <c r="B157" s="5"/>
    </row>
    <row r="158" spans="2:2" x14ac:dyDescent="0.25">
      <c r="B158" s="5"/>
    </row>
    <row r="159" spans="2:2" x14ac:dyDescent="0.25">
      <c r="B159" s="5"/>
    </row>
    <row r="160" spans="2:2" x14ac:dyDescent="0.25">
      <c r="B160" s="5"/>
    </row>
    <row r="161" spans="2:2" x14ac:dyDescent="0.25">
      <c r="B161" s="5"/>
    </row>
    <row r="162" spans="2:2" x14ac:dyDescent="0.25">
      <c r="B162" s="5"/>
    </row>
    <row r="163" spans="2:2" x14ac:dyDescent="0.25">
      <c r="B163" s="5"/>
    </row>
    <row r="164" spans="2:2" x14ac:dyDescent="0.25">
      <c r="B164" s="5"/>
    </row>
    <row r="165" spans="2:2" x14ac:dyDescent="0.25">
      <c r="B165" s="5"/>
    </row>
    <row r="166" spans="2:2" x14ac:dyDescent="0.25">
      <c r="B166" s="5"/>
    </row>
    <row r="167" spans="2:2" x14ac:dyDescent="0.25">
      <c r="B167" s="5"/>
    </row>
    <row r="168" spans="2:2" x14ac:dyDescent="0.25">
      <c r="B168" s="5"/>
    </row>
    <row r="169" spans="2:2" x14ac:dyDescent="0.25">
      <c r="B169" s="5"/>
    </row>
    <row r="170" spans="2:2" x14ac:dyDescent="0.25">
      <c r="B170" s="5"/>
    </row>
    <row r="171" spans="2:2" x14ac:dyDescent="0.25">
      <c r="B171" s="5"/>
    </row>
    <row r="172" spans="2:2" x14ac:dyDescent="0.25">
      <c r="B172" s="5"/>
    </row>
    <row r="173" spans="2:2" x14ac:dyDescent="0.25">
      <c r="B173" s="5"/>
    </row>
    <row r="174" spans="2:2" x14ac:dyDescent="0.25">
      <c r="B174" s="5"/>
    </row>
    <row r="175" spans="2:2" x14ac:dyDescent="0.25">
      <c r="B175" s="5"/>
    </row>
    <row r="176" spans="2:2" x14ac:dyDescent="0.25">
      <c r="B176" s="5"/>
    </row>
    <row r="177" spans="2:2" x14ac:dyDescent="0.25">
      <c r="B177" s="5"/>
    </row>
    <row r="178" spans="2:2" x14ac:dyDescent="0.25">
      <c r="B178" s="5"/>
    </row>
    <row r="179" spans="2:2" x14ac:dyDescent="0.25">
      <c r="B179" s="5"/>
    </row>
    <row r="180" spans="2:2" x14ac:dyDescent="0.25">
      <c r="B180" s="5"/>
    </row>
    <row r="181" spans="2:2" x14ac:dyDescent="0.25">
      <c r="B181" s="5"/>
    </row>
    <row r="182" spans="2:2" x14ac:dyDescent="0.25">
      <c r="B182" s="5"/>
    </row>
    <row r="183" spans="2:2" x14ac:dyDescent="0.25">
      <c r="B183" s="5"/>
    </row>
    <row r="184" spans="2:2" x14ac:dyDescent="0.25">
      <c r="B184" s="5"/>
    </row>
    <row r="185" spans="2:2" x14ac:dyDescent="0.25">
      <c r="B185" s="5"/>
    </row>
    <row r="186" spans="2:2" x14ac:dyDescent="0.25">
      <c r="B186" s="5"/>
    </row>
    <row r="187" spans="2:2" x14ac:dyDescent="0.25">
      <c r="B187" s="5"/>
    </row>
    <row r="188" spans="2:2" x14ac:dyDescent="0.25">
      <c r="B188" s="5"/>
    </row>
    <row r="189" spans="2:2" x14ac:dyDescent="0.25">
      <c r="B189" s="5"/>
    </row>
    <row r="190" spans="2:2" x14ac:dyDescent="0.25">
      <c r="B190" s="5"/>
    </row>
    <row r="191" spans="2:2" x14ac:dyDescent="0.25">
      <c r="B191" s="5"/>
    </row>
    <row r="192" spans="2:2" x14ac:dyDescent="0.25">
      <c r="B192" s="5"/>
    </row>
  </sheetData>
  <sheetProtection sheet="1" objects="1" scenarios="1"/>
  <mergeCells count="9">
    <mergeCell ref="A2:A3"/>
    <mergeCell ref="B2:B3"/>
    <mergeCell ref="A118:L118"/>
    <mergeCell ref="A120:L120"/>
    <mergeCell ref="A113:L113"/>
    <mergeCell ref="A115:J115"/>
    <mergeCell ref="A116:L116"/>
    <mergeCell ref="A114:L114"/>
    <mergeCell ref="C2:K2"/>
  </mergeCells>
  <phoneticPr fontId="4" type="noConversion"/>
  <printOptions horizontalCentered="1"/>
  <pageMargins left="0.35" right="0.16" top="0.59" bottom="0.41" header="0.51181102362204722" footer="0.4"/>
  <pageSetup paperSize="9" scale="54"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2">
    <tabColor indexed="42"/>
    <pageSetUpPr fitToPage="1"/>
  </sheetPr>
  <dimension ref="A1:R56"/>
  <sheetViews>
    <sheetView showGridLines="0" zoomScaleNormal="100" workbookViewId="0">
      <pane xSplit="2" ySplit="4" topLeftCell="C5" activePane="bottomRight" state="frozen"/>
      <selection activeCell="C6" sqref="C6"/>
      <selection pane="topRight" activeCell="C6" sqref="C6"/>
      <selection pane="bottomLeft" activeCell="C6" sqref="C6"/>
      <selection pane="bottomRight" activeCell="R41" sqref="C6:R41"/>
    </sheetView>
  </sheetViews>
  <sheetFormatPr defaultColWidth="9.140625" defaultRowHeight="12.75" x14ac:dyDescent="0.25"/>
  <cols>
    <col min="1" max="1" width="25.7109375" style="5" customWidth="1"/>
    <col min="2" max="2" width="3.140625" style="5" customWidth="1"/>
    <col min="3" max="14" width="8.7109375" style="5" customWidth="1"/>
    <col min="15" max="15" width="8.7109375" style="5" hidden="1" customWidth="1"/>
    <col min="16" max="18" width="8.7109375" style="5" customWidth="1"/>
    <col min="19" max="16384" width="9.140625" style="5"/>
  </cols>
  <sheetData>
    <row r="1" spans="1:18" ht="13.5" x14ac:dyDescent="0.25">
      <c r="A1" s="57" t="str">
        <f>muni&amp;" - "&amp;ADJB12&amp;" - "&amp;Date</f>
        <v>LIM354 Polokwane - Supporting Table SB12 Adjustments Budget - monthly revenue and expenditure (municipal vote) - 2020</v>
      </c>
      <c r="B1" s="57"/>
      <c r="D1" s="58"/>
    </row>
    <row r="2" spans="1:18" ht="25.5" x14ac:dyDescent="0.25">
      <c r="A2" s="1409" t="str">
        <f>desc</f>
        <v>Description</v>
      </c>
      <c r="B2" s="1406" t="str">
        <f>head27</f>
        <v>Ref</v>
      </c>
      <c r="C2" s="1403" t="str">
        <f>Head2</f>
        <v>Budget Year 2020/21</v>
      </c>
      <c r="D2" s="1404"/>
      <c r="E2" s="1404"/>
      <c r="F2" s="1404"/>
      <c r="G2" s="1404"/>
      <c r="H2" s="1404"/>
      <c r="I2" s="1404"/>
      <c r="J2" s="1404"/>
      <c r="K2" s="1404"/>
      <c r="L2" s="1404"/>
      <c r="M2" s="1404"/>
      <c r="N2" s="1405"/>
      <c r="O2" s="527"/>
      <c r="P2" s="528" t="s">
        <v>223</v>
      </c>
      <c r="Q2" s="529"/>
      <c r="R2" s="530"/>
    </row>
    <row r="3" spans="1:18" ht="38.25" x14ac:dyDescent="0.25">
      <c r="A3" s="1410"/>
      <c r="B3" s="1407"/>
      <c r="C3" s="452" t="s">
        <v>224</v>
      </c>
      <c r="D3" s="320" t="s">
        <v>225</v>
      </c>
      <c r="E3" s="320" t="s">
        <v>226</v>
      </c>
      <c r="F3" s="320" t="s">
        <v>227</v>
      </c>
      <c r="G3" s="320" t="s">
        <v>228</v>
      </c>
      <c r="H3" s="321" t="s">
        <v>229</v>
      </c>
      <c r="I3" s="531" t="s">
        <v>230</v>
      </c>
      <c r="J3" s="532" t="s">
        <v>231</v>
      </c>
      <c r="K3" s="320" t="s">
        <v>232</v>
      </c>
      <c r="L3" s="320" t="s">
        <v>233</v>
      </c>
      <c r="M3" s="533" t="s">
        <v>234</v>
      </c>
      <c r="N3" s="532" t="s">
        <v>235</v>
      </c>
      <c r="O3" s="534" t="s">
        <v>236</v>
      </c>
      <c r="P3" s="531" t="str">
        <f>Head9</f>
        <v>Budget Year 2020/21</v>
      </c>
      <c r="Q3" s="532" t="str">
        <f>Head10</f>
        <v>Budget Year +1 2021/22</v>
      </c>
      <c r="R3" s="322" t="str">
        <f>Head11</f>
        <v>Budget Year +2 2022/23</v>
      </c>
    </row>
    <row r="4" spans="1:18" ht="25.5" x14ac:dyDescent="0.25">
      <c r="A4" s="535" t="s">
        <v>603</v>
      </c>
      <c r="B4" s="104"/>
      <c r="C4" s="803" t="str">
        <f t="shared" ref="C4:H4" si="0">Head5A</f>
        <v>Outcome</v>
      </c>
      <c r="D4" s="804" t="str">
        <f t="shared" si="0"/>
        <v>Outcome</v>
      </c>
      <c r="E4" s="804" t="str">
        <f t="shared" si="0"/>
        <v>Outcome</v>
      </c>
      <c r="F4" s="804" t="str">
        <f t="shared" si="0"/>
        <v>Outcome</v>
      </c>
      <c r="G4" s="804" t="str">
        <f t="shared" si="0"/>
        <v>Outcome</v>
      </c>
      <c r="H4" s="805" t="str">
        <f t="shared" si="0"/>
        <v>Outcome</v>
      </c>
      <c r="I4" s="803" t="str">
        <f t="shared" ref="I4:N4" si="1">Head7</f>
        <v>Adjusted Budget</v>
      </c>
      <c r="J4" s="805" t="str">
        <f t="shared" si="1"/>
        <v>Adjusted Budget</v>
      </c>
      <c r="K4" s="804" t="str">
        <f t="shared" si="1"/>
        <v>Adjusted Budget</v>
      </c>
      <c r="L4" s="804" t="str">
        <f t="shared" si="1"/>
        <v>Adjusted Budget</v>
      </c>
      <c r="M4" s="804" t="str">
        <f t="shared" si="1"/>
        <v>Adjusted Budget</v>
      </c>
      <c r="N4" s="805" t="str">
        <f t="shared" si="1"/>
        <v>Adjusted Budget</v>
      </c>
      <c r="O4" s="536"/>
      <c r="P4" s="537" t="str">
        <f>Head7</f>
        <v>Adjusted Budget</v>
      </c>
      <c r="Q4" s="538" t="s">
        <v>237</v>
      </c>
      <c r="R4" s="539" t="s">
        <v>237</v>
      </c>
    </row>
    <row r="5" spans="1:18" ht="12.75" customHeight="1" x14ac:dyDescent="0.25">
      <c r="A5" s="507" t="str">
        <f>'B3-FinPerf V'!A6</f>
        <v>Revenue by Vote</v>
      </c>
      <c r="B5" s="129"/>
      <c r="C5" s="240"/>
      <c r="D5" s="75"/>
      <c r="E5" s="75"/>
      <c r="F5" s="75"/>
      <c r="G5" s="75"/>
      <c r="H5" s="508"/>
      <c r="I5" s="240"/>
      <c r="J5" s="75"/>
      <c r="K5" s="75"/>
      <c r="L5" s="75"/>
      <c r="M5" s="75"/>
      <c r="N5" s="508"/>
      <c r="O5" s="540"/>
      <c r="P5" s="240"/>
      <c r="Q5" s="75"/>
      <c r="R5" s="76"/>
    </row>
    <row r="6" spans="1:18" ht="12.75" customHeight="1" x14ac:dyDescent="0.25">
      <c r="A6" s="129" t="str">
        <f>'B3-FinPerf V'!A7</f>
        <v>Vote 1 - CHIEF OPERATION OFFICE</v>
      </c>
      <c r="B6" s="129"/>
      <c r="C6" s="382">
        <v>0</v>
      </c>
      <c r="D6" s="109">
        <v>0</v>
      </c>
      <c r="E6" s="109">
        <v>0</v>
      </c>
      <c r="F6" s="109">
        <v>0</v>
      </c>
      <c r="G6" s="109">
        <v>0</v>
      </c>
      <c r="H6" s="381">
        <v>0</v>
      </c>
      <c r="I6" s="382">
        <v>670.17224359957595</v>
      </c>
      <c r="J6" s="109">
        <v>519.62027068674729</v>
      </c>
      <c r="K6" s="109">
        <v>841.87071528162596</v>
      </c>
      <c r="L6" s="109">
        <v>816.42005525140655</v>
      </c>
      <c r="M6" s="109">
        <v>525.8432679404807</v>
      </c>
      <c r="N6" s="508">
        <f t="shared" ref="N6:N20" si="2">P6-SUM(C6:M6)</f>
        <v>4986.0734472401637</v>
      </c>
      <c r="O6" s="540">
        <f t="shared" ref="O6:O14" si="3">SUM(C6:N6)</f>
        <v>8360</v>
      </c>
      <c r="P6" s="240">
        <f>'B3-FinPerf V'!K7</f>
        <v>8360</v>
      </c>
      <c r="Q6" s="75">
        <f>'B3-FinPerf V'!L7</f>
        <v>8964</v>
      </c>
      <c r="R6" s="76">
        <f>'B3-FinPerf V'!M7</f>
        <v>9351.3072168778181</v>
      </c>
    </row>
    <row r="7" spans="1:18" ht="12.75" customHeight="1" x14ac:dyDescent="0.25">
      <c r="A7" s="129" t="str">
        <f>'B3-FinPerf V'!A8</f>
        <v>Vote 2 - MUNICIPAL MANAGER'S OFFICE</v>
      </c>
      <c r="B7" s="129"/>
      <c r="C7" s="382">
        <v>0</v>
      </c>
      <c r="D7" s="109">
        <v>0</v>
      </c>
      <c r="E7" s="109">
        <v>0</v>
      </c>
      <c r="F7" s="109">
        <v>0</v>
      </c>
      <c r="G7" s="109">
        <v>0</v>
      </c>
      <c r="H7" s="381">
        <v>0</v>
      </c>
      <c r="I7" s="382">
        <v>149823.41969060988</v>
      </c>
      <c r="J7" s="109">
        <v>116166.08511970029</v>
      </c>
      <c r="K7" s="109">
        <v>188208.2564676255</v>
      </c>
      <c r="L7" s="109">
        <v>182518.51781382816</v>
      </c>
      <c r="M7" s="109">
        <v>117557.2957199362</v>
      </c>
      <c r="N7" s="508">
        <f t="shared" si="2"/>
        <v>749906.42518829997</v>
      </c>
      <c r="O7" s="540">
        <f t="shared" si="3"/>
        <v>1504180</v>
      </c>
      <c r="P7" s="240">
        <f>'B3-FinPerf V'!K8</f>
        <v>1504180</v>
      </c>
      <c r="Q7" s="75">
        <f>'B3-FinPerf V'!L8</f>
        <v>2003988</v>
      </c>
      <c r="R7" s="76">
        <f>'B3-FinPerf V'!M8</f>
        <v>2090574.2354904669</v>
      </c>
    </row>
    <row r="8" spans="1:18" ht="12.75" customHeight="1" x14ac:dyDescent="0.25">
      <c r="A8" s="129" t="str">
        <f>'B3-FinPerf V'!A9</f>
        <v>Vote 3 - WATER AND SANITATION</v>
      </c>
      <c r="B8" s="129"/>
      <c r="C8" s="382">
        <v>28727633</v>
      </c>
      <c r="D8" s="109">
        <v>27666774</v>
      </c>
      <c r="E8" s="109">
        <v>25068136</v>
      </c>
      <c r="F8" s="109">
        <v>22593394</v>
      </c>
      <c r="G8" s="109">
        <v>28330580</v>
      </c>
      <c r="H8" s="381">
        <v>27623699.68</v>
      </c>
      <c r="I8" s="382">
        <v>35246244.103560396</v>
      </c>
      <c r="J8" s="109">
        <v>27328292.206512406</v>
      </c>
      <c r="K8" s="109">
        <v>44276349.87548738</v>
      </c>
      <c r="L8" s="109">
        <v>42937828.048316903</v>
      </c>
      <c r="M8" s="109">
        <v>27655577.143117338</v>
      </c>
      <c r="N8" s="508">
        <f t="shared" si="2"/>
        <v>43134969.943005562</v>
      </c>
      <c r="O8" s="540">
        <f t="shared" si="3"/>
        <v>380589478</v>
      </c>
      <c r="P8" s="240">
        <f>'B3-FinPerf V'!K9</f>
        <v>380589478</v>
      </c>
      <c r="Q8" s="75">
        <f>'B3-FinPerf V'!L9</f>
        <v>499727988</v>
      </c>
      <c r="R8" s="76">
        <f>'B3-FinPerf V'!M9</f>
        <v>521319716.71800894</v>
      </c>
    </row>
    <row r="9" spans="1:18" ht="12.75" customHeight="1" x14ac:dyDescent="0.25">
      <c r="A9" s="129" t="str">
        <f>'B3-FinPerf V'!A10</f>
        <v>Vote 4 - ENERGY</v>
      </c>
      <c r="B9" s="129"/>
      <c r="C9" s="382">
        <v>67659351</v>
      </c>
      <c r="D9" s="109">
        <v>81397945</v>
      </c>
      <c r="E9" s="109">
        <v>104964534</v>
      </c>
      <c r="F9" s="109">
        <v>70351939</v>
      </c>
      <c r="G9" s="109">
        <v>96127419</v>
      </c>
      <c r="H9" s="381">
        <v>93400735.359999999</v>
      </c>
      <c r="I9" s="382">
        <v>101359887.87731022</v>
      </c>
      <c r="J9" s="109">
        <v>78589725.072313651</v>
      </c>
      <c r="K9" s="109">
        <v>127328343.00896813</v>
      </c>
      <c r="L9" s="109">
        <v>123479069.82330048</v>
      </c>
      <c r="M9" s="109">
        <v>79530919.384556919</v>
      </c>
      <c r="N9" s="508">
        <f t="shared" si="2"/>
        <v>210403904.47355068</v>
      </c>
      <c r="O9" s="540">
        <f t="shared" si="3"/>
        <v>1234593773</v>
      </c>
      <c r="P9" s="240">
        <f>'B3-FinPerf V'!K10</f>
        <v>1234593773</v>
      </c>
      <c r="Q9" s="75">
        <f>'B3-FinPerf V'!L10</f>
        <v>1492885968</v>
      </c>
      <c r="R9" s="76">
        <f>'B3-FinPerf V'!M10</f>
        <v>1557389036.8734965</v>
      </c>
    </row>
    <row r="10" spans="1:18" ht="12.75" customHeight="1" x14ac:dyDescent="0.25">
      <c r="A10" s="129" t="str">
        <f>'B3-FinPerf V'!A11</f>
        <v>Vote 5 - COMMUNITY SERVICES</v>
      </c>
      <c r="B10" s="129"/>
      <c r="C10" s="382">
        <v>10223451</v>
      </c>
      <c r="D10" s="109">
        <v>10240093</v>
      </c>
      <c r="E10" s="109">
        <v>14274098</v>
      </c>
      <c r="F10" s="109">
        <v>11079386</v>
      </c>
      <c r="G10" s="109">
        <v>10824122</v>
      </c>
      <c r="H10" s="381">
        <v>15628982.25</v>
      </c>
      <c r="I10" s="382">
        <v>11538936.872289311</v>
      </c>
      <c r="J10" s="109">
        <v>8946752.9553473368</v>
      </c>
      <c r="K10" s="109">
        <v>14495218.402491709</v>
      </c>
      <c r="L10" s="109">
        <v>14057012.311070433</v>
      </c>
      <c r="M10" s="109">
        <v>9053899.6973275412</v>
      </c>
      <c r="N10" s="508">
        <f t="shared" si="2"/>
        <v>5484765.5114736706</v>
      </c>
      <c r="O10" s="540">
        <f t="shared" si="3"/>
        <v>135846718</v>
      </c>
      <c r="P10" s="240">
        <f>'B3-FinPerf V'!K11</f>
        <v>135846718</v>
      </c>
      <c r="Q10" s="75">
        <f>'B3-FinPerf V'!L11</f>
        <v>163533948</v>
      </c>
      <c r="R10" s="76">
        <f>'B3-FinPerf V'!M11</f>
        <v>170599753.25043753</v>
      </c>
    </row>
    <row r="11" spans="1:18" ht="12.75" customHeight="1" x14ac:dyDescent="0.25">
      <c r="A11" s="129" t="str">
        <f>'B3-FinPerf V'!A12</f>
        <v>Vote 6 - PUBLIC SAFETY</v>
      </c>
      <c r="B11" s="129"/>
      <c r="C11" s="382">
        <v>734663</v>
      </c>
      <c r="D11" s="109">
        <v>757528</v>
      </c>
      <c r="E11" s="109">
        <v>786519</v>
      </c>
      <c r="F11" s="109">
        <v>1161505</v>
      </c>
      <c r="G11" s="109">
        <v>1247071</v>
      </c>
      <c r="H11" s="381">
        <v>2180229.56</v>
      </c>
      <c r="I11" s="382">
        <v>5251696.6802005349</v>
      </c>
      <c r="J11" s="109">
        <v>4071920.4302961095</v>
      </c>
      <c r="K11" s="109">
        <v>6597184.0565277664</v>
      </c>
      <c r="L11" s="109">
        <v>6397744.0646956423</v>
      </c>
      <c r="M11" s="109">
        <v>4120685.9444313911</v>
      </c>
      <c r="N11" s="508">
        <f t="shared" si="2"/>
        <v>19821394.263848558</v>
      </c>
      <c r="O11" s="540">
        <f t="shared" si="3"/>
        <v>53128141</v>
      </c>
      <c r="P11" s="240">
        <f>'B3-FinPerf V'!K12</f>
        <v>53128141</v>
      </c>
      <c r="Q11" s="75">
        <f>'B3-FinPerf V'!L12</f>
        <v>74458956</v>
      </c>
      <c r="R11" s="76">
        <f>'B3-FinPerf V'!M12</f>
        <v>77676101.361444429</v>
      </c>
    </row>
    <row r="12" spans="1:18" ht="12.75" customHeight="1" x14ac:dyDescent="0.25">
      <c r="A12" s="129" t="str">
        <f>'B3-FinPerf V'!A13</f>
        <v>Vote 7 - CORPORATE AND SHARED SERVICES</v>
      </c>
      <c r="B12" s="129"/>
      <c r="C12" s="382">
        <v>111808</v>
      </c>
      <c r="D12" s="109">
        <v>10636</v>
      </c>
      <c r="E12" s="109">
        <v>62951</v>
      </c>
      <c r="F12" s="109">
        <v>18352</v>
      </c>
      <c r="G12" s="109">
        <v>3019</v>
      </c>
      <c r="H12" s="381">
        <v>3019</v>
      </c>
      <c r="I12" s="382">
        <v>449170.61043814523</v>
      </c>
      <c r="J12" s="109">
        <v>348265.92179764254</v>
      </c>
      <c r="K12" s="109">
        <v>564248.35063593672</v>
      </c>
      <c r="L12" s="109">
        <v>547190.51421999326</v>
      </c>
      <c r="M12" s="109">
        <v>352436.77116048848</v>
      </c>
      <c r="N12" s="508">
        <f t="shared" si="2"/>
        <v>1657267.8317477941</v>
      </c>
      <c r="O12" s="540">
        <f t="shared" si="3"/>
        <v>4128365</v>
      </c>
      <c r="P12" s="240">
        <f>'B3-FinPerf V'!K13</f>
        <v>4128365</v>
      </c>
      <c r="Q12" s="75">
        <f>'B3-FinPerf V'!L13</f>
        <v>6366948</v>
      </c>
      <c r="R12" s="76">
        <f>'B3-FinPerf V'!M13</f>
        <v>6642044.4870466078</v>
      </c>
    </row>
    <row r="13" spans="1:18" ht="12.75" customHeight="1" x14ac:dyDescent="0.25">
      <c r="A13" s="129" t="str">
        <f>'B3-FinPerf V'!A14</f>
        <v xml:space="preserve">Vote 8 - PLANNING AND ECONOMIC DEVELOPMENT </v>
      </c>
      <c r="B13" s="129"/>
      <c r="C13" s="382">
        <v>1321527</v>
      </c>
      <c r="D13" s="109">
        <v>1078642</v>
      </c>
      <c r="E13" s="109">
        <v>1512511</v>
      </c>
      <c r="F13" s="109">
        <v>1915517</v>
      </c>
      <c r="G13" s="109">
        <v>1784431</v>
      </c>
      <c r="H13" s="381">
        <v>796235.17</v>
      </c>
      <c r="I13" s="382">
        <v>4238066.0960899647</v>
      </c>
      <c r="J13" s="109">
        <v>3285998.5967344642</v>
      </c>
      <c r="K13" s="109">
        <v>5323860.7981769368</v>
      </c>
      <c r="L13" s="109">
        <v>5162914.742252795</v>
      </c>
      <c r="M13" s="109">
        <v>3325351.8733420619</v>
      </c>
      <c r="N13" s="508">
        <f t="shared" si="2"/>
        <v>20658260.723403778</v>
      </c>
      <c r="O13" s="540">
        <f t="shared" si="3"/>
        <v>50403316</v>
      </c>
      <c r="P13" s="240">
        <f>'B3-FinPerf V'!K14</f>
        <v>50403316</v>
      </c>
      <c r="Q13" s="75">
        <f>'B3-FinPerf V'!L14</f>
        <v>60086940</v>
      </c>
      <c r="R13" s="76">
        <f>'B3-FinPerf V'!M14</f>
        <v>62683114.197021909</v>
      </c>
    </row>
    <row r="14" spans="1:18" ht="12.75" customHeight="1" x14ac:dyDescent="0.25">
      <c r="A14" s="129" t="str">
        <f>'B3-FinPerf V'!A15</f>
        <v>Vote 9 - BUDGET AND TREASURY OFFICE</v>
      </c>
      <c r="B14" s="129"/>
      <c r="C14" s="382">
        <v>549029820.71000004</v>
      </c>
      <c r="D14" s="109">
        <v>120641976.59079999</v>
      </c>
      <c r="E14" s="109">
        <v>136269676.72</v>
      </c>
      <c r="F14" s="109">
        <v>138280571</v>
      </c>
      <c r="G14" s="109">
        <v>64054201</v>
      </c>
      <c r="H14" s="381">
        <v>594962936.01050007</v>
      </c>
      <c r="I14" s="382">
        <v>191265858.59584525</v>
      </c>
      <c r="J14" s="109">
        <v>148298617.50599235</v>
      </c>
      <c r="K14" s="109">
        <v>200268269.42305818</v>
      </c>
      <c r="L14" s="109">
        <v>158004700.40927026</v>
      </c>
      <c r="M14" s="109">
        <v>150074648.85336947</v>
      </c>
      <c r="N14" s="508">
        <f t="shared" si="2"/>
        <v>440185941.18116474</v>
      </c>
      <c r="O14" s="540">
        <f t="shared" si="3"/>
        <v>2891337218</v>
      </c>
      <c r="P14" s="240">
        <f>'B3-FinPerf V'!K15</f>
        <v>2891337218</v>
      </c>
      <c r="Q14" s="75">
        <f>'B3-FinPerf V'!L15</f>
        <v>2430417107.0251498</v>
      </c>
      <c r="R14" s="76">
        <f>'B3-FinPerf V'!M15</f>
        <v>2565222816.2534213</v>
      </c>
    </row>
    <row r="15" spans="1:18" ht="12.75" customHeight="1" x14ac:dyDescent="0.25">
      <c r="A15" s="129" t="str">
        <f>'B3-FinPerf V'!A16</f>
        <v xml:space="preserve">Vote 10 - TRANSPORT SERVICES </v>
      </c>
      <c r="B15" s="129"/>
      <c r="C15" s="382">
        <v>6865736</v>
      </c>
      <c r="D15" s="109">
        <v>9247949</v>
      </c>
      <c r="E15" s="109">
        <v>10687274</v>
      </c>
      <c r="F15" s="109">
        <v>10937837</v>
      </c>
      <c r="G15" s="109">
        <v>8718196</v>
      </c>
      <c r="H15" s="381">
        <v>0</v>
      </c>
      <c r="I15" s="382">
        <v>21902.161958495915</v>
      </c>
      <c r="J15" s="109">
        <v>16981.913879886964</v>
      </c>
      <c r="K15" s="109">
        <v>27513.507057791612</v>
      </c>
      <c r="L15" s="109">
        <v>26681.744054688876</v>
      </c>
      <c r="M15" s="109">
        <v>17185.290094017342</v>
      </c>
      <c r="N15" s="508">
        <f t="shared" si="2"/>
        <v>-15479260.617044881</v>
      </c>
      <c r="O15" s="540"/>
      <c r="P15" s="240">
        <f>'B3-FinPerf V'!K16</f>
        <v>31087996</v>
      </c>
      <c r="Q15" s="75">
        <f>'B3-FinPerf V'!L16</f>
        <v>310956</v>
      </c>
      <c r="R15" s="76">
        <f>'B3-FinPerf V'!M16</f>
        <v>324391.46440556203</v>
      </c>
    </row>
    <row r="16" spans="1:18" ht="12.75" customHeight="1" x14ac:dyDescent="0.25">
      <c r="A16" s="129" t="str">
        <f>'B3-FinPerf V'!A17</f>
        <v>Vote 11 - HUMAN SETTLEMENT</v>
      </c>
      <c r="B16" s="129"/>
      <c r="C16" s="382">
        <v>90655</v>
      </c>
      <c r="D16" s="109">
        <v>90655</v>
      </c>
      <c r="E16" s="109">
        <v>96650</v>
      </c>
      <c r="F16" s="109">
        <v>96650</v>
      </c>
      <c r="G16" s="109">
        <v>96650</v>
      </c>
      <c r="H16" s="381">
        <v>96649.8</v>
      </c>
      <c r="I16" s="382">
        <v>701945.76458929828</v>
      </c>
      <c r="J16" s="109">
        <v>544255.97551491577</v>
      </c>
      <c r="K16" s="109">
        <v>881784.62860480405</v>
      </c>
      <c r="L16" s="109">
        <v>855127.32791109046</v>
      </c>
      <c r="M16" s="109">
        <v>550774.01114982483</v>
      </c>
      <c r="N16" s="508">
        <f t="shared" si="2"/>
        <v>-3581882.5077699339</v>
      </c>
      <c r="O16" s="540"/>
      <c r="P16" s="240">
        <f>'B3-FinPerf V'!K17</f>
        <v>519915</v>
      </c>
      <c r="Q16" s="75">
        <f>'B3-FinPerf V'!L17</f>
        <v>9952992</v>
      </c>
      <c r="R16" s="76">
        <f>'B3-FinPerf V'!M17</f>
        <v>10383030.557689333</v>
      </c>
    </row>
    <row r="17" spans="1:18" ht="12.75" customHeight="1" x14ac:dyDescent="0.25">
      <c r="A17" s="129" t="str">
        <f>'B3-FinPerf V'!A18</f>
        <v>11.2 - HUMAN SETTLEMENT - HOUSING ADMINISTRATION</v>
      </c>
      <c r="B17" s="129"/>
      <c r="C17" s="382">
        <v>0</v>
      </c>
      <c r="D17" s="109">
        <v>0</v>
      </c>
      <c r="E17" s="109">
        <v>0</v>
      </c>
      <c r="F17" s="109">
        <v>0</v>
      </c>
      <c r="G17" s="109">
        <v>0</v>
      </c>
      <c r="H17" s="381">
        <v>0</v>
      </c>
      <c r="I17" s="382">
        <v>0</v>
      </c>
      <c r="J17" s="109">
        <v>0</v>
      </c>
      <c r="K17" s="109">
        <v>0</v>
      </c>
      <c r="L17" s="109">
        <v>0</v>
      </c>
      <c r="M17" s="109">
        <v>0</v>
      </c>
      <c r="N17" s="508">
        <f t="shared" si="2"/>
        <v>0</v>
      </c>
      <c r="O17" s="540"/>
      <c r="P17" s="240">
        <f>'B3-FinPerf V'!K18</f>
        <v>0</v>
      </c>
      <c r="Q17" s="75">
        <f>'B3-FinPerf V'!L18</f>
        <v>0</v>
      </c>
      <c r="R17" s="76">
        <f>'B3-FinPerf V'!M18</f>
        <v>0</v>
      </c>
    </row>
    <row r="18" spans="1:18" ht="12.75" customHeight="1" x14ac:dyDescent="0.25">
      <c r="A18" s="129" t="str">
        <f>'B3-FinPerf V'!A19</f>
        <v>Vote 13 - [NAME OF VOTE 13]</v>
      </c>
      <c r="B18" s="129"/>
      <c r="C18" s="382">
        <v>0</v>
      </c>
      <c r="D18" s="109">
        <v>0</v>
      </c>
      <c r="E18" s="109">
        <v>0</v>
      </c>
      <c r="F18" s="109">
        <v>0</v>
      </c>
      <c r="G18" s="109">
        <v>0</v>
      </c>
      <c r="H18" s="381">
        <v>0</v>
      </c>
      <c r="I18" s="382">
        <v>0</v>
      </c>
      <c r="J18" s="109">
        <v>0</v>
      </c>
      <c r="K18" s="109">
        <v>0</v>
      </c>
      <c r="L18" s="109">
        <v>0</v>
      </c>
      <c r="M18" s="109">
        <v>0</v>
      </c>
      <c r="N18" s="508">
        <f t="shared" si="2"/>
        <v>0</v>
      </c>
      <c r="O18" s="540"/>
      <c r="P18" s="240">
        <f>'B3-FinPerf V'!K19</f>
        <v>0</v>
      </c>
      <c r="Q18" s="75">
        <f>'B3-FinPerf V'!L19</f>
        <v>0</v>
      </c>
      <c r="R18" s="76">
        <f>'B3-FinPerf V'!M19</f>
        <v>0</v>
      </c>
    </row>
    <row r="19" spans="1:18" ht="12.75" customHeight="1" x14ac:dyDescent="0.25">
      <c r="A19" s="129" t="str">
        <f>'B3-FinPerf V'!A20</f>
        <v>Vote 14 - [NAME OF VOTE 14]</v>
      </c>
      <c r="B19" s="129"/>
      <c r="C19" s="382">
        <v>0</v>
      </c>
      <c r="D19" s="109">
        <v>0</v>
      </c>
      <c r="E19" s="109">
        <v>0</v>
      </c>
      <c r="F19" s="109">
        <v>0</v>
      </c>
      <c r="G19" s="109">
        <v>0</v>
      </c>
      <c r="H19" s="381">
        <v>0</v>
      </c>
      <c r="I19" s="382">
        <v>0</v>
      </c>
      <c r="J19" s="109">
        <v>0</v>
      </c>
      <c r="K19" s="109">
        <v>0</v>
      </c>
      <c r="L19" s="109">
        <v>0</v>
      </c>
      <c r="M19" s="109">
        <v>0</v>
      </c>
      <c r="N19" s="508">
        <f t="shared" si="2"/>
        <v>0</v>
      </c>
      <c r="O19" s="540"/>
      <c r="P19" s="240">
        <f>'B3-FinPerf V'!K20</f>
        <v>0</v>
      </c>
      <c r="Q19" s="75">
        <f>'B3-FinPerf V'!L20</f>
        <v>0</v>
      </c>
      <c r="R19" s="76">
        <f>'B3-FinPerf V'!M20</f>
        <v>0</v>
      </c>
    </row>
    <row r="20" spans="1:18" ht="12.75" customHeight="1" x14ac:dyDescent="0.25">
      <c r="A20" s="129" t="str">
        <f>'B3-FinPerf V'!A21</f>
        <v>Vote 15 - [NAME OF VOTE 15]</v>
      </c>
      <c r="B20" s="129"/>
      <c r="C20" s="382">
        <v>0</v>
      </c>
      <c r="D20" s="109">
        <v>0</v>
      </c>
      <c r="E20" s="109">
        <v>0</v>
      </c>
      <c r="F20" s="109">
        <v>0</v>
      </c>
      <c r="G20" s="109">
        <v>0</v>
      </c>
      <c r="H20" s="381">
        <v>0</v>
      </c>
      <c r="I20" s="382">
        <v>0</v>
      </c>
      <c r="J20" s="109">
        <v>0</v>
      </c>
      <c r="K20" s="109">
        <v>0</v>
      </c>
      <c r="L20" s="109">
        <v>0</v>
      </c>
      <c r="M20" s="109">
        <v>0</v>
      </c>
      <c r="N20" s="508">
        <f t="shared" si="2"/>
        <v>0</v>
      </c>
      <c r="O20" s="540">
        <f>SUM(C20:N20)</f>
        <v>0</v>
      </c>
      <c r="P20" s="240">
        <f>'B3-FinPerf V'!K21</f>
        <v>0</v>
      </c>
      <c r="Q20" s="75">
        <f>'B3-FinPerf V'!L21</f>
        <v>0</v>
      </c>
      <c r="R20" s="76">
        <f>'B3-FinPerf V'!M21</f>
        <v>0</v>
      </c>
    </row>
    <row r="21" spans="1:18" ht="12.75" customHeight="1" x14ac:dyDescent="0.25">
      <c r="A21" s="541" t="str">
        <f>'B3-FinPerf V'!A22</f>
        <v>Total Revenue by Vote</v>
      </c>
      <c r="B21" s="541"/>
      <c r="C21" s="302">
        <f t="shared" ref="C21:R21" si="4">SUM(C6:C20)</f>
        <v>664764644.71000004</v>
      </c>
      <c r="D21" s="151">
        <f t="shared" si="4"/>
        <v>251132198.59079999</v>
      </c>
      <c r="E21" s="151">
        <f t="shared" si="4"/>
        <v>293722349.72000003</v>
      </c>
      <c r="F21" s="151">
        <f t="shared" si="4"/>
        <v>256435151</v>
      </c>
      <c r="G21" s="151">
        <f t="shared" si="4"/>
        <v>211185689</v>
      </c>
      <c r="H21" s="521">
        <f t="shared" si="4"/>
        <v>734692486.83050001</v>
      </c>
      <c r="I21" s="302">
        <f t="shared" si="4"/>
        <v>350224202.3542158</v>
      </c>
      <c r="J21" s="151">
        <f t="shared" si="4"/>
        <v>271547496.28377914</v>
      </c>
      <c r="K21" s="151">
        <f t="shared" si="4"/>
        <v>399951822.1781916</v>
      </c>
      <c r="L21" s="151">
        <f t="shared" si="4"/>
        <v>351651603.92296135</v>
      </c>
      <c r="M21" s="151">
        <f t="shared" si="4"/>
        <v>274799562.10753691</v>
      </c>
      <c r="N21" s="521">
        <f t="shared" si="4"/>
        <v>723040253.30201542</v>
      </c>
      <c r="O21" s="542">
        <f t="shared" si="4"/>
        <v>4751539549</v>
      </c>
      <c r="P21" s="302">
        <f t="shared" si="4"/>
        <v>4783147460</v>
      </c>
      <c r="Q21" s="151">
        <f t="shared" si="4"/>
        <v>4739754755.0251503</v>
      </c>
      <c r="R21" s="152">
        <f t="shared" si="4"/>
        <v>4974339930.7056799</v>
      </c>
    </row>
    <row r="22" spans="1:18" ht="5.0999999999999996" customHeight="1" x14ac:dyDescent="0.25">
      <c r="A22" s="541"/>
      <c r="B22" s="136"/>
      <c r="C22" s="240"/>
      <c r="D22" s="75"/>
      <c r="E22" s="75"/>
      <c r="F22" s="75"/>
      <c r="G22" s="75"/>
      <c r="H22" s="508"/>
      <c r="I22" s="240"/>
      <c r="J22" s="75"/>
      <c r="K22" s="75"/>
      <c r="L22" s="75"/>
      <c r="M22" s="75"/>
      <c r="N22" s="508"/>
      <c r="O22" s="540"/>
      <c r="P22" s="240"/>
      <c r="Q22" s="75"/>
      <c r="R22" s="76"/>
    </row>
    <row r="23" spans="1:18" ht="12.75" customHeight="1" x14ac:dyDescent="0.25">
      <c r="A23" s="541" t="str">
        <f>'B3-FinPerf V'!A24</f>
        <v>Expenditure by Vote</v>
      </c>
      <c r="B23" s="126"/>
      <c r="C23" s="240"/>
      <c r="D23" s="75"/>
      <c r="E23" s="75"/>
      <c r="F23" s="75"/>
      <c r="G23" s="75"/>
      <c r="H23" s="508"/>
      <c r="I23" s="240"/>
      <c r="J23" s="75"/>
      <c r="K23" s="75"/>
      <c r="L23" s="75"/>
      <c r="M23" s="75"/>
      <c r="N23" s="508"/>
      <c r="O23" s="540"/>
      <c r="P23" s="240"/>
      <c r="Q23" s="75"/>
      <c r="R23" s="76"/>
    </row>
    <row r="24" spans="1:18" ht="12.75" customHeight="1" x14ac:dyDescent="0.25">
      <c r="A24" s="129" t="str">
        <f>'B3-FinPerf V'!A25</f>
        <v>Vote 1 - CHIEF OPERATION OFFICE</v>
      </c>
      <c r="B24" s="129"/>
      <c r="C24" s="382">
        <v>9999760</v>
      </c>
      <c r="D24" s="109">
        <v>11571832</v>
      </c>
      <c r="E24" s="109">
        <v>11791200</v>
      </c>
      <c r="F24" s="109">
        <v>17009198</v>
      </c>
      <c r="G24" s="109">
        <v>15331967</v>
      </c>
      <c r="H24" s="381">
        <v>18950005.920000002</v>
      </c>
      <c r="I24" s="382">
        <v>13463438.375951421</v>
      </c>
      <c r="J24" s="109">
        <v>12728611.531472433</v>
      </c>
      <c r="K24" s="109">
        <v>13265209.515503097</v>
      </c>
      <c r="L24" s="109">
        <v>13288569.396815689</v>
      </c>
      <c r="M24" s="109">
        <v>13490345.369523466</v>
      </c>
      <c r="N24" s="508">
        <f t="shared" ref="N24:N38" si="5">P24-SUM(C24:M24)</f>
        <v>-4601634.1092661023</v>
      </c>
      <c r="O24" s="540">
        <f t="shared" ref="O24:O38" si="6">SUM(C24:N24)</f>
        <v>146288503</v>
      </c>
      <c r="P24" s="240">
        <f>'B3-FinPerf V'!K25</f>
        <v>146288503</v>
      </c>
      <c r="Q24" s="75">
        <f>'B3-FinPerf V'!L25</f>
        <v>179074891.17568341</v>
      </c>
      <c r="R24" s="76">
        <f>'B3-FinPerf V'!M25</f>
        <v>191863992.45468855</v>
      </c>
    </row>
    <row r="25" spans="1:18" ht="12.75" customHeight="1" x14ac:dyDescent="0.25">
      <c r="A25" s="129" t="str">
        <f>'B3-FinPerf V'!A26</f>
        <v>Vote 2 - MUNICIPAL MANAGER'S OFFICE</v>
      </c>
      <c r="B25" s="129"/>
      <c r="C25" s="382">
        <v>22286460</v>
      </c>
      <c r="D25" s="109">
        <v>1865270</v>
      </c>
      <c r="E25" s="109">
        <v>-3351667</v>
      </c>
      <c r="F25" s="109">
        <v>1910981</v>
      </c>
      <c r="G25" s="109">
        <v>2843627</v>
      </c>
      <c r="H25" s="381">
        <v>5475518.2799999993</v>
      </c>
      <c r="I25" s="382">
        <v>29332188.324203596</v>
      </c>
      <c r="J25" s="109">
        <v>27731254.091352787</v>
      </c>
      <c r="K25" s="109">
        <v>28900316.011678409</v>
      </c>
      <c r="L25" s="109">
        <v>28951209.135615893</v>
      </c>
      <c r="M25" s="109">
        <v>29390809.382261328</v>
      </c>
      <c r="N25" s="508">
        <f t="shared" si="5"/>
        <v>203201912.77488798</v>
      </c>
      <c r="O25" s="540">
        <f t="shared" si="6"/>
        <v>378537879</v>
      </c>
      <c r="P25" s="240">
        <f>'B3-FinPerf V'!K26</f>
        <v>378537879</v>
      </c>
      <c r="Q25" s="75">
        <f>'B3-FinPerf V'!L26</f>
        <v>386898980.62194282</v>
      </c>
      <c r="R25" s="76">
        <f>'B3-FinPerf V'!M26</f>
        <v>414530382.29658359</v>
      </c>
    </row>
    <row r="26" spans="1:18" ht="12.75" customHeight="1" x14ac:dyDescent="0.25">
      <c r="A26" s="129" t="str">
        <f>'B3-FinPerf V'!A27</f>
        <v>Vote 3 - WATER AND SANITATION</v>
      </c>
      <c r="B26" s="129"/>
      <c r="C26" s="382">
        <v>25095899</v>
      </c>
      <c r="D26" s="109">
        <v>67678115</v>
      </c>
      <c r="E26" s="109">
        <v>38521470</v>
      </c>
      <c r="F26" s="109">
        <v>33321945</v>
      </c>
      <c r="G26" s="109">
        <v>44479943</v>
      </c>
      <c r="H26" s="381">
        <v>51930844.239999995</v>
      </c>
      <c r="I26" s="382">
        <v>35409879.813283846</v>
      </c>
      <c r="J26" s="109">
        <v>33477228.619733386</v>
      </c>
      <c r="K26" s="109">
        <f>34888522.6437411+10000000</f>
        <v>44888522.643741101</v>
      </c>
      <c r="L26" s="109">
        <f>34949960.9306507+5000000</f>
        <v>39949960.930650704</v>
      </c>
      <c r="M26" s="109">
        <v>35480647.278616086</v>
      </c>
      <c r="N26" s="508">
        <f t="shared" si="5"/>
        <v>170738263.47397482</v>
      </c>
      <c r="O26" s="540">
        <f t="shared" si="6"/>
        <v>620972719</v>
      </c>
      <c r="P26" s="240">
        <f>'B3-FinPerf V'!K27</f>
        <v>620972719</v>
      </c>
      <c r="Q26" s="75">
        <f>'B3-FinPerf V'!L27</f>
        <v>482705127.85828298</v>
      </c>
      <c r="R26" s="76">
        <f>'B3-FinPerf V'!M27</f>
        <v>517178775.88087636</v>
      </c>
    </row>
    <row r="27" spans="1:18" ht="12.75" customHeight="1" x14ac:dyDescent="0.25">
      <c r="A27" s="129" t="str">
        <f>'B3-FinPerf V'!A28</f>
        <v>Vote 4 - ENERGY</v>
      </c>
      <c r="B27" s="129"/>
      <c r="C27" s="382">
        <v>104112777</v>
      </c>
      <c r="D27" s="109">
        <v>99738972</v>
      </c>
      <c r="E27" s="109">
        <v>78175327</v>
      </c>
      <c r="F27" s="109">
        <v>67823769</v>
      </c>
      <c r="G27" s="109">
        <v>67338019</v>
      </c>
      <c r="H27" s="381">
        <v>69565960.99000001</v>
      </c>
      <c r="I27" s="382">
        <v>77982252.008697987</v>
      </c>
      <c r="J27" s="109">
        <f>73726024.842295-20000000</f>
        <v>53726024.842295006</v>
      </c>
      <c r="K27" s="109">
        <f>76834080.7526472+20000000</f>
        <v>96834080.752647206</v>
      </c>
      <c r="L27" s="109">
        <f>76969384.6847145+10000000</f>
        <v>86969384.684714496</v>
      </c>
      <c r="M27" s="109">
        <f>78138101.346359-26000000</f>
        <v>52138101.346359</v>
      </c>
      <c r="N27" s="508">
        <f t="shared" si="5"/>
        <v>111037445.37528634</v>
      </c>
      <c r="O27" s="540">
        <f t="shared" si="6"/>
        <v>965442114</v>
      </c>
      <c r="P27" s="240">
        <f>'B3-FinPerf V'!K28</f>
        <v>965442114</v>
      </c>
      <c r="Q27" s="75">
        <f>'B3-FinPerf V'!L28</f>
        <v>999710602.47427189</v>
      </c>
      <c r="R27" s="76">
        <f>'B3-FinPerf V'!M28</f>
        <v>1071107547.4105413</v>
      </c>
    </row>
    <row r="28" spans="1:18" ht="12.75" customHeight="1" x14ac:dyDescent="0.25">
      <c r="A28" s="129" t="str">
        <f>'B3-FinPerf V'!A29</f>
        <v>Vote 5 - COMMUNITY SERVICES</v>
      </c>
      <c r="B28" s="129"/>
      <c r="C28" s="382">
        <v>18110632</v>
      </c>
      <c r="D28" s="109">
        <v>22298783</v>
      </c>
      <c r="E28" s="109">
        <v>28203596</v>
      </c>
      <c r="F28" s="109">
        <v>23522990</v>
      </c>
      <c r="G28" s="109">
        <v>25367045</v>
      </c>
      <c r="H28" s="381">
        <v>27399689.43</v>
      </c>
      <c r="I28" s="382">
        <v>26761278.056332909</v>
      </c>
      <c r="J28" s="109">
        <v>25300662.650428455</v>
      </c>
      <c r="K28" s="109">
        <v>26367258.526914392</v>
      </c>
      <c r="L28" s="109">
        <v>26413690.965769373</v>
      </c>
      <c r="M28" s="109">
        <v>26814761.090646613</v>
      </c>
      <c r="N28" s="508">
        <f t="shared" si="5"/>
        <v>74783724.27990824</v>
      </c>
      <c r="O28" s="540">
        <f t="shared" si="6"/>
        <v>351344111</v>
      </c>
      <c r="P28" s="240">
        <f>'B3-FinPerf V'!K29</f>
        <v>351344111</v>
      </c>
      <c r="Q28" s="75">
        <f>'B3-FinPerf V'!L29</f>
        <v>363853939.91352934</v>
      </c>
      <c r="R28" s="76">
        <f>'B3-FinPerf V'!M29</f>
        <v>389839519.78890097</v>
      </c>
    </row>
    <row r="29" spans="1:18" ht="12.75" customHeight="1" x14ac:dyDescent="0.25">
      <c r="A29" s="129" t="str">
        <f>'B3-FinPerf V'!A30</f>
        <v>Vote 6 - PUBLIC SAFETY</v>
      </c>
      <c r="B29" s="129"/>
      <c r="C29" s="382">
        <v>18302896</v>
      </c>
      <c r="D29" s="109">
        <v>26419610</v>
      </c>
      <c r="E29" s="109">
        <v>24617516</v>
      </c>
      <c r="F29" s="109">
        <v>23359567</v>
      </c>
      <c r="G29" s="109">
        <v>22573098</v>
      </c>
      <c r="H29" s="381">
        <v>23404270.779999997</v>
      </c>
      <c r="I29" s="382">
        <v>23531606.246571768</v>
      </c>
      <c r="J29" s="109">
        <v>22247264.4996242</v>
      </c>
      <c r="K29" s="109">
        <v>23185138.772177663</v>
      </c>
      <c r="L29" s="109">
        <v>23225967.534761552</v>
      </c>
      <c r="M29" s="109">
        <v>23578634.706935011</v>
      </c>
      <c r="N29" s="508">
        <f t="shared" si="5"/>
        <v>75264701.459929794</v>
      </c>
      <c r="O29" s="540">
        <f t="shared" si="6"/>
        <v>329710271</v>
      </c>
      <c r="P29" s="240">
        <f>'B3-FinPerf V'!K30</f>
        <v>329710271</v>
      </c>
      <c r="Q29" s="75">
        <f>'B3-FinPerf V'!L30</f>
        <v>323423330.42574435</v>
      </c>
      <c r="R29" s="76">
        <f>'B3-FinPerf V'!M30</f>
        <v>346521452.67868507</v>
      </c>
    </row>
    <row r="30" spans="1:18" ht="12.75" customHeight="1" x14ac:dyDescent="0.25">
      <c r="A30" s="129" t="str">
        <f>'B3-FinPerf V'!A31</f>
        <v>Vote 7 - CORPORATE AND SHARED SERVICES</v>
      </c>
      <c r="B30" s="129"/>
      <c r="C30" s="382">
        <v>9263156</v>
      </c>
      <c r="D30" s="109">
        <v>18063249</v>
      </c>
      <c r="E30" s="109">
        <v>19334728</v>
      </c>
      <c r="F30" s="109">
        <v>28888200</v>
      </c>
      <c r="G30" s="109">
        <v>24208963</v>
      </c>
      <c r="H30" s="381">
        <v>19712020.970000006</v>
      </c>
      <c r="I30" s="382">
        <v>17788184.612891868</v>
      </c>
      <c r="J30" s="109">
        <v>16817315.56717699</v>
      </c>
      <c r="K30" s="109">
        <v>17526280.375148531</v>
      </c>
      <c r="L30" s="109">
        <v>17557143.953212351</v>
      </c>
      <c r="M30" s="109">
        <v>17823734.712032396</v>
      </c>
      <c r="N30" s="508">
        <f t="shared" si="5"/>
        <v>64228310.809537828</v>
      </c>
      <c r="O30" s="540">
        <f t="shared" si="6"/>
        <v>271211287</v>
      </c>
      <c r="P30" s="240">
        <f>'B3-FinPerf V'!K31</f>
        <v>271211287</v>
      </c>
      <c r="Q30" s="75">
        <f>'B3-FinPerf V'!L31</f>
        <v>249136080.28328943</v>
      </c>
      <c r="R30" s="76">
        <f>'B3-FinPerf V'!M31</f>
        <v>266928784.45347631</v>
      </c>
    </row>
    <row r="31" spans="1:18" ht="12.75" customHeight="1" x14ac:dyDescent="0.25">
      <c r="A31" s="129" t="str">
        <f>'B3-FinPerf V'!A32</f>
        <v xml:space="preserve">Vote 8 - PLANNING AND ECONOMIC DEVELOPMENT </v>
      </c>
      <c r="B31" s="129"/>
      <c r="C31" s="382">
        <v>4154965</v>
      </c>
      <c r="D31" s="109">
        <v>4536384</v>
      </c>
      <c r="E31" s="109">
        <v>4894636</v>
      </c>
      <c r="F31" s="109">
        <v>5635536</v>
      </c>
      <c r="G31" s="109">
        <v>5294956</v>
      </c>
      <c r="H31" s="381">
        <v>3906323.18</v>
      </c>
      <c r="I31" s="382">
        <v>10304823.698992427</v>
      </c>
      <c r="J31" s="109">
        <v>9742392.2553896867</v>
      </c>
      <c r="K31" s="109">
        <v>10153100.684266793</v>
      </c>
      <c r="L31" s="109">
        <v>10170980.177738952</v>
      </c>
      <c r="M31" s="109">
        <v>10325418.127940467</v>
      </c>
      <c r="N31" s="508">
        <f t="shared" si="5"/>
        <v>-3402425.1243283153</v>
      </c>
      <c r="O31" s="540">
        <f t="shared" si="6"/>
        <v>75717090</v>
      </c>
      <c r="P31" s="240">
        <f>'B3-FinPerf V'!K32</f>
        <v>75717090</v>
      </c>
      <c r="Q31" s="75">
        <f>'B3-FinPerf V'!L32</f>
        <v>136956639.96469989</v>
      </c>
      <c r="R31" s="76">
        <f>'B3-FinPerf V'!M32</f>
        <v>146737756.27777591</v>
      </c>
    </row>
    <row r="32" spans="1:18" ht="12.75" customHeight="1" x14ac:dyDescent="0.25">
      <c r="A32" s="129" t="str">
        <f>'B3-FinPerf V'!A33</f>
        <v>Vote 9 - BUDGET AND TREASURY OFFICE</v>
      </c>
      <c r="B32" s="129"/>
      <c r="C32" s="382">
        <v>88313229</v>
      </c>
      <c r="D32" s="109">
        <v>62350996.333333313</v>
      </c>
      <c r="E32" s="109">
        <v>67862583.329999998</v>
      </c>
      <c r="F32" s="109">
        <v>56590870</v>
      </c>
      <c r="G32" s="109">
        <v>61086571.329999998</v>
      </c>
      <c r="H32" s="381">
        <v>71730311.363333315</v>
      </c>
      <c r="I32" s="382">
        <v>44288836.684347153</v>
      </c>
      <c r="J32" s="109">
        <v>61871577.051433861</v>
      </c>
      <c r="K32" s="109">
        <v>13636750.242431879</v>
      </c>
      <c r="L32" s="109">
        <v>28713594.057475984</v>
      </c>
      <c r="M32" s="109">
        <v>70377348.950731307</v>
      </c>
      <c r="N32" s="508">
        <f t="shared" si="5"/>
        <v>-195236146.34308672</v>
      </c>
      <c r="O32" s="540">
        <f t="shared" si="6"/>
        <v>431586522</v>
      </c>
      <c r="P32" s="240">
        <f>'B3-FinPerf V'!K33</f>
        <v>431586522</v>
      </c>
      <c r="Q32" s="75">
        <f>'B3-FinPerf V'!L33</f>
        <v>546185537.72674215</v>
      </c>
      <c r="R32" s="76">
        <f>'B3-FinPerf V'!M33</f>
        <v>553774389.07779753</v>
      </c>
    </row>
    <row r="33" spans="1:18" ht="12.75" customHeight="1" x14ac:dyDescent="0.25">
      <c r="A33" s="129" t="str">
        <f>'B3-FinPerf V'!A34</f>
        <v xml:space="preserve">Vote 10 - TRANSPORT SERVICES </v>
      </c>
      <c r="B33" s="129"/>
      <c r="C33" s="382">
        <v>6620948</v>
      </c>
      <c r="D33" s="109">
        <v>7021955</v>
      </c>
      <c r="E33" s="109">
        <v>15768919</v>
      </c>
      <c r="F33" s="109">
        <v>13565757</v>
      </c>
      <c r="G33" s="109">
        <v>17054876</v>
      </c>
      <c r="H33" s="381">
        <v>19132034.18</v>
      </c>
      <c r="I33" s="382">
        <v>18552934.399751201</v>
      </c>
      <c r="J33" s="109">
        <v>17540325.743618708</v>
      </c>
      <c r="K33" s="109">
        <v>18279770.372751649</v>
      </c>
      <c r="L33" s="109">
        <v>18311960.838030759</v>
      </c>
      <c r="M33" s="109">
        <v>18590012.869061712</v>
      </c>
      <c r="N33" s="508">
        <f t="shared" si="5"/>
        <v>160846959.59678596</v>
      </c>
      <c r="O33" s="540">
        <f t="shared" si="6"/>
        <v>331286453</v>
      </c>
      <c r="P33" s="240">
        <f>'B3-FinPerf V'!K34</f>
        <v>331286453</v>
      </c>
      <c r="Q33" s="75">
        <f>'B3-FinPerf V'!L34</f>
        <v>249193076.90692133</v>
      </c>
      <c r="R33" s="76">
        <f>'B3-FinPerf V'!M34</f>
        <v>266989851.63991806</v>
      </c>
    </row>
    <row r="34" spans="1:18" ht="12.75" customHeight="1" x14ac:dyDescent="0.25">
      <c r="A34" s="129" t="str">
        <f>'B3-FinPerf V'!A35</f>
        <v>Vote 11 - HUMAN SETTLEMENT</v>
      </c>
      <c r="B34" s="129"/>
      <c r="C34" s="382">
        <v>734543</v>
      </c>
      <c r="D34" s="109">
        <v>734543</v>
      </c>
      <c r="E34" s="109">
        <v>841291</v>
      </c>
      <c r="F34" s="109">
        <v>769694</v>
      </c>
      <c r="G34" s="109">
        <v>771266</v>
      </c>
      <c r="H34" s="381">
        <v>9540034</v>
      </c>
      <c r="I34" s="382">
        <v>1079117.5378948494</v>
      </c>
      <c r="J34" s="109">
        <v>1020219.9135992898</v>
      </c>
      <c r="K34" s="109">
        <v>1063229.1567953534</v>
      </c>
      <c r="L34" s="109">
        <v>1065101.4911057763</v>
      </c>
      <c r="M34" s="109">
        <v>1081274.1792998773</v>
      </c>
      <c r="N34" s="508">
        <f t="shared" si="5"/>
        <v>-7029065.2786951438</v>
      </c>
      <c r="O34" s="540">
        <f t="shared" si="6"/>
        <v>11671248</v>
      </c>
      <c r="P34" s="240">
        <f>'B3-FinPerf V'!K35</f>
        <v>11671248</v>
      </c>
      <c r="Q34" s="75">
        <f>'B3-FinPerf V'!L35</f>
        <v>14368590.438805845</v>
      </c>
      <c r="R34" s="76">
        <f>'B3-FinPerf V'!M35</f>
        <v>15394760.870360943</v>
      </c>
    </row>
    <row r="35" spans="1:18" ht="12.75" customHeight="1" x14ac:dyDescent="0.25">
      <c r="A35" s="129" t="str">
        <f>'B3-FinPerf V'!A36</f>
        <v>11.2 - HUMAN SETTLEMENT - HOUSING ADMINISTRATION</v>
      </c>
      <c r="B35" s="129"/>
      <c r="C35" s="382">
        <v>0</v>
      </c>
      <c r="D35" s="109">
        <v>0</v>
      </c>
      <c r="E35" s="109">
        <v>0</v>
      </c>
      <c r="F35" s="109">
        <v>0</v>
      </c>
      <c r="G35" s="109">
        <v>0</v>
      </c>
      <c r="H35" s="381">
        <v>0</v>
      </c>
      <c r="I35" s="382">
        <v>0</v>
      </c>
      <c r="J35" s="109">
        <v>0</v>
      </c>
      <c r="K35" s="109">
        <v>0</v>
      </c>
      <c r="L35" s="109">
        <v>0</v>
      </c>
      <c r="M35" s="109">
        <v>0</v>
      </c>
      <c r="N35" s="508">
        <f t="shared" si="5"/>
        <v>0</v>
      </c>
      <c r="O35" s="540">
        <f t="shared" si="6"/>
        <v>0</v>
      </c>
      <c r="P35" s="240">
        <f>'B3-FinPerf V'!K36</f>
        <v>0</v>
      </c>
      <c r="Q35" s="75">
        <f>'B3-FinPerf V'!L36</f>
        <v>0</v>
      </c>
      <c r="R35" s="76">
        <f>'B3-FinPerf V'!M36</f>
        <v>0</v>
      </c>
    </row>
    <row r="36" spans="1:18" ht="12.75" customHeight="1" x14ac:dyDescent="0.25">
      <c r="A36" s="129" t="str">
        <f>'B3-FinPerf V'!A37</f>
        <v>Vote 13 - [NAME OF VOTE 13]</v>
      </c>
      <c r="B36" s="129"/>
      <c r="C36" s="382">
        <v>0</v>
      </c>
      <c r="D36" s="109">
        <v>0</v>
      </c>
      <c r="E36" s="109">
        <v>0</v>
      </c>
      <c r="F36" s="109">
        <v>0</v>
      </c>
      <c r="G36" s="109">
        <v>0</v>
      </c>
      <c r="H36" s="381">
        <v>0</v>
      </c>
      <c r="I36" s="382">
        <v>0</v>
      </c>
      <c r="J36" s="109">
        <v>0</v>
      </c>
      <c r="K36" s="109">
        <v>0</v>
      </c>
      <c r="L36" s="109">
        <v>0</v>
      </c>
      <c r="M36" s="109">
        <v>0</v>
      </c>
      <c r="N36" s="508">
        <f t="shared" si="5"/>
        <v>0</v>
      </c>
      <c r="O36" s="540">
        <f t="shared" si="6"/>
        <v>0</v>
      </c>
      <c r="P36" s="240">
        <f>'B3-FinPerf V'!K37</f>
        <v>0</v>
      </c>
      <c r="Q36" s="75">
        <f>'B3-FinPerf V'!L37</f>
        <v>0</v>
      </c>
      <c r="R36" s="76">
        <f>'B3-FinPerf V'!M37</f>
        <v>0</v>
      </c>
    </row>
    <row r="37" spans="1:18" ht="12.75" customHeight="1" x14ac:dyDescent="0.25">
      <c r="A37" s="129" t="str">
        <f>'B3-FinPerf V'!A38</f>
        <v>Vote 14 - [NAME OF VOTE 14]</v>
      </c>
      <c r="B37" s="129"/>
      <c r="C37" s="382">
        <v>0</v>
      </c>
      <c r="D37" s="109">
        <v>0</v>
      </c>
      <c r="E37" s="109">
        <v>0</v>
      </c>
      <c r="F37" s="109">
        <v>0</v>
      </c>
      <c r="G37" s="109">
        <v>0</v>
      </c>
      <c r="H37" s="381">
        <v>0</v>
      </c>
      <c r="I37" s="382">
        <v>0</v>
      </c>
      <c r="J37" s="109">
        <v>0</v>
      </c>
      <c r="K37" s="109">
        <v>0</v>
      </c>
      <c r="L37" s="109">
        <v>0</v>
      </c>
      <c r="M37" s="109">
        <v>0</v>
      </c>
      <c r="N37" s="508">
        <f t="shared" si="5"/>
        <v>0</v>
      </c>
      <c r="O37" s="540">
        <f t="shared" si="6"/>
        <v>0</v>
      </c>
      <c r="P37" s="240">
        <f>'B3-FinPerf V'!K38</f>
        <v>0</v>
      </c>
      <c r="Q37" s="75">
        <f>'B3-FinPerf V'!L38</f>
        <v>0</v>
      </c>
      <c r="R37" s="76">
        <f>'B3-FinPerf V'!M38</f>
        <v>0</v>
      </c>
    </row>
    <row r="38" spans="1:18" ht="12.75" customHeight="1" x14ac:dyDescent="0.25">
      <c r="A38" s="129" t="str">
        <f>'B3-FinPerf V'!A39</f>
        <v>Vote 15 - [NAME OF VOTE 15]</v>
      </c>
      <c r="B38" s="129"/>
      <c r="C38" s="382">
        <v>0</v>
      </c>
      <c r="D38" s="109">
        <v>0</v>
      </c>
      <c r="E38" s="109">
        <v>0</v>
      </c>
      <c r="F38" s="109">
        <v>0</v>
      </c>
      <c r="G38" s="109">
        <v>0</v>
      </c>
      <c r="H38" s="381">
        <v>0</v>
      </c>
      <c r="I38" s="382">
        <v>0</v>
      </c>
      <c r="J38" s="109">
        <v>0</v>
      </c>
      <c r="K38" s="109">
        <v>0</v>
      </c>
      <c r="L38" s="109">
        <v>0</v>
      </c>
      <c r="M38" s="109">
        <v>0</v>
      </c>
      <c r="N38" s="508">
        <f t="shared" si="5"/>
        <v>0</v>
      </c>
      <c r="O38" s="540">
        <f t="shared" si="6"/>
        <v>0</v>
      </c>
      <c r="P38" s="240">
        <f>'B3-FinPerf V'!K39</f>
        <v>0</v>
      </c>
      <c r="Q38" s="75">
        <f>'B3-FinPerf V'!L39</f>
        <v>0</v>
      </c>
      <c r="R38" s="76">
        <f>'B3-FinPerf V'!M39</f>
        <v>0</v>
      </c>
    </row>
    <row r="39" spans="1:18" ht="12.75" customHeight="1" x14ac:dyDescent="0.25">
      <c r="A39" s="139" t="s">
        <v>607</v>
      </c>
      <c r="B39" s="541"/>
      <c r="C39" s="302">
        <f t="shared" ref="C39:R39" si="7">SUM(C24:C38)</f>
        <v>306995265</v>
      </c>
      <c r="D39" s="151">
        <f t="shared" si="7"/>
        <v>322279709.33333331</v>
      </c>
      <c r="E39" s="151">
        <f t="shared" si="7"/>
        <v>286659599.32999998</v>
      </c>
      <c r="F39" s="151">
        <f t="shared" si="7"/>
        <v>272398507</v>
      </c>
      <c r="G39" s="151">
        <f t="shared" si="7"/>
        <v>286350331.32999998</v>
      </c>
      <c r="H39" s="521">
        <f t="shared" si="7"/>
        <v>320747013.33333331</v>
      </c>
      <c r="I39" s="302">
        <f t="shared" si="7"/>
        <v>298494539.75891906</v>
      </c>
      <c r="J39" s="151">
        <f t="shared" si="7"/>
        <v>282202876.76612484</v>
      </c>
      <c r="K39" s="151">
        <f t="shared" si="7"/>
        <v>294099657.05405611</v>
      </c>
      <c r="L39" s="151">
        <f t="shared" si="7"/>
        <v>294617563.16589159</v>
      </c>
      <c r="M39" s="151">
        <f t="shared" si="7"/>
        <v>299091088.01340729</v>
      </c>
      <c r="N39" s="521">
        <f t="shared" si="7"/>
        <v>649832046.91493464</v>
      </c>
      <c r="O39" s="542">
        <f t="shared" si="7"/>
        <v>3913768197</v>
      </c>
      <c r="P39" s="302">
        <f t="shared" si="7"/>
        <v>3913768197</v>
      </c>
      <c r="Q39" s="151">
        <f t="shared" si="7"/>
        <v>3931506797.7899141</v>
      </c>
      <c r="R39" s="152">
        <f t="shared" si="7"/>
        <v>4180867212.8296041</v>
      </c>
    </row>
    <row r="40" spans="1:18" ht="5.0999999999999996" customHeight="1" x14ac:dyDescent="0.25">
      <c r="A40" s="136"/>
      <c r="B40" s="136"/>
      <c r="C40" s="240"/>
      <c r="D40" s="75"/>
      <c r="E40" s="75"/>
      <c r="F40" s="75"/>
      <c r="G40" s="75"/>
      <c r="H40" s="508"/>
      <c r="I40" s="240"/>
      <c r="J40" s="75"/>
      <c r="K40" s="75"/>
      <c r="L40" s="75"/>
      <c r="M40" s="75"/>
      <c r="N40" s="508"/>
      <c r="O40" s="540"/>
      <c r="P40" s="240"/>
      <c r="Q40" s="75"/>
      <c r="R40" s="76"/>
    </row>
    <row r="41" spans="1:18" ht="12.75" customHeight="1" x14ac:dyDescent="0.25">
      <c r="A41" s="155" t="s">
        <v>238</v>
      </c>
      <c r="B41" s="155"/>
      <c r="C41" s="116">
        <f t="shared" ref="C41:R41" si="8">C21-C39</f>
        <v>357769379.71000004</v>
      </c>
      <c r="D41" s="117">
        <f t="shared" si="8"/>
        <v>-71147510.742533326</v>
      </c>
      <c r="E41" s="117">
        <f t="shared" si="8"/>
        <v>7062750.3900000453</v>
      </c>
      <c r="F41" s="117">
        <f t="shared" si="8"/>
        <v>-15963356</v>
      </c>
      <c r="G41" s="117">
        <f t="shared" si="8"/>
        <v>-75164642.329999983</v>
      </c>
      <c r="H41" s="522">
        <f t="shared" si="8"/>
        <v>413945473.49716669</v>
      </c>
      <c r="I41" s="116">
        <f t="shared" si="8"/>
        <v>51729662.595296741</v>
      </c>
      <c r="J41" s="117">
        <f t="shared" si="8"/>
        <v>-10655380.4823457</v>
      </c>
      <c r="K41" s="117">
        <f t="shared" si="8"/>
        <v>105852165.12413549</v>
      </c>
      <c r="L41" s="117">
        <f t="shared" si="8"/>
        <v>57034040.757069767</v>
      </c>
      <c r="M41" s="117">
        <f t="shared" si="8"/>
        <v>-24291525.905870378</v>
      </c>
      <c r="N41" s="522">
        <f t="shared" si="8"/>
        <v>73208206.387080789</v>
      </c>
      <c r="O41" s="543">
        <f t="shared" si="8"/>
        <v>837771352</v>
      </c>
      <c r="P41" s="116">
        <f t="shared" si="8"/>
        <v>869379263</v>
      </c>
      <c r="Q41" s="117">
        <f t="shared" si="8"/>
        <v>808247957.23523617</v>
      </c>
      <c r="R41" s="118">
        <f t="shared" si="8"/>
        <v>793472717.87607574</v>
      </c>
    </row>
    <row r="42" spans="1:18" ht="12.75" customHeight="1" x14ac:dyDescent="0.25">
      <c r="A42" s="544" t="str">
        <f>head27a</f>
        <v>References</v>
      </c>
      <c r="B42" s="544"/>
      <c r="C42" s="545"/>
      <c r="D42" s="545"/>
      <c r="E42" s="545"/>
      <c r="F42" s="545"/>
      <c r="G42" s="545"/>
      <c r="H42" s="545"/>
      <c r="I42" s="545"/>
      <c r="J42" s="545"/>
      <c r="K42" s="545"/>
      <c r="L42" s="545"/>
      <c r="M42" s="545"/>
      <c r="N42" s="545"/>
      <c r="O42" s="545"/>
      <c r="P42" s="545"/>
      <c r="Q42" s="545"/>
      <c r="R42" s="545"/>
    </row>
    <row r="43" spans="1:18" ht="12.75" customHeight="1" x14ac:dyDescent="0.25">
      <c r="A43" s="99" t="s">
        <v>239</v>
      </c>
      <c r="B43" s="99"/>
      <c r="C43" s="48"/>
      <c r="D43" s="48"/>
      <c r="E43" s="48"/>
      <c r="F43" s="48"/>
      <c r="G43" s="48"/>
      <c r="H43" s="48"/>
      <c r="I43" s="48"/>
      <c r="J43" s="48"/>
      <c r="K43" s="48"/>
      <c r="L43" s="48"/>
      <c r="M43" s="48"/>
      <c r="N43" s="48"/>
      <c r="O43" s="48"/>
      <c r="P43" s="48"/>
      <c r="Q43" s="48"/>
      <c r="R43" s="48"/>
    </row>
    <row r="44" spans="1:18" ht="12.75" customHeight="1" x14ac:dyDescent="0.25">
      <c r="A44" s="99"/>
      <c r="B44" s="99"/>
      <c r="C44" s="48"/>
      <c r="D44" s="48"/>
      <c r="E44" s="48"/>
      <c r="F44" s="48"/>
      <c r="G44" s="48"/>
      <c r="H44" s="48"/>
      <c r="I44" s="48"/>
      <c r="J44" s="48"/>
      <c r="K44" s="48"/>
      <c r="L44" s="48"/>
      <c r="M44" s="48"/>
      <c r="N44" s="48"/>
      <c r="O44" s="48"/>
      <c r="P44" s="48"/>
      <c r="Q44" s="48"/>
      <c r="R44" s="48"/>
    </row>
    <row r="45" spans="1:18" x14ac:dyDescent="0.25">
      <c r="A45" s="311"/>
      <c r="B45" s="311"/>
      <c r="P45" s="546"/>
      <c r="Q45" s="546"/>
      <c r="R45" s="546"/>
    </row>
    <row r="56" spans="2:2" x14ac:dyDescent="0.25">
      <c r="B56" s="128"/>
    </row>
  </sheetData>
  <sheetProtection sheet="1" objects="1" scenarios="1"/>
  <mergeCells count="3">
    <mergeCell ref="A2:A3"/>
    <mergeCell ref="C2:N2"/>
    <mergeCell ref="B2:B3"/>
  </mergeCells>
  <phoneticPr fontId="4" type="noConversion"/>
  <printOptions horizontalCentered="1"/>
  <pageMargins left="0.34" right="0.2" top="0.79" bottom="0.77" header="0.51181102362204722" footer="0.51181102362204722"/>
  <pageSetup paperSize="9" scale="91"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3">
    <tabColor indexed="42"/>
    <pageSetUpPr fitToPage="1"/>
  </sheetPr>
  <dimension ref="A1:S56"/>
  <sheetViews>
    <sheetView showGridLines="0" zoomScaleNormal="100" workbookViewId="0">
      <pane xSplit="2" ySplit="4" topLeftCell="C5" activePane="bottomRight" state="frozen"/>
      <selection activeCell="C6" sqref="C6"/>
      <selection pane="topRight" activeCell="C6" sqref="C6"/>
      <selection pane="bottomLeft" activeCell="C6" sqref="C6"/>
      <selection pane="bottomRight" activeCell="R51" sqref="C6:R51"/>
    </sheetView>
  </sheetViews>
  <sheetFormatPr defaultColWidth="9.140625" defaultRowHeight="12.75" x14ac:dyDescent="0.25"/>
  <cols>
    <col min="1" max="1" width="25.7109375" style="5" customWidth="1"/>
    <col min="2" max="2" width="3.140625" style="5" customWidth="1"/>
    <col min="3" max="14" width="8.7109375" style="5" customWidth="1"/>
    <col min="15" max="15" width="8.7109375" style="5" hidden="1" customWidth="1"/>
    <col min="16" max="18" width="8.7109375" style="5" customWidth="1"/>
    <col min="19" max="16384" width="9.140625" style="5"/>
  </cols>
  <sheetData>
    <row r="1" spans="1:19" ht="13.5" x14ac:dyDescent="0.25">
      <c r="A1" s="57" t="str">
        <f>muni&amp;" - "&amp;ADJB13&amp;" - "&amp;Date</f>
        <v>LIM354 Polokwane - Supporting Table SB13 Adjustments Budget - monthly revenue and expenditure (functional classification) - 2020</v>
      </c>
      <c r="B1" s="57"/>
      <c r="D1" s="58"/>
    </row>
    <row r="2" spans="1:19" ht="25.5" x14ac:dyDescent="0.25">
      <c r="A2" s="1409" t="str">
        <f>desc&amp;" - Standard classification"</f>
        <v>Description - Standard classification</v>
      </c>
      <c r="B2" s="1406" t="str">
        <f>head27</f>
        <v>Ref</v>
      </c>
      <c r="C2" s="1403" t="str">
        <f>Head2</f>
        <v>Budget Year 2020/21</v>
      </c>
      <c r="D2" s="1404"/>
      <c r="E2" s="1404"/>
      <c r="F2" s="1404"/>
      <c r="G2" s="1404"/>
      <c r="H2" s="1404"/>
      <c r="I2" s="1404"/>
      <c r="J2" s="1404"/>
      <c r="K2" s="1404"/>
      <c r="L2" s="1404"/>
      <c r="M2" s="1404"/>
      <c r="N2" s="1405"/>
      <c r="O2" s="527"/>
      <c r="P2" s="528" t="s">
        <v>223</v>
      </c>
      <c r="Q2" s="529"/>
      <c r="R2" s="530"/>
    </row>
    <row r="3" spans="1:19" ht="38.25" x14ac:dyDescent="0.25">
      <c r="A3" s="1410"/>
      <c r="B3" s="1407"/>
      <c r="C3" s="452" t="s">
        <v>224</v>
      </c>
      <c r="D3" s="320" t="s">
        <v>225</v>
      </c>
      <c r="E3" s="320" t="s">
        <v>226</v>
      </c>
      <c r="F3" s="320" t="s">
        <v>227</v>
      </c>
      <c r="G3" s="320" t="s">
        <v>228</v>
      </c>
      <c r="H3" s="321" t="s">
        <v>229</v>
      </c>
      <c r="I3" s="531" t="s">
        <v>230</v>
      </c>
      <c r="J3" s="532" t="s">
        <v>231</v>
      </c>
      <c r="K3" s="320" t="s">
        <v>232</v>
      </c>
      <c r="L3" s="320" t="s">
        <v>233</v>
      </c>
      <c r="M3" s="533" t="s">
        <v>234</v>
      </c>
      <c r="N3" s="532" t="s">
        <v>235</v>
      </c>
      <c r="O3" s="534" t="s">
        <v>236</v>
      </c>
      <c r="P3" s="531" t="str">
        <f>Head9</f>
        <v>Budget Year 2020/21</v>
      </c>
      <c r="Q3" s="532" t="str">
        <f>Head10</f>
        <v>Budget Year +1 2021/22</v>
      </c>
      <c r="R3" s="322" t="str">
        <f>Head11</f>
        <v>Budget Year +2 2022/23</v>
      </c>
    </row>
    <row r="4" spans="1:19" ht="25.5" x14ac:dyDescent="0.25">
      <c r="A4" s="535" t="s">
        <v>603</v>
      </c>
      <c r="B4" s="297"/>
      <c r="C4" s="806" t="str">
        <f t="shared" ref="C4:H4" si="0">Head5A</f>
        <v>Outcome</v>
      </c>
      <c r="D4" s="807" t="str">
        <f t="shared" si="0"/>
        <v>Outcome</v>
      </c>
      <c r="E4" s="807" t="str">
        <f t="shared" si="0"/>
        <v>Outcome</v>
      </c>
      <c r="F4" s="807" t="str">
        <f t="shared" si="0"/>
        <v>Outcome</v>
      </c>
      <c r="G4" s="807" t="str">
        <f t="shared" si="0"/>
        <v>Outcome</v>
      </c>
      <c r="H4" s="808" t="str">
        <f t="shared" si="0"/>
        <v>Outcome</v>
      </c>
      <c r="I4" s="806" t="str">
        <f t="shared" ref="I4:N4" si="1">Head7</f>
        <v>Adjusted Budget</v>
      </c>
      <c r="J4" s="808" t="str">
        <f t="shared" si="1"/>
        <v>Adjusted Budget</v>
      </c>
      <c r="K4" s="807" t="str">
        <f t="shared" si="1"/>
        <v>Adjusted Budget</v>
      </c>
      <c r="L4" s="807" t="str">
        <f t="shared" si="1"/>
        <v>Adjusted Budget</v>
      </c>
      <c r="M4" s="807" t="str">
        <f t="shared" si="1"/>
        <v>Adjusted Budget</v>
      </c>
      <c r="N4" s="808" t="str">
        <f t="shared" si="1"/>
        <v>Adjusted Budget</v>
      </c>
      <c r="O4" s="547"/>
      <c r="P4" s="548" t="str">
        <f>Head7</f>
        <v>Adjusted Budget</v>
      </c>
      <c r="Q4" s="549" t="str">
        <f>Head7</f>
        <v>Adjusted Budget</v>
      </c>
      <c r="R4" s="550" t="str">
        <f>Head7</f>
        <v>Adjusted Budget</v>
      </c>
    </row>
    <row r="5" spans="1:19" ht="12.75" customHeight="1" x14ac:dyDescent="0.25">
      <c r="A5" s="551" t="s">
        <v>1562</v>
      </c>
      <c r="B5" s="552"/>
      <c r="C5" s="106"/>
      <c r="D5" s="480"/>
      <c r="E5" s="480"/>
      <c r="F5" s="480"/>
      <c r="G5" s="480"/>
      <c r="H5" s="553"/>
      <c r="I5" s="106"/>
      <c r="J5" s="480"/>
      <c r="K5" s="480"/>
      <c r="L5" s="480"/>
      <c r="M5" s="480"/>
      <c r="N5" s="553"/>
      <c r="O5" s="554"/>
      <c r="P5" s="106"/>
      <c r="Q5" s="480"/>
      <c r="R5" s="520"/>
    </row>
    <row r="6" spans="1:19" ht="12.75" customHeight="1" x14ac:dyDescent="0.25">
      <c r="A6" s="107" t="str">
        <f>'B2-FinPerf SC'!A7</f>
        <v>Governance and administration</v>
      </c>
      <c r="B6" s="129"/>
      <c r="C6" s="257">
        <f t="shared" ref="C6:M6" si="2">SUM(C7:C9)</f>
        <v>549149089.14999998</v>
      </c>
      <c r="D6" s="257">
        <f t="shared" si="2"/>
        <v>120651957.65079999</v>
      </c>
      <c r="E6" s="257">
        <f t="shared" si="2"/>
        <v>136335349.72154999</v>
      </c>
      <c r="F6" s="257">
        <f t="shared" si="2"/>
        <v>138313834</v>
      </c>
      <c r="G6" s="257">
        <f t="shared" si="2"/>
        <v>64077948</v>
      </c>
      <c r="H6" s="703">
        <f t="shared" si="2"/>
        <v>594972471.83050001</v>
      </c>
      <c r="I6" s="704">
        <f t="shared" si="2"/>
        <v>205201387.41162708</v>
      </c>
      <c r="J6" s="257">
        <f t="shared" si="2"/>
        <v>158911495.73695597</v>
      </c>
      <c r="K6" s="257">
        <f t="shared" si="2"/>
        <v>217999669.85726237</v>
      </c>
      <c r="L6" s="257">
        <f t="shared" si="2"/>
        <v>175173443.31290701</v>
      </c>
      <c r="M6" s="257">
        <f t="shared" si="2"/>
        <v>160819384.78058767</v>
      </c>
      <c r="N6" s="516">
        <f t="shared" ref="N6:N25" si="3">P6-SUM(C6:M6)</f>
        <v>375721941.54781008</v>
      </c>
      <c r="O6" s="555">
        <f t="shared" ref="O6:O25" si="4">SUM(C6:N6)</f>
        <v>2897327973</v>
      </c>
      <c r="P6" s="476">
        <f>'B2-FinPerf SC'!K7</f>
        <v>2897327973</v>
      </c>
      <c r="Q6" s="141">
        <f>'B2-FinPerf SC'!L7</f>
        <v>2626935832.0251508</v>
      </c>
      <c r="R6" s="142">
        <f>'B2-FinPerf SC'!M7</f>
        <v>2675141998.7056775</v>
      </c>
      <c r="S6" s="128"/>
    </row>
    <row r="7" spans="1:19" ht="12.75" customHeight="1" x14ac:dyDescent="0.25">
      <c r="A7" s="108" t="str">
        <f>'B2-FinPerf SC'!A8</f>
        <v>Executive and council</v>
      </c>
      <c r="B7" s="129"/>
      <c r="C7" s="109">
        <v>0</v>
      </c>
      <c r="D7" s="109">
        <v>0</v>
      </c>
      <c r="E7" s="109">
        <v>0</v>
      </c>
      <c r="F7" s="109">
        <v>0</v>
      </c>
      <c r="G7" s="109">
        <v>0</v>
      </c>
      <c r="H7" s="381">
        <v>0</v>
      </c>
      <c r="I7" s="382">
        <v>112456.45753877847</v>
      </c>
      <c r="J7" s="109">
        <v>87193.48714430962</v>
      </c>
      <c r="K7" s="109">
        <v>141267.85949490365</v>
      </c>
      <c r="L7" s="109">
        <v>136997.17968630753</v>
      </c>
      <c r="M7" s="109">
        <v>88237.72052328338</v>
      </c>
      <c r="N7" s="508">
        <f t="shared" si="3"/>
        <v>938027.29561241739</v>
      </c>
      <c r="O7" s="540">
        <f t="shared" si="4"/>
        <v>1504180</v>
      </c>
      <c r="P7" s="240">
        <f>'B2-FinPerf SC'!K8</f>
        <v>1504180</v>
      </c>
      <c r="Q7" s="75">
        <f>'B2-FinPerf SC'!L8</f>
        <v>1576380</v>
      </c>
      <c r="R7" s="76">
        <f>'B2-FinPerf SC'!M8</f>
        <v>1652044</v>
      </c>
      <c r="S7" s="128"/>
    </row>
    <row r="8" spans="1:19" ht="12.75" customHeight="1" x14ac:dyDescent="0.25">
      <c r="A8" s="108" t="str">
        <f>'B2-FinPerf SC'!A9</f>
        <v>Finance and administration</v>
      </c>
      <c r="B8" s="129"/>
      <c r="C8" s="111">
        <v>549149089.14999998</v>
      </c>
      <c r="D8" s="111">
        <v>120651957.65079999</v>
      </c>
      <c r="E8" s="111">
        <v>136335349.72154999</v>
      </c>
      <c r="F8" s="111">
        <v>138313834</v>
      </c>
      <c r="G8" s="111">
        <v>64077948</v>
      </c>
      <c r="H8" s="556">
        <v>594972471.83050001</v>
      </c>
      <c r="I8" s="557">
        <v>205088930.9540883</v>
      </c>
      <c r="J8" s="111">
        <v>158824302.24981165</v>
      </c>
      <c r="K8" s="111">
        <v>217858401.99776748</v>
      </c>
      <c r="L8" s="111">
        <v>175036446.1332207</v>
      </c>
      <c r="M8" s="111">
        <v>160731147.06006438</v>
      </c>
      <c r="N8" s="508">
        <f t="shared" si="3"/>
        <v>374782869.25219774</v>
      </c>
      <c r="O8" s="540">
        <f t="shared" si="4"/>
        <v>2895822748</v>
      </c>
      <c r="P8" s="240">
        <f>'B2-FinPerf SC'!K9</f>
        <v>2895822748</v>
      </c>
      <c r="Q8" s="75">
        <f>'B2-FinPerf SC'!L9</f>
        <v>2625359452.0251508</v>
      </c>
      <c r="R8" s="76">
        <f>'B2-FinPerf SC'!M9</f>
        <v>2673489954.7056775</v>
      </c>
      <c r="S8" s="128"/>
    </row>
    <row r="9" spans="1:19" ht="12.75" customHeight="1" x14ac:dyDescent="0.25">
      <c r="A9" s="108" t="str">
        <f>'B2-FinPerf SC'!A10</f>
        <v>Internal audit</v>
      </c>
      <c r="B9" s="129"/>
      <c r="C9" s="109">
        <v>0</v>
      </c>
      <c r="D9" s="109">
        <v>0</v>
      </c>
      <c r="E9" s="109">
        <v>0</v>
      </c>
      <c r="F9" s="109">
        <v>0</v>
      </c>
      <c r="G9" s="109">
        <v>0</v>
      </c>
      <c r="H9" s="381">
        <v>0</v>
      </c>
      <c r="I9" s="382">
        <v>0</v>
      </c>
      <c r="J9" s="109">
        <v>0</v>
      </c>
      <c r="K9" s="109">
        <v>0</v>
      </c>
      <c r="L9" s="109">
        <v>0</v>
      </c>
      <c r="M9" s="109">
        <v>0</v>
      </c>
      <c r="N9" s="508">
        <f t="shared" si="3"/>
        <v>1045</v>
      </c>
      <c r="O9" s="540">
        <f t="shared" si="4"/>
        <v>1045</v>
      </c>
      <c r="P9" s="240">
        <f>'B2-FinPerf SC'!K10</f>
        <v>1045</v>
      </c>
      <c r="Q9" s="75">
        <f>'B2-FinPerf SC'!L10</f>
        <v>0</v>
      </c>
      <c r="R9" s="76">
        <f>'B2-FinPerf SC'!M10</f>
        <v>0</v>
      </c>
      <c r="S9" s="128"/>
    </row>
    <row r="10" spans="1:19" ht="12.75" customHeight="1" x14ac:dyDescent="0.25">
      <c r="A10" s="107" t="str">
        <f>'B2-FinPerf SC'!A11</f>
        <v>Community and public safety</v>
      </c>
      <c r="B10" s="129"/>
      <c r="C10" s="257">
        <f t="shared" ref="C10:M10" si="5">SUM(C11:C15)</f>
        <v>412942.85</v>
      </c>
      <c r="D10" s="257">
        <f t="shared" si="5"/>
        <v>380931.94</v>
      </c>
      <c r="E10" s="257">
        <f t="shared" si="5"/>
        <v>1300822</v>
      </c>
      <c r="F10" s="257">
        <f t="shared" si="5"/>
        <v>1030158</v>
      </c>
      <c r="G10" s="257">
        <f t="shared" si="5"/>
        <v>893094</v>
      </c>
      <c r="H10" s="703">
        <f t="shared" si="5"/>
        <v>490318</v>
      </c>
      <c r="I10" s="704">
        <f t="shared" si="5"/>
        <v>1150266.021669697</v>
      </c>
      <c r="J10" s="257">
        <f t="shared" si="5"/>
        <v>1083942.8054579301</v>
      </c>
      <c r="K10" s="257">
        <f t="shared" si="5"/>
        <v>1219382.7587588397</v>
      </c>
      <c r="L10" s="257">
        <f t="shared" si="5"/>
        <v>1209137.6671117153</v>
      </c>
      <c r="M10" s="257">
        <f t="shared" si="5"/>
        <v>1092166.7982622364</v>
      </c>
      <c r="N10" s="516">
        <f t="shared" si="3"/>
        <v>2451182.1587395817</v>
      </c>
      <c r="O10" s="555">
        <f t="shared" si="4"/>
        <v>12714345</v>
      </c>
      <c r="P10" s="476">
        <f>'B2-FinPerf SC'!K11</f>
        <v>12714345</v>
      </c>
      <c r="Q10" s="141">
        <f>'B2-FinPerf SC'!L11</f>
        <v>19512020</v>
      </c>
      <c r="R10" s="142">
        <f>'B2-FinPerf SC'!M11</f>
        <v>20448587</v>
      </c>
      <c r="S10" s="128"/>
    </row>
    <row r="11" spans="1:19" ht="12.75" customHeight="1" x14ac:dyDescent="0.25">
      <c r="A11" s="108" t="str">
        <f>'B2-FinPerf SC'!A12</f>
        <v>Community and social services</v>
      </c>
      <c r="B11" s="129"/>
      <c r="C11" s="109">
        <v>132283.57999999999</v>
      </c>
      <c r="D11" s="109">
        <v>119941</v>
      </c>
      <c r="E11" s="109">
        <v>141515</v>
      </c>
      <c r="F11" s="109">
        <v>138045</v>
      </c>
      <c r="G11" s="109">
        <v>107190</v>
      </c>
      <c r="H11" s="381">
        <v>97053</v>
      </c>
      <c r="I11" s="382">
        <v>269541.5717877135</v>
      </c>
      <c r="J11" s="109">
        <v>208989.95121222537</v>
      </c>
      <c r="K11" s="109">
        <v>338598.26038190717</v>
      </c>
      <c r="L11" s="109">
        <v>328362.0696516941</v>
      </c>
      <c r="M11" s="109">
        <v>211492.82487943766</v>
      </c>
      <c r="N11" s="508">
        <f t="shared" si="3"/>
        <v>2108285.7420870224</v>
      </c>
      <c r="O11" s="540">
        <f t="shared" si="4"/>
        <v>4201298</v>
      </c>
      <c r="P11" s="240">
        <f>'B2-FinPerf SC'!K12</f>
        <v>4201298</v>
      </c>
      <c r="Q11" s="75">
        <f>'B2-FinPerf SC'!L12</f>
        <v>3778350</v>
      </c>
      <c r="R11" s="76">
        <f>'B2-FinPerf SC'!M12</f>
        <v>3959708</v>
      </c>
      <c r="S11" s="128"/>
    </row>
    <row r="12" spans="1:19" ht="12.75" customHeight="1" x14ac:dyDescent="0.25">
      <c r="A12" s="108" t="str">
        <f>'B2-FinPerf SC'!A13</f>
        <v>Sport and recreation</v>
      </c>
      <c r="B12" s="129"/>
      <c r="C12" s="109">
        <v>132874.78999999998</v>
      </c>
      <c r="D12" s="109">
        <v>151484</v>
      </c>
      <c r="E12" s="109">
        <v>990892</v>
      </c>
      <c r="F12" s="109">
        <v>723838</v>
      </c>
      <c r="G12" s="109">
        <v>491991</v>
      </c>
      <c r="H12" s="381">
        <v>258484</v>
      </c>
      <c r="I12" s="382">
        <v>830032.5700488711</v>
      </c>
      <c r="J12" s="109">
        <v>830032.5700488711</v>
      </c>
      <c r="K12" s="109">
        <v>830032.5700488711</v>
      </c>
      <c r="L12" s="109">
        <v>830032.5700488711</v>
      </c>
      <c r="M12" s="109">
        <v>830032.5700488711</v>
      </c>
      <c r="N12" s="508">
        <f t="shared" si="3"/>
        <v>749759.35975564364</v>
      </c>
      <c r="O12" s="540">
        <f t="shared" si="4"/>
        <v>7649486</v>
      </c>
      <c r="P12" s="240">
        <f>'B2-FinPerf SC'!K13</f>
        <v>7649486</v>
      </c>
      <c r="Q12" s="75">
        <f>'B2-FinPerf SC'!L13</f>
        <v>14828659</v>
      </c>
      <c r="R12" s="76">
        <f>'B2-FinPerf SC'!M13</f>
        <v>15540432</v>
      </c>
      <c r="S12" s="128"/>
    </row>
    <row r="13" spans="1:19" ht="12.75" customHeight="1" x14ac:dyDescent="0.25">
      <c r="A13" s="108" t="str">
        <f>'B2-FinPerf SC'!A14</f>
        <v>Public safety</v>
      </c>
      <c r="B13" s="129"/>
      <c r="C13" s="109">
        <v>57129.54</v>
      </c>
      <c r="D13" s="109">
        <v>18852</v>
      </c>
      <c r="E13" s="109">
        <v>71765</v>
      </c>
      <c r="F13" s="109">
        <v>71625</v>
      </c>
      <c r="G13" s="109">
        <v>197263</v>
      </c>
      <c r="H13" s="381">
        <v>38131</v>
      </c>
      <c r="I13" s="382">
        <v>25457.498978172156</v>
      </c>
      <c r="J13" s="109">
        <v>19738.556223986499</v>
      </c>
      <c r="K13" s="109">
        <v>25457.498978172156</v>
      </c>
      <c r="L13" s="109">
        <v>25457.498978172156</v>
      </c>
      <c r="M13" s="109">
        <v>25457.498978172156</v>
      </c>
      <c r="N13" s="508">
        <f t="shared" si="3"/>
        <v>-235823.09213667526</v>
      </c>
      <c r="O13" s="540">
        <f t="shared" si="4"/>
        <v>340511</v>
      </c>
      <c r="P13" s="240">
        <f>'B2-FinPerf SC'!K14</f>
        <v>340511</v>
      </c>
      <c r="Q13" s="75">
        <f>'B2-FinPerf SC'!L14</f>
        <v>356856</v>
      </c>
      <c r="R13" s="76">
        <f>'B2-FinPerf SC'!M14</f>
        <v>373984</v>
      </c>
      <c r="S13" s="128"/>
    </row>
    <row r="14" spans="1:19" ht="12.75" customHeight="1" x14ac:dyDescent="0.25">
      <c r="A14" s="108" t="str">
        <f>'B2-FinPerf SC'!A15</f>
        <v>Housing</v>
      </c>
      <c r="B14" s="129"/>
      <c r="C14" s="109">
        <v>90654.94</v>
      </c>
      <c r="D14" s="109">
        <v>90654.94</v>
      </c>
      <c r="E14" s="109">
        <v>96650</v>
      </c>
      <c r="F14" s="109">
        <v>96650</v>
      </c>
      <c r="G14" s="109">
        <v>96650</v>
      </c>
      <c r="H14" s="381">
        <v>96650</v>
      </c>
      <c r="I14" s="382">
        <v>25000</v>
      </c>
      <c r="J14" s="109">
        <v>25000</v>
      </c>
      <c r="K14" s="109">
        <v>25000</v>
      </c>
      <c r="L14" s="109">
        <v>25000</v>
      </c>
      <c r="M14" s="109">
        <v>25000</v>
      </c>
      <c r="N14" s="508">
        <f t="shared" si="3"/>
        <v>-172994.88</v>
      </c>
      <c r="O14" s="540">
        <f t="shared" si="4"/>
        <v>519915</v>
      </c>
      <c r="P14" s="240">
        <f>'B2-FinPerf SC'!K15</f>
        <v>519915</v>
      </c>
      <c r="Q14" s="75">
        <f>'B2-FinPerf SC'!L15</f>
        <v>544870</v>
      </c>
      <c r="R14" s="76">
        <f>'B2-FinPerf SC'!M15</f>
        <v>571022</v>
      </c>
      <c r="S14" s="128"/>
    </row>
    <row r="15" spans="1:19" ht="12.75" customHeight="1" x14ac:dyDescent="0.25">
      <c r="A15" s="108" t="str">
        <f>'B2-FinPerf SC'!A16</f>
        <v>Health</v>
      </c>
      <c r="B15" s="129"/>
      <c r="C15" s="111">
        <v>0</v>
      </c>
      <c r="D15" s="111">
        <v>0</v>
      </c>
      <c r="E15" s="111">
        <v>0</v>
      </c>
      <c r="F15" s="111">
        <v>0</v>
      </c>
      <c r="G15" s="111">
        <v>0</v>
      </c>
      <c r="H15" s="556">
        <v>0</v>
      </c>
      <c r="I15" s="557">
        <v>234.38085494028007</v>
      </c>
      <c r="J15" s="111">
        <v>181.7279728472727</v>
      </c>
      <c r="K15" s="111">
        <v>294.4293498893237</v>
      </c>
      <c r="L15" s="111">
        <v>285.52843297781789</v>
      </c>
      <c r="M15" s="111">
        <v>183.90435575562327</v>
      </c>
      <c r="N15" s="508">
        <f t="shared" si="3"/>
        <v>1955.0290335896823</v>
      </c>
      <c r="O15" s="540">
        <f t="shared" si="4"/>
        <v>3135</v>
      </c>
      <c r="P15" s="240">
        <f>'B2-FinPerf SC'!K16</f>
        <v>3135</v>
      </c>
      <c r="Q15" s="75">
        <f>'B2-FinPerf SC'!L16</f>
        <v>3285</v>
      </c>
      <c r="R15" s="76">
        <f>'B2-FinPerf SC'!M16</f>
        <v>3441</v>
      </c>
      <c r="S15" s="128"/>
    </row>
    <row r="16" spans="1:19" ht="12.75" customHeight="1" x14ac:dyDescent="0.25">
      <c r="A16" s="107" t="str">
        <f>'B2-FinPerf SC'!A17</f>
        <v>Economic and environmental services</v>
      </c>
      <c r="B16" s="129"/>
      <c r="C16" s="257">
        <f t="shared" ref="C16:M16" si="6">SUM(C17:C19)</f>
        <v>8857336.040000001</v>
      </c>
      <c r="D16" s="257">
        <f t="shared" si="6"/>
        <v>11065922</v>
      </c>
      <c r="E16" s="257">
        <f t="shared" si="6"/>
        <v>12911817</v>
      </c>
      <c r="F16" s="257">
        <f t="shared" si="6"/>
        <v>13928323</v>
      </c>
      <c r="G16" s="257">
        <f t="shared" si="6"/>
        <v>11531707</v>
      </c>
      <c r="H16" s="703">
        <f t="shared" si="6"/>
        <v>8050024</v>
      </c>
      <c r="I16" s="704">
        <f t="shared" si="6"/>
        <v>10779884.567516321</v>
      </c>
      <c r="J16" s="257">
        <f t="shared" si="6"/>
        <v>8358219.2345935935</v>
      </c>
      <c r="K16" s="257">
        <f t="shared" si="6"/>
        <v>13541696.508891448</v>
      </c>
      <c r="L16" s="257">
        <f t="shared" si="6"/>
        <v>13132316.413083136</v>
      </c>
      <c r="M16" s="257">
        <f t="shared" si="6"/>
        <v>8458317.6685408223</v>
      </c>
      <c r="N16" s="516">
        <f t="shared" si="3"/>
        <v>15286570.567374676</v>
      </c>
      <c r="O16" s="555">
        <f t="shared" si="4"/>
        <v>135902134</v>
      </c>
      <c r="P16" s="476">
        <f>'B2-FinPerf SC'!K17</f>
        <v>135902134</v>
      </c>
      <c r="Q16" s="141">
        <f>'B2-FinPerf SC'!L17</f>
        <v>151109157</v>
      </c>
      <c r="R16" s="142">
        <f>'B2-FinPerf SC'!M17</f>
        <v>158362386</v>
      </c>
      <c r="S16" s="128"/>
    </row>
    <row r="17" spans="1:19" ht="12.75" customHeight="1" x14ac:dyDescent="0.25">
      <c r="A17" s="108" t="str">
        <f>'B2-FinPerf SC'!A18</f>
        <v>Planning and development</v>
      </c>
      <c r="B17" s="129"/>
      <c r="C17" s="109">
        <v>1321526.3</v>
      </c>
      <c r="D17" s="109">
        <v>1078642</v>
      </c>
      <c r="E17" s="109">
        <v>1512511</v>
      </c>
      <c r="F17" s="109">
        <v>1915517</v>
      </c>
      <c r="G17" s="109">
        <v>1784431</v>
      </c>
      <c r="H17" s="381">
        <v>796235</v>
      </c>
      <c r="I17" s="382">
        <v>4104872.7269930411</v>
      </c>
      <c r="J17" s="109">
        <v>3182726.6764709675</v>
      </c>
      <c r="K17" s="109">
        <v>5156543.2197733251</v>
      </c>
      <c r="L17" s="109">
        <v>5000655.3547658315</v>
      </c>
      <c r="M17" s="109">
        <v>3220843.1636143327</v>
      </c>
      <c r="N17" s="508">
        <f t="shared" si="3"/>
        <v>21330902.5583825</v>
      </c>
      <c r="O17" s="540">
        <f t="shared" si="4"/>
        <v>50405406</v>
      </c>
      <c r="P17" s="240">
        <f>'B2-FinPerf SC'!K18</f>
        <v>50405406</v>
      </c>
      <c r="Q17" s="75">
        <f>'B2-FinPerf SC'!L18</f>
        <v>57540861</v>
      </c>
      <c r="R17" s="76">
        <f>'B2-FinPerf SC'!M18</f>
        <v>60302818</v>
      </c>
      <c r="S17" s="128"/>
    </row>
    <row r="18" spans="1:19" ht="12.75" customHeight="1" x14ac:dyDescent="0.25">
      <c r="A18" s="108" t="str">
        <f>'B2-FinPerf SC'!A19</f>
        <v>Road transport</v>
      </c>
      <c r="B18" s="129"/>
      <c r="C18" s="109">
        <v>7535809.7400000002</v>
      </c>
      <c r="D18" s="109">
        <v>9987280</v>
      </c>
      <c r="E18" s="109">
        <v>11399306</v>
      </c>
      <c r="F18" s="109">
        <v>12012806</v>
      </c>
      <c r="G18" s="109">
        <v>9747276</v>
      </c>
      <c r="H18" s="381">
        <v>7253789</v>
      </c>
      <c r="I18" s="382">
        <v>6526327.4295487832</v>
      </c>
      <c r="J18" s="109">
        <v>5060209.6071867626</v>
      </c>
      <c r="K18" s="109">
        <v>8198375.8559824172</v>
      </c>
      <c r="L18" s="109">
        <v>7950530.1085023321</v>
      </c>
      <c r="M18" s="109">
        <v>5120810.9198476821</v>
      </c>
      <c r="N18" s="508">
        <f t="shared" si="3"/>
        <v>-7284545.6610679775</v>
      </c>
      <c r="O18" s="540">
        <f t="shared" si="4"/>
        <v>83507975</v>
      </c>
      <c r="P18" s="240">
        <f>'B2-FinPerf SC'!K19</f>
        <v>83507975</v>
      </c>
      <c r="Q18" s="75">
        <f>'B2-FinPerf SC'!L19</f>
        <v>91484084</v>
      </c>
      <c r="R18" s="76">
        <f>'B2-FinPerf SC'!M19</f>
        <v>95875314</v>
      </c>
      <c r="S18" s="128"/>
    </row>
    <row r="19" spans="1:19" ht="12.75" customHeight="1" x14ac:dyDescent="0.25">
      <c r="A19" s="108" t="str">
        <f>'B2-FinPerf SC'!A20</f>
        <v>Environmental protection</v>
      </c>
      <c r="B19" s="129"/>
      <c r="C19" s="109">
        <v>0</v>
      </c>
      <c r="D19" s="109">
        <v>0</v>
      </c>
      <c r="E19" s="109">
        <v>0</v>
      </c>
      <c r="F19" s="109">
        <v>0</v>
      </c>
      <c r="G19" s="109">
        <v>0</v>
      </c>
      <c r="H19" s="381">
        <v>0</v>
      </c>
      <c r="I19" s="382">
        <v>148684.4109744966</v>
      </c>
      <c r="J19" s="109">
        <v>115282.95093586351</v>
      </c>
      <c r="K19" s="109">
        <v>186777.43313570725</v>
      </c>
      <c r="L19" s="109">
        <v>181130.94981497107</v>
      </c>
      <c r="M19" s="109">
        <v>116663.58507880798</v>
      </c>
      <c r="N19" s="508">
        <f t="shared" si="3"/>
        <v>1240213.6700601536</v>
      </c>
      <c r="O19" s="540">
        <f t="shared" si="4"/>
        <v>1988753</v>
      </c>
      <c r="P19" s="240">
        <f>'B2-FinPerf SC'!K20</f>
        <v>1988753</v>
      </c>
      <c r="Q19" s="75">
        <f>'B2-FinPerf SC'!L20</f>
        <v>2084212</v>
      </c>
      <c r="R19" s="76">
        <f>'B2-FinPerf SC'!M20</f>
        <v>2184254</v>
      </c>
      <c r="S19" s="128"/>
    </row>
    <row r="20" spans="1:19" ht="12.75" customHeight="1" x14ac:dyDescent="0.25">
      <c r="A20" s="107" t="str">
        <f>'B2-FinPerf SC'!A21</f>
        <v>Trading services</v>
      </c>
      <c r="B20" s="129"/>
      <c r="C20" s="257">
        <f>SUM(C21:C24)</f>
        <v>106345276.67000002</v>
      </c>
      <c r="D20" s="257">
        <f t="shared" ref="D20:M20" si="7">SUM(D21:D24)</f>
        <v>119033387</v>
      </c>
      <c r="E20" s="257">
        <f t="shared" si="7"/>
        <v>143174361</v>
      </c>
      <c r="F20" s="257">
        <f t="shared" si="7"/>
        <v>103162836</v>
      </c>
      <c r="G20" s="257">
        <f t="shared" si="7"/>
        <v>134682940</v>
      </c>
      <c r="H20" s="703">
        <f t="shared" si="7"/>
        <v>131179673</v>
      </c>
      <c r="I20" s="704">
        <f t="shared" si="7"/>
        <v>133092664.3534027</v>
      </c>
      <c r="J20" s="257">
        <f t="shared" si="7"/>
        <v>103193838.50677165</v>
      </c>
      <c r="K20" s="257">
        <f t="shared" si="7"/>
        <v>167191073.05327886</v>
      </c>
      <c r="L20" s="257">
        <f t="shared" si="7"/>
        <v>162136706.52985948</v>
      </c>
      <c r="M20" s="257">
        <f t="shared" si="7"/>
        <v>104429692.86014619</v>
      </c>
      <c r="N20" s="516">
        <f>P20-SUM(C20:M20)</f>
        <v>329580559.02654076</v>
      </c>
      <c r="O20" s="555">
        <f t="shared" si="4"/>
        <v>1737203008</v>
      </c>
      <c r="P20" s="476">
        <f>'B2-FinPerf SC'!K21</f>
        <v>1737203008</v>
      </c>
      <c r="Q20" s="141">
        <f>'B2-FinPerf SC'!L21</f>
        <v>1942196651</v>
      </c>
      <c r="R20" s="142">
        <f>'B2-FinPerf SC'!M21</f>
        <v>2120385812</v>
      </c>
      <c r="S20" s="128"/>
    </row>
    <row r="21" spans="1:19" ht="12.75" customHeight="1" x14ac:dyDescent="0.25">
      <c r="A21" s="108" t="str">
        <f>'B2-FinPerf SC'!A22</f>
        <v>Energy sources</v>
      </c>
      <c r="B21" s="129"/>
      <c r="C21" s="109">
        <v>67659350.670000002</v>
      </c>
      <c r="D21" s="109">
        <v>81397945</v>
      </c>
      <c r="E21" s="109">
        <v>104964534</v>
      </c>
      <c r="F21" s="109">
        <v>70351939</v>
      </c>
      <c r="G21" s="109">
        <v>96127419</v>
      </c>
      <c r="H21" s="381">
        <v>93400736</v>
      </c>
      <c r="I21" s="382">
        <v>92301481.345992371</v>
      </c>
      <c r="J21" s="109">
        <v>71566259.539762661</v>
      </c>
      <c r="K21" s="109">
        <v>115949168.0898875</v>
      </c>
      <c r="L21" s="109">
        <v>112443899.63919038</v>
      </c>
      <c r="M21" s="109">
        <v>72423340.492334679</v>
      </c>
      <c r="N21" s="508">
        <f t="shared" si="3"/>
        <v>256007700.22283232</v>
      </c>
      <c r="O21" s="540">
        <f t="shared" si="4"/>
        <v>1234593773</v>
      </c>
      <c r="P21" s="240">
        <f>'B2-FinPerf SC'!K22</f>
        <v>1234593773</v>
      </c>
      <c r="Q21" s="75">
        <f>'B2-FinPerf SC'!L22</f>
        <v>1370398176</v>
      </c>
      <c r="R21" s="76">
        <f>'B2-FinPerf SC'!M22</f>
        <v>1521141016</v>
      </c>
      <c r="S21" s="128"/>
    </row>
    <row r="22" spans="1:19" ht="12.75" customHeight="1" x14ac:dyDescent="0.25">
      <c r="A22" s="108" t="str">
        <f>'B2-FinPerf SC'!A23</f>
        <v>Water management</v>
      </c>
      <c r="B22" s="129"/>
      <c r="C22" s="109">
        <v>19095684.609999999</v>
      </c>
      <c r="D22" s="109">
        <v>18008185</v>
      </c>
      <c r="E22" s="109">
        <v>15332152</v>
      </c>
      <c r="F22" s="109">
        <v>15577262</v>
      </c>
      <c r="G22" s="109">
        <v>18654395</v>
      </c>
      <c r="H22" s="381">
        <v>17931709</v>
      </c>
      <c r="I22" s="382">
        <v>22181426.784538575</v>
      </c>
      <c r="J22" s="109">
        <v>17198442.788518213</v>
      </c>
      <c r="K22" s="109">
        <v>27864319.675143175</v>
      </c>
      <c r="L22" s="109">
        <v>27021951.22812077</v>
      </c>
      <c r="M22" s="109">
        <v>17404412.163231008</v>
      </c>
      <c r="N22" s="508">
        <f t="shared" si="3"/>
        <v>37421413.750448227</v>
      </c>
      <c r="O22" s="540">
        <f t="shared" si="4"/>
        <v>253691354</v>
      </c>
      <c r="P22" s="240">
        <f>'B2-FinPerf SC'!K23</f>
        <v>253691354</v>
      </c>
      <c r="Q22" s="75">
        <f>'B2-FinPerf SC'!L23</f>
        <v>310932536</v>
      </c>
      <c r="R22" s="76">
        <f>'B2-FinPerf SC'!M23</f>
        <v>325857295</v>
      </c>
      <c r="S22" s="128"/>
    </row>
    <row r="23" spans="1:19" ht="12.75" customHeight="1" x14ac:dyDescent="0.25">
      <c r="A23" s="108" t="str">
        <f>'B2-FinPerf SC'!A24</f>
        <v>Waste water management</v>
      </c>
      <c r="B23" s="129"/>
      <c r="C23" s="111">
        <v>9631949.4299999997</v>
      </c>
      <c r="D23" s="111">
        <v>9658589</v>
      </c>
      <c r="E23" s="111">
        <v>9735984</v>
      </c>
      <c r="F23" s="111">
        <v>7016132</v>
      </c>
      <c r="G23" s="111">
        <v>9676185</v>
      </c>
      <c r="H23" s="556">
        <v>9691990</v>
      </c>
      <c r="I23" s="557">
        <v>9487237.892643597</v>
      </c>
      <c r="J23" s="111">
        <v>7355961.3501249896</v>
      </c>
      <c r="K23" s="111">
        <v>11917873.09457569</v>
      </c>
      <c r="L23" s="111">
        <v>11557582.932550183</v>
      </c>
      <c r="M23" s="111">
        <v>7444056.6956354696</v>
      </c>
      <c r="N23" s="508">
        <f t="shared" si="3"/>
        <v>23724582.604470089</v>
      </c>
      <c r="O23" s="540">
        <f t="shared" si="4"/>
        <v>126898124</v>
      </c>
      <c r="P23" s="240">
        <f>'B2-FinPerf SC'!K24</f>
        <v>126898124</v>
      </c>
      <c r="Q23" s="75">
        <f>'B2-FinPerf SC'!L24</f>
        <v>132989234</v>
      </c>
      <c r="R23" s="76">
        <f>'B2-FinPerf SC'!M24</f>
        <v>139372716</v>
      </c>
      <c r="S23" s="128"/>
    </row>
    <row r="24" spans="1:19" ht="12.75" customHeight="1" x14ac:dyDescent="0.25">
      <c r="A24" s="108" t="str">
        <f>'B2-FinPerf SC'!A25</f>
        <v>Waste management</v>
      </c>
      <c r="B24" s="129"/>
      <c r="C24" s="109">
        <v>9958291.9600000009</v>
      </c>
      <c r="D24" s="109">
        <v>9968668</v>
      </c>
      <c r="E24" s="109">
        <v>13141691</v>
      </c>
      <c r="F24" s="109">
        <v>10217503</v>
      </c>
      <c r="G24" s="109">
        <v>10224941</v>
      </c>
      <c r="H24" s="381">
        <v>10155238</v>
      </c>
      <c r="I24" s="382">
        <v>9122518.3302281424</v>
      </c>
      <c r="J24" s="109">
        <v>7073174.8283658093</v>
      </c>
      <c r="K24" s="109">
        <v>11459712.193672489</v>
      </c>
      <c r="L24" s="109">
        <v>11113272.729998127</v>
      </c>
      <c r="M24" s="109">
        <v>7157883.5089450413</v>
      </c>
      <c r="N24" s="508">
        <f t="shared" si="3"/>
        <v>12426862.448790386</v>
      </c>
      <c r="O24" s="540">
        <f t="shared" si="4"/>
        <v>122019757</v>
      </c>
      <c r="P24" s="240">
        <f>'B2-FinPerf SC'!K25</f>
        <v>122019757</v>
      </c>
      <c r="Q24" s="75">
        <f>'B2-FinPerf SC'!L25</f>
        <v>127876705</v>
      </c>
      <c r="R24" s="76">
        <f>'B2-FinPerf SC'!M25</f>
        <v>134014785</v>
      </c>
      <c r="S24" s="128"/>
    </row>
    <row r="25" spans="1:19" ht="12.75" customHeight="1" x14ac:dyDescent="0.25">
      <c r="A25" s="107" t="str">
        <f>'B2-FinPerf SC'!A26</f>
        <v>Other</v>
      </c>
      <c r="B25" s="129"/>
      <c r="C25" s="810">
        <v>0</v>
      </c>
      <c r="D25" s="810">
        <v>0</v>
      </c>
      <c r="E25" s="810">
        <v>0</v>
      </c>
      <c r="F25" s="810">
        <v>0</v>
      </c>
      <c r="G25" s="810">
        <v>0</v>
      </c>
      <c r="H25" s="878">
        <v>0</v>
      </c>
      <c r="I25" s="879">
        <v>0</v>
      </c>
      <c r="J25" s="810">
        <v>0</v>
      </c>
      <c r="K25" s="810">
        <v>0</v>
      </c>
      <c r="L25" s="810">
        <v>0</v>
      </c>
      <c r="M25" s="810">
        <v>0</v>
      </c>
      <c r="N25" s="516">
        <f t="shared" si="3"/>
        <v>0</v>
      </c>
      <c r="O25" s="555">
        <f t="shared" si="4"/>
        <v>0</v>
      </c>
      <c r="P25" s="476">
        <f>'B2-FinPerf SC'!K26</f>
        <v>0</v>
      </c>
      <c r="Q25" s="141">
        <f>'B2-FinPerf SC'!L26</f>
        <v>0</v>
      </c>
      <c r="R25" s="142">
        <f>'B2-FinPerf SC'!M26</f>
        <v>0</v>
      </c>
      <c r="S25" s="128"/>
    </row>
    <row r="26" spans="1:19" ht="12.75" customHeight="1" x14ac:dyDescent="0.25">
      <c r="A26" s="162" t="s">
        <v>1567</v>
      </c>
      <c r="B26" s="162"/>
      <c r="C26" s="114">
        <f>C6+C10+C16+C20+C25</f>
        <v>664764644.71000004</v>
      </c>
      <c r="D26" s="114">
        <f>D6+D10+D16+D20+D25</f>
        <v>251132198.59079999</v>
      </c>
      <c r="E26" s="680">
        <f>E6+E10+E16+E20+E25</f>
        <v>293722349.72154999</v>
      </c>
      <c r="F26" s="680">
        <f t="shared" ref="F26:R26" si="8">F6+F10+F16+F20+F25</f>
        <v>256435151</v>
      </c>
      <c r="G26" s="680">
        <f t="shared" si="8"/>
        <v>211185689</v>
      </c>
      <c r="H26" s="684">
        <f t="shared" si="8"/>
        <v>734692486.83050001</v>
      </c>
      <c r="I26" s="677">
        <f t="shared" si="8"/>
        <v>350224202.3542158</v>
      </c>
      <c r="J26" s="680">
        <f t="shared" si="8"/>
        <v>271547496.28377914</v>
      </c>
      <c r="K26" s="680">
        <f t="shared" si="8"/>
        <v>399951822.17819154</v>
      </c>
      <c r="L26" s="680">
        <f t="shared" si="8"/>
        <v>351651603.92296135</v>
      </c>
      <c r="M26" s="680">
        <f t="shared" si="8"/>
        <v>274799562.10753691</v>
      </c>
      <c r="N26" s="685">
        <f t="shared" si="8"/>
        <v>723040253.30046511</v>
      </c>
      <c r="O26" s="686">
        <f t="shared" si="8"/>
        <v>4783147460</v>
      </c>
      <c r="P26" s="677">
        <f t="shared" si="8"/>
        <v>4783147460</v>
      </c>
      <c r="Q26" s="678">
        <f t="shared" si="8"/>
        <v>4739753660.0251503</v>
      </c>
      <c r="R26" s="679">
        <f t="shared" si="8"/>
        <v>4974338783.705677</v>
      </c>
      <c r="S26" s="128"/>
    </row>
    <row r="27" spans="1:19" ht="5.0999999999999996" customHeight="1" x14ac:dyDescent="0.25">
      <c r="A27" s="83"/>
      <c r="B27" s="129"/>
      <c r="C27" s="240"/>
      <c r="D27" s="75"/>
      <c r="E27" s="75"/>
      <c r="F27" s="75"/>
      <c r="G27" s="75"/>
      <c r="H27" s="508"/>
      <c r="I27" s="240"/>
      <c r="J27" s="75"/>
      <c r="K27" s="75"/>
      <c r="L27" s="75"/>
      <c r="M27" s="75"/>
      <c r="N27" s="508"/>
      <c r="O27" s="540"/>
      <c r="P27" s="240"/>
      <c r="Q27" s="75"/>
      <c r="R27" s="76"/>
      <c r="S27" s="128"/>
    </row>
    <row r="28" spans="1:19" ht="12.75" customHeight="1" x14ac:dyDescent="0.25">
      <c r="A28" s="72" t="s">
        <v>1563</v>
      </c>
      <c r="B28" s="129"/>
      <c r="C28" s="240"/>
      <c r="D28" s="75"/>
      <c r="E28" s="75"/>
      <c r="F28" s="75"/>
      <c r="G28" s="75"/>
      <c r="H28" s="508"/>
      <c r="I28" s="240"/>
      <c r="J28" s="75"/>
      <c r="K28" s="75"/>
      <c r="L28" s="75"/>
      <c r="M28" s="75"/>
      <c r="N28" s="508"/>
      <c r="O28" s="540"/>
      <c r="P28" s="240"/>
      <c r="Q28" s="75"/>
      <c r="R28" s="76"/>
      <c r="S28" s="128"/>
    </row>
    <row r="29" spans="1:19" ht="12.75" customHeight="1" x14ac:dyDescent="0.25">
      <c r="A29" s="107" t="str">
        <f t="shared" ref="A29:A48" si="9">A6</f>
        <v>Governance and administration</v>
      </c>
      <c r="B29" s="129"/>
      <c r="C29" s="257">
        <f t="shared" ref="C29:M29" si="10">SUM(C30:C32)</f>
        <v>132883062.02</v>
      </c>
      <c r="D29" s="257">
        <f t="shared" si="10"/>
        <v>100465208.33333333</v>
      </c>
      <c r="E29" s="257">
        <f t="shared" si="10"/>
        <v>103507910.33</v>
      </c>
      <c r="F29" s="257">
        <f t="shared" si="10"/>
        <v>108855616</v>
      </c>
      <c r="G29" s="257">
        <f t="shared" si="10"/>
        <v>109002368.33</v>
      </c>
      <c r="H29" s="703">
        <f t="shared" si="10"/>
        <v>124686714.33333331</v>
      </c>
      <c r="I29" s="704">
        <f t="shared" si="10"/>
        <v>96880389.556889966</v>
      </c>
      <c r="J29" s="257">
        <f t="shared" si="10"/>
        <v>111592712.74194306</v>
      </c>
      <c r="K29" s="257">
        <f t="shared" si="10"/>
        <v>65453971.677193262</v>
      </c>
      <c r="L29" s="257">
        <f t="shared" si="10"/>
        <v>80622065.022917584</v>
      </c>
      <c r="M29" s="257">
        <f t="shared" si="10"/>
        <v>123074007.26035281</v>
      </c>
      <c r="N29" s="516">
        <f t="shared" ref="N29:N48" si="11">P29-SUM(C29:M29)</f>
        <v>154435665.39403653</v>
      </c>
      <c r="O29" s="555">
        <f t="shared" ref="O29:O37" si="12">SUM(C29:N29)</f>
        <v>1311459691</v>
      </c>
      <c r="P29" s="476">
        <f>'B2-FinPerf SC'!K30</f>
        <v>1311459691</v>
      </c>
      <c r="Q29" s="141">
        <f>'B2-FinPerf SC'!L30</f>
        <v>1310525193.6649141</v>
      </c>
      <c r="R29" s="142">
        <f>'B2-FinPerf SC'!M30</f>
        <v>1395722205.7914796</v>
      </c>
      <c r="S29" s="128"/>
    </row>
    <row r="30" spans="1:19" ht="12.75" customHeight="1" x14ac:dyDescent="0.25">
      <c r="A30" s="108" t="str">
        <f t="shared" si="9"/>
        <v>Executive and council</v>
      </c>
      <c r="B30" s="129"/>
      <c r="C30" s="109">
        <v>28446625.129999999</v>
      </c>
      <c r="D30" s="109">
        <v>6977099</v>
      </c>
      <c r="E30" s="109">
        <v>1869700</v>
      </c>
      <c r="F30" s="109">
        <v>9137700</v>
      </c>
      <c r="G30" s="109">
        <v>10519062</v>
      </c>
      <c r="H30" s="381">
        <v>13702147</v>
      </c>
      <c r="I30" s="382">
        <v>31360065.002318278</v>
      </c>
      <c r="J30" s="109">
        <v>29648450.40842142</v>
      </c>
      <c r="K30" s="109">
        <v>30898335.258741118</v>
      </c>
      <c r="L30" s="109">
        <v>30952746.871581256</v>
      </c>
      <c r="M30" s="109">
        <v>31422738.818907619</v>
      </c>
      <c r="N30" s="508">
        <f t="shared" si="11"/>
        <v>182176441.51003033</v>
      </c>
      <c r="O30" s="540">
        <f t="shared" si="12"/>
        <v>407111111</v>
      </c>
      <c r="P30" s="240">
        <f>'B2-FinPerf SC'!K31</f>
        <v>407111111</v>
      </c>
      <c r="Q30" s="75">
        <f>'B2-FinPerf SC'!L31</f>
        <v>443744090</v>
      </c>
      <c r="R30" s="76">
        <f>'B2-FinPerf SC'!M31</f>
        <v>501025376</v>
      </c>
      <c r="S30" s="128"/>
    </row>
    <row r="31" spans="1:19" ht="12.75" customHeight="1" x14ac:dyDescent="0.25">
      <c r="A31" s="108" t="str">
        <f t="shared" si="9"/>
        <v>Finance and administration</v>
      </c>
      <c r="B31" s="129"/>
      <c r="C31" s="111">
        <v>103853228.31</v>
      </c>
      <c r="D31" s="111">
        <v>92904900.75333333</v>
      </c>
      <c r="E31" s="111">
        <v>100930315.33</v>
      </c>
      <c r="F31" s="111">
        <v>98887687</v>
      </c>
      <c r="G31" s="111">
        <v>97035283.329999998</v>
      </c>
      <c r="H31" s="556">
        <v>110068730.33333331</v>
      </c>
      <c r="I31" s="557">
        <v>64564836.635898292</v>
      </c>
      <c r="J31" s="111">
        <v>81040924.404517353</v>
      </c>
      <c r="K31" s="111">
        <v>33614216.620863557</v>
      </c>
      <c r="L31" s="111">
        <v>48726240.524317205</v>
      </c>
      <c r="M31" s="111">
        <v>90693870.958025545</v>
      </c>
      <c r="N31" s="508">
        <f t="shared" si="11"/>
        <v>-29719517.200288653</v>
      </c>
      <c r="O31" s="540">
        <f t="shared" si="12"/>
        <v>892600717</v>
      </c>
      <c r="P31" s="240">
        <f>'B2-FinPerf SC'!K32</f>
        <v>892600717</v>
      </c>
      <c r="Q31" s="75">
        <f>'B2-FinPerf SC'!L32</f>
        <v>854353140.66491413</v>
      </c>
      <c r="R31" s="76">
        <f>'B2-FinPerf SC'!M32</f>
        <v>881590835.79147959</v>
      </c>
      <c r="S31" s="128"/>
    </row>
    <row r="32" spans="1:19" ht="12.75" customHeight="1" x14ac:dyDescent="0.25">
      <c r="A32" s="108" t="str">
        <f t="shared" si="9"/>
        <v>Internal audit</v>
      </c>
      <c r="B32" s="129"/>
      <c r="C32" s="109">
        <v>583208.57999999996</v>
      </c>
      <c r="D32" s="109">
        <v>583208.57999999996</v>
      </c>
      <c r="E32" s="109">
        <v>707895</v>
      </c>
      <c r="F32" s="109">
        <v>830229</v>
      </c>
      <c r="G32" s="109">
        <v>1448023</v>
      </c>
      <c r="H32" s="381">
        <v>915837</v>
      </c>
      <c r="I32" s="382">
        <v>955487.91867339413</v>
      </c>
      <c r="J32" s="109">
        <v>903337.9290042842</v>
      </c>
      <c r="K32" s="109">
        <v>941419.79758858378</v>
      </c>
      <c r="L32" s="109">
        <v>943077.62701911724</v>
      </c>
      <c r="M32" s="109">
        <v>957397.48341963568</v>
      </c>
      <c r="N32" s="508">
        <f t="shared" si="11"/>
        <v>1978741.0842949841</v>
      </c>
      <c r="O32" s="540">
        <f t="shared" si="12"/>
        <v>11747863</v>
      </c>
      <c r="P32" s="240">
        <f>'B2-FinPerf SC'!K33</f>
        <v>11747863</v>
      </c>
      <c r="Q32" s="75">
        <f>'B2-FinPerf SC'!L33</f>
        <v>12427963</v>
      </c>
      <c r="R32" s="76">
        <f>'B2-FinPerf SC'!M33</f>
        <v>13105994</v>
      </c>
      <c r="S32" s="128"/>
    </row>
    <row r="33" spans="1:19" ht="12.75" customHeight="1" x14ac:dyDescent="0.25">
      <c r="A33" s="107" t="str">
        <f t="shared" si="9"/>
        <v>Community and public safety</v>
      </c>
      <c r="B33" s="129"/>
      <c r="C33" s="257">
        <f t="shared" ref="C33:M33" si="13">SUM(C34:C38)</f>
        <v>17010830.09</v>
      </c>
      <c r="D33" s="257">
        <f t="shared" si="13"/>
        <v>18097325</v>
      </c>
      <c r="E33" s="257">
        <f t="shared" si="13"/>
        <v>20936703</v>
      </c>
      <c r="F33" s="257">
        <f t="shared" si="13"/>
        <v>17567508</v>
      </c>
      <c r="G33" s="257">
        <f t="shared" si="13"/>
        <v>18116441</v>
      </c>
      <c r="H33" s="703">
        <f t="shared" si="13"/>
        <v>18234212</v>
      </c>
      <c r="I33" s="704">
        <f t="shared" si="13"/>
        <v>22950371.534252275</v>
      </c>
      <c r="J33" s="257">
        <f t="shared" si="13"/>
        <v>21697753.248847663</v>
      </c>
      <c r="K33" s="257">
        <f t="shared" si="13"/>
        <v>22612461.865929604</v>
      </c>
      <c r="L33" s="257">
        <f t="shared" si="13"/>
        <v>22652282.151071444</v>
      </c>
      <c r="M33" s="257">
        <f t="shared" si="13"/>
        <v>22996238.383574452</v>
      </c>
      <c r="N33" s="516">
        <f t="shared" si="11"/>
        <v>72084391.726324588</v>
      </c>
      <c r="O33" s="555">
        <f t="shared" si="12"/>
        <v>294956518</v>
      </c>
      <c r="P33" s="476">
        <f>'B2-FinPerf SC'!K34</f>
        <v>294956518</v>
      </c>
      <c r="Q33" s="141">
        <f>'B2-FinPerf SC'!L34</f>
        <v>298225734</v>
      </c>
      <c r="R33" s="142">
        <f>'B2-FinPerf SC'!M34</f>
        <v>314843642</v>
      </c>
      <c r="S33" s="128"/>
    </row>
    <row r="34" spans="1:19" ht="12.75" customHeight="1" x14ac:dyDescent="0.25">
      <c r="A34" s="108" t="str">
        <f t="shared" si="9"/>
        <v>Community and social services</v>
      </c>
      <c r="B34" s="129"/>
      <c r="C34" s="109">
        <v>5467028.0300000003</v>
      </c>
      <c r="D34" s="109">
        <v>5070712</v>
      </c>
      <c r="E34" s="109">
        <v>5589748</v>
      </c>
      <c r="F34" s="109">
        <v>4010704</v>
      </c>
      <c r="G34" s="109">
        <v>4768206</v>
      </c>
      <c r="H34" s="381">
        <v>4759274</v>
      </c>
      <c r="I34" s="382">
        <v>5776096.604551292</v>
      </c>
      <c r="J34" s="109">
        <v>5460840.521906781</v>
      </c>
      <c r="K34" s="109">
        <v>5691052.2781476574</v>
      </c>
      <c r="L34" s="109">
        <v>5701074.1557219168</v>
      </c>
      <c r="M34" s="109">
        <v>5787640.2674604477</v>
      </c>
      <c r="N34" s="508">
        <f t="shared" si="11"/>
        <v>21949991.142211899</v>
      </c>
      <c r="O34" s="540">
        <f t="shared" si="12"/>
        <v>80032367</v>
      </c>
      <c r="P34" s="240">
        <f>'B2-FinPerf SC'!K35</f>
        <v>80032367</v>
      </c>
      <c r="Q34" s="75">
        <f>'B2-FinPerf SC'!L35</f>
        <v>74302861</v>
      </c>
      <c r="R34" s="76">
        <f>'B2-FinPerf SC'!M35</f>
        <v>78507478</v>
      </c>
      <c r="S34" s="128"/>
    </row>
    <row r="35" spans="1:19" ht="12.75" customHeight="1" x14ac:dyDescent="0.25">
      <c r="A35" s="108" t="str">
        <f t="shared" si="9"/>
        <v>Sport and recreation</v>
      </c>
      <c r="B35" s="129"/>
      <c r="C35" s="109">
        <v>5922586.0799999991</v>
      </c>
      <c r="D35" s="109">
        <v>6695302</v>
      </c>
      <c r="E35" s="109">
        <v>9372417</v>
      </c>
      <c r="F35" s="109">
        <v>7592876</v>
      </c>
      <c r="G35" s="109">
        <v>7521975</v>
      </c>
      <c r="H35" s="381">
        <v>7767730</v>
      </c>
      <c r="I35" s="382">
        <v>11221252.678206069</v>
      </c>
      <c r="J35" s="109">
        <v>10608803.059737425</v>
      </c>
      <c r="K35" s="109">
        <v>11056036.626474686</v>
      </c>
      <c r="L35" s="109">
        <v>11075506.179750891</v>
      </c>
      <c r="M35" s="109">
        <v>11243678.611704759</v>
      </c>
      <c r="N35" s="508">
        <f t="shared" si="11"/>
        <v>40645713.764126152</v>
      </c>
      <c r="O35" s="540">
        <f t="shared" si="12"/>
        <v>140723877</v>
      </c>
      <c r="P35" s="240">
        <f>'B2-FinPerf SC'!K36</f>
        <v>140723877</v>
      </c>
      <c r="Q35" s="75">
        <f>'B2-FinPerf SC'!L36</f>
        <v>146284904</v>
      </c>
      <c r="R35" s="76">
        <f>'B2-FinPerf SC'!M36</f>
        <v>154288416</v>
      </c>
      <c r="S35" s="128"/>
    </row>
    <row r="36" spans="1:19" ht="12.75" customHeight="1" x14ac:dyDescent="0.25">
      <c r="A36" s="108" t="str">
        <f t="shared" si="9"/>
        <v>Public safety</v>
      </c>
      <c r="B36" s="129"/>
      <c r="C36" s="109">
        <v>4527257.21</v>
      </c>
      <c r="D36" s="109">
        <v>4823648</v>
      </c>
      <c r="E36" s="109">
        <v>4739462</v>
      </c>
      <c r="F36" s="109">
        <v>4721983</v>
      </c>
      <c r="G36" s="109">
        <v>4609638</v>
      </c>
      <c r="H36" s="381">
        <v>4534586</v>
      </c>
      <c r="I36" s="382">
        <v>4447284.9987115422</v>
      </c>
      <c r="J36" s="109">
        <v>4204554.7012312748</v>
      </c>
      <c r="K36" s="109">
        <v>4381805.422635478</v>
      </c>
      <c r="L36" s="109">
        <v>4389521.7315628268</v>
      </c>
      <c r="M36" s="109">
        <v>4456173.0008349167</v>
      </c>
      <c r="N36" s="508">
        <f t="shared" si="11"/>
        <v>5668253.935023956</v>
      </c>
      <c r="O36" s="540">
        <f t="shared" si="12"/>
        <v>55504168</v>
      </c>
      <c r="P36" s="240">
        <f>'B2-FinPerf SC'!K37</f>
        <v>55504168</v>
      </c>
      <c r="Q36" s="75">
        <f>'B2-FinPerf SC'!L37</f>
        <v>57998411</v>
      </c>
      <c r="R36" s="76">
        <f>'B2-FinPerf SC'!M37</f>
        <v>61295389</v>
      </c>
      <c r="S36" s="128"/>
    </row>
    <row r="37" spans="1:19" ht="12.75" customHeight="1" x14ac:dyDescent="0.25">
      <c r="A37" s="108" t="str">
        <f t="shared" si="9"/>
        <v>Housing</v>
      </c>
      <c r="B37" s="129"/>
      <c r="C37" s="109">
        <v>734541.49999999988</v>
      </c>
      <c r="D37" s="109">
        <v>1081675</v>
      </c>
      <c r="E37" s="109">
        <v>841291</v>
      </c>
      <c r="F37" s="109">
        <v>769694</v>
      </c>
      <c r="G37" s="109">
        <v>771266</v>
      </c>
      <c r="H37" s="381">
        <v>795088</v>
      </c>
      <c r="I37" s="382">
        <v>937821.86534181668</v>
      </c>
      <c r="J37" s="109">
        <v>886636.07886222983</v>
      </c>
      <c r="K37" s="109">
        <v>924013.85029550479</v>
      </c>
      <c r="L37" s="109">
        <v>925641.02805314725</v>
      </c>
      <c r="M37" s="109">
        <v>939696.12407111342</v>
      </c>
      <c r="N37" s="508">
        <f t="shared" si="11"/>
        <v>2063883.5533761866</v>
      </c>
      <c r="O37" s="540">
        <f t="shared" si="12"/>
        <v>11671248</v>
      </c>
      <c r="P37" s="240">
        <f>'B2-FinPerf SC'!K38</f>
        <v>11671248</v>
      </c>
      <c r="Q37" s="75">
        <f>'B2-FinPerf SC'!L38</f>
        <v>12230382</v>
      </c>
      <c r="R37" s="76">
        <f>'B2-FinPerf SC'!M38</f>
        <v>12921829</v>
      </c>
      <c r="S37" s="128"/>
    </row>
    <row r="38" spans="1:19" ht="12.75" customHeight="1" x14ac:dyDescent="0.25">
      <c r="A38" s="108" t="str">
        <f t="shared" si="9"/>
        <v>Health</v>
      </c>
      <c r="B38" s="129"/>
      <c r="C38" s="111">
        <v>359417.27</v>
      </c>
      <c r="D38" s="111">
        <v>425988</v>
      </c>
      <c r="E38" s="111">
        <v>393785</v>
      </c>
      <c r="F38" s="111">
        <v>472251</v>
      </c>
      <c r="G38" s="111">
        <v>445356</v>
      </c>
      <c r="H38" s="556">
        <v>377534</v>
      </c>
      <c r="I38" s="557">
        <v>567915.38744155539</v>
      </c>
      <c r="J38" s="111">
        <v>536918.88710994902</v>
      </c>
      <c r="K38" s="111">
        <v>559553.68837627838</v>
      </c>
      <c r="L38" s="111">
        <v>560539.05598266376</v>
      </c>
      <c r="M38" s="111">
        <v>569050.37950321555</v>
      </c>
      <c r="N38" s="508">
        <f t="shared" si="11"/>
        <v>1756549.3315863376</v>
      </c>
      <c r="O38" s="540"/>
      <c r="P38" s="240">
        <f>'B2-FinPerf SC'!K39</f>
        <v>7024858</v>
      </c>
      <c r="Q38" s="75">
        <f>'B2-FinPerf SC'!L39</f>
        <v>7409176</v>
      </c>
      <c r="R38" s="76">
        <f>'B2-FinPerf SC'!M39</f>
        <v>7830530</v>
      </c>
      <c r="S38" s="128"/>
    </row>
    <row r="39" spans="1:19" ht="12.75" customHeight="1" x14ac:dyDescent="0.25">
      <c r="A39" s="107" t="str">
        <f t="shared" si="9"/>
        <v>Economic and environmental services</v>
      </c>
      <c r="B39" s="129"/>
      <c r="C39" s="257">
        <f t="shared" ref="C39:M39" si="14">SUM(C40:C42)</f>
        <v>21691783.93</v>
      </c>
      <c r="D39" s="257">
        <f t="shared" si="14"/>
        <v>26449203</v>
      </c>
      <c r="E39" s="257">
        <f t="shared" si="14"/>
        <v>33159593</v>
      </c>
      <c r="F39" s="257">
        <f t="shared" si="14"/>
        <v>33591185</v>
      </c>
      <c r="G39" s="257">
        <f t="shared" si="14"/>
        <v>34970389</v>
      </c>
      <c r="H39" s="703">
        <f t="shared" si="14"/>
        <v>42238930</v>
      </c>
      <c r="I39" s="704">
        <f t="shared" si="14"/>
        <v>41350868.500458635</v>
      </c>
      <c r="J39" s="257">
        <f t="shared" si="14"/>
        <v>39093961.507744722</v>
      </c>
      <c r="K39" s="257">
        <f t="shared" si="14"/>
        <v>40742039.216845922</v>
      </c>
      <c r="L39" s="257">
        <f t="shared" si="14"/>
        <v>40813785.479083702</v>
      </c>
      <c r="M39" s="257">
        <f t="shared" si="14"/>
        <v>41433509.169348069</v>
      </c>
      <c r="N39" s="516">
        <f t="shared" si="11"/>
        <v>187579072.19651896</v>
      </c>
      <c r="O39" s="555"/>
      <c r="P39" s="476">
        <f>'B2-FinPerf SC'!K40</f>
        <v>583114320</v>
      </c>
      <c r="Q39" s="141">
        <f>'B2-FinPerf SC'!L40</f>
        <v>531224413</v>
      </c>
      <c r="R39" s="142">
        <f>'B2-FinPerf SC'!M40</f>
        <v>559303466</v>
      </c>
      <c r="S39" s="128"/>
    </row>
    <row r="40" spans="1:19" ht="12.75" customHeight="1" x14ac:dyDescent="0.25">
      <c r="A40" s="108" t="str">
        <f t="shared" si="9"/>
        <v>Planning and development</v>
      </c>
      <c r="B40" s="129"/>
      <c r="C40" s="109">
        <v>5066569.0299999993</v>
      </c>
      <c r="D40" s="109">
        <v>8227495</v>
      </c>
      <c r="E40" s="109">
        <v>5813877</v>
      </c>
      <c r="F40" s="109">
        <v>9539853</v>
      </c>
      <c r="G40" s="109">
        <v>7802805</v>
      </c>
      <c r="H40" s="381">
        <v>11004575</v>
      </c>
      <c r="I40" s="382">
        <v>9348546.6821722947</v>
      </c>
      <c r="J40" s="109">
        <v>8838308.2967687808</v>
      </c>
      <c r="K40" s="109">
        <v>9210903.4068136699</v>
      </c>
      <c r="L40" s="109">
        <v>9227123.701722201</v>
      </c>
      <c r="M40" s="109">
        <v>9367229.9693431631</v>
      </c>
      <c r="N40" s="508">
        <f t="shared" si="11"/>
        <v>18789840.913179874</v>
      </c>
      <c r="O40" s="540"/>
      <c r="P40" s="240">
        <f>'B2-FinPerf SC'!K41</f>
        <v>112237127</v>
      </c>
      <c r="Q40" s="75">
        <f>'B2-FinPerf SC'!L41</f>
        <v>121725928</v>
      </c>
      <c r="R40" s="76">
        <f>'B2-FinPerf SC'!M41</f>
        <v>128272547</v>
      </c>
      <c r="S40" s="128"/>
    </row>
    <row r="41" spans="1:19" ht="12.75" customHeight="1" x14ac:dyDescent="0.25">
      <c r="A41" s="108" t="str">
        <f t="shared" si="9"/>
        <v>Road transport</v>
      </c>
      <c r="B41" s="129"/>
      <c r="C41" s="109">
        <v>15588266.150000002</v>
      </c>
      <c r="D41" s="109">
        <v>16965134</v>
      </c>
      <c r="E41" s="109">
        <v>25866301</v>
      </c>
      <c r="F41" s="109">
        <v>22741720</v>
      </c>
      <c r="G41" s="109">
        <v>25881785</v>
      </c>
      <c r="H41" s="381">
        <v>28866960</v>
      </c>
      <c r="I41" s="382">
        <v>29967577.643241871</v>
      </c>
      <c r="J41" s="109">
        <v>28331964.221072044</v>
      </c>
      <c r="K41" s="109">
        <v>29526350.179592807</v>
      </c>
      <c r="L41" s="109">
        <v>29578345.742496144</v>
      </c>
      <c r="M41" s="109">
        <v>30027468.541577078</v>
      </c>
      <c r="N41" s="508">
        <f t="shared" si="11"/>
        <v>162956936.52202004</v>
      </c>
      <c r="O41" s="540"/>
      <c r="P41" s="240">
        <f>'B2-FinPerf SC'!K42</f>
        <v>446298809</v>
      </c>
      <c r="Q41" s="75">
        <f>'B2-FinPerf SC'!L42</f>
        <v>385551618</v>
      </c>
      <c r="R41" s="76">
        <f>'B2-FinPerf SC'!M42</f>
        <v>405768830</v>
      </c>
      <c r="S41" s="128"/>
    </row>
    <row r="42" spans="1:19" ht="12.75" customHeight="1" x14ac:dyDescent="0.25">
      <c r="A42" s="108" t="str">
        <f t="shared" si="9"/>
        <v>Environmental protection</v>
      </c>
      <c r="B42" s="129"/>
      <c r="C42" s="109">
        <v>1036948.7499999999</v>
      </c>
      <c r="D42" s="109">
        <v>1256574</v>
      </c>
      <c r="E42" s="109">
        <v>1479415</v>
      </c>
      <c r="F42" s="109">
        <v>1309612</v>
      </c>
      <c r="G42" s="109">
        <v>1285799</v>
      </c>
      <c r="H42" s="381">
        <v>2367395</v>
      </c>
      <c r="I42" s="382">
        <v>2034744.175044466</v>
      </c>
      <c r="J42" s="109">
        <v>1923688.989903897</v>
      </c>
      <c r="K42" s="109">
        <v>2004785.6304394423</v>
      </c>
      <c r="L42" s="109">
        <v>2008316.0348653595</v>
      </c>
      <c r="M42" s="109">
        <v>2038810.6584278245</v>
      </c>
      <c r="N42" s="508">
        <f t="shared" si="11"/>
        <v>5832294.7613190114</v>
      </c>
      <c r="O42" s="540"/>
      <c r="P42" s="240">
        <f>'B2-FinPerf SC'!K43</f>
        <v>24578384</v>
      </c>
      <c r="Q42" s="75">
        <f>'B2-FinPerf SC'!L43</f>
        <v>23946867</v>
      </c>
      <c r="R42" s="76">
        <f>'B2-FinPerf SC'!M43</f>
        <v>25262089</v>
      </c>
      <c r="S42" s="128"/>
    </row>
    <row r="43" spans="1:19" ht="12.75" customHeight="1" x14ac:dyDescent="0.25">
      <c r="A43" s="107" t="str">
        <f t="shared" si="9"/>
        <v>Trading services</v>
      </c>
      <c r="B43" s="129"/>
      <c r="C43" s="257">
        <f>SUM(C44:C47)</f>
        <v>135409571.03</v>
      </c>
      <c r="D43" s="257">
        <f t="shared" ref="D43:M43" si="15">SUM(D44:D47)</f>
        <v>177267973</v>
      </c>
      <c r="E43" s="257">
        <f t="shared" si="15"/>
        <v>129055393</v>
      </c>
      <c r="F43" s="257">
        <f t="shared" si="15"/>
        <v>112384198</v>
      </c>
      <c r="G43" s="257">
        <f t="shared" si="15"/>
        <v>124261133</v>
      </c>
      <c r="H43" s="703">
        <f t="shared" si="15"/>
        <v>135587157</v>
      </c>
      <c r="I43" s="704">
        <f t="shared" si="15"/>
        <v>137312910.1673182</v>
      </c>
      <c r="J43" s="257">
        <f t="shared" si="15"/>
        <v>109818449.26758932</v>
      </c>
      <c r="K43" s="257">
        <f t="shared" si="15"/>
        <v>165291184.29408732</v>
      </c>
      <c r="L43" s="257">
        <f t="shared" si="15"/>
        <v>150529430.51281881</v>
      </c>
      <c r="M43" s="257">
        <f t="shared" si="15"/>
        <v>111587333.20013198</v>
      </c>
      <c r="N43" s="516">
        <f>P43-SUM(C43:M43)</f>
        <v>235732935.52805448</v>
      </c>
      <c r="O43" s="555">
        <f>SUM(C43:N43)</f>
        <v>1724237668</v>
      </c>
      <c r="P43" s="476">
        <f>'B2-FinPerf SC'!K44</f>
        <v>1724237668</v>
      </c>
      <c r="Q43" s="141">
        <f>'B2-FinPerf SC'!L44</f>
        <v>1791531457.125</v>
      </c>
      <c r="R43" s="142">
        <f>'B2-FinPerf SC'!M44</f>
        <v>1910997899.038125</v>
      </c>
      <c r="S43" s="128"/>
    </row>
    <row r="44" spans="1:19" ht="12.75" customHeight="1" x14ac:dyDescent="0.25">
      <c r="A44" s="108" t="str">
        <f t="shared" si="9"/>
        <v>Energy sources</v>
      </c>
      <c r="B44" s="129"/>
      <c r="C44" s="109">
        <v>104112780.43000002</v>
      </c>
      <c r="D44" s="109">
        <v>99738972</v>
      </c>
      <c r="E44" s="109">
        <v>78175327</v>
      </c>
      <c r="F44" s="109">
        <v>67823769</v>
      </c>
      <c r="G44" s="109">
        <v>67338019</v>
      </c>
      <c r="H44" s="381">
        <v>69565959</v>
      </c>
      <c r="I44" s="382">
        <v>85753250.555621758</v>
      </c>
      <c r="J44" s="109">
        <f>81072886.687937-20000000</f>
        <v>61072886.687937006</v>
      </c>
      <c r="K44" s="109">
        <f>84490663.0454547+20000000</f>
        <v>104490663.0454547</v>
      </c>
      <c r="L44" s="109">
        <f>84639450.1308345+10000000</f>
        <v>94639450.130834505</v>
      </c>
      <c r="M44" s="109">
        <f>85924630.41395-26000000</f>
        <v>59924630.413949996</v>
      </c>
      <c r="N44" s="508">
        <f t="shared" si="11"/>
        <v>72806406.736202002</v>
      </c>
      <c r="O44" s="540">
        <f>SUM(C44:N44)</f>
        <v>965442114</v>
      </c>
      <c r="P44" s="240">
        <f>'B2-FinPerf SC'!K45</f>
        <v>965442114</v>
      </c>
      <c r="Q44" s="75">
        <f>'B2-FinPerf SC'!L45</f>
        <v>1071910646.65</v>
      </c>
      <c r="R44" s="76">
        <f>'B2-FinPerf SC'!M45</f>
        <v>1129760176.2472501</v>
      </c>
      <c r="S44" s="128"/>
    </row>
    <row r="45" spans="1:19" ht="12.75" customHeight="1" x14ac:dyDescent="0.25">
      <c r="A45" s="108" t="str">
        <f t="shared" si="9"/>
        <v>Water management</v>
      </c>
      <c r="B45" s="129"/>
      <c r="C45" s="109">
        <v>25073481.759999976</v>
      </c>
      <c r="D45" s="109">
        <v>54938761</v>
      </c>
      <c r="E45" s="109">
        <v>35317974</v>
      </c>
      <c r="F45" s="109">
        <v>30888648</v>
      </c>
      <c r="G45" s="109">
        <v>34506078</v>
      </c>
      <c r="H45" s="381">
        <v>45386041</v>
      </c>
      <c r="I45" s="382">
        <v>38634526.430712678</v>
      </c>
      <c r="J45" s="109">
        <v>36525875.850357912</v>
      </c>
      <c r="K45" s="109">
        <f>38065691.194537+10000000</f>
        <v>48065691.194536999</v>
      </c>
      <c r="L45" s="109">
        <f>38132724.4387045+5000000</f>
        <v>43132724.438704498</v>
      </c>
      <c r="M45" s="109">
        <v>38711738.427032061</v>
      </c>
      <c r="N45" s="508">
        <f t="shared" si="11"/>
        <v>133749911.89865589</v>
      </c>
      <c r="O45" s="540"/>
      <c r="P45" s="240">
        <f>'B2-FinPerf SC'!K46</f>
        <v>564931452</v>
      </c>
      <c r="Q45" s="75">
        <f>'B2-FinPerf SC'!L46</f>
        <v>532778248.47500002</v>
      </c>
      <c r="R45" s="76">
        <f>'B2-FinPerf SC'!M46</f>
        <v>564272918.79087496</v>
      </c>
      <c r="S45" s="128"/>
    </row>
    <row r="46" spans="1:19" ht="12.75" customHeight="1" x14ac:dyDescent="0.25">
      <c r="A46" s="108" t="str">
        <f t="shared" si="9"/>
        <v>Waste water management</v>
      </c>
      <c r="B46" s="129"/>
      <c r="C46" s="111">
        <v>22414.91</v>
      </c>
      <c r="D46" s="111">
        <v>12739354</v>
      </c>
      <c r="E46" s="111">
        <v>3203496</v>
      </c>
      <c r="F46" s="111">
        <v>2433297</v>
      </c>
      <c r="G46" s="111">
        <v>9973865</v>
      </c>
      <c r="H46" s="556">
        <v>6542846</v>
      </c>
      <c r="I46" s="557">
        <v>4113823.5371898664</v>
      </c>
      <c r="J46" s="111">
        <v>3889293.3774963184</v>
      </c>
      <c r="K46" s="111">
        <v>4053253.6790978014</v>
      </c>
      <c r="L46" s="111">
        <v>4060391.4121854613</v>
      </c>
      <c r="M46" s="111">
        <v>4122045.108855349</v>
      </c>
      <c r="N46" s="508">
        <f t="shared" si="11"/>
        <v>887186.97517520934</v>
      </c>
      <c r="O46" s="540"/>
      <c r="P46" s="240">
        <f>'B2-FinPerf SC'!K47</f>
        <v>56041267</v>
      </c>
      <c r="Q46" s="75">
        <f>'B2-FinPerf SC'!L47</f>
        <v>71487949</v>
      </c>
      <c r="R46" s="76">
        <f>'B2-FinPerf SC'!M47</f>
        <v>95563173</v>
      </c>
      <c r="S46" s="128"/>
    </row>
    <row r="47" spans="1:19" ht="12.75" customHeight="1" x14ac:dyDescent="0.25">
      <c r="A47" s="108" t="str">
        <f t="shared" si="9"/>
        <v>Waste management</v>
      </c>
      <c r="B47" s="129"/>
      <c r="C47" s="109">
        <v>6200893.9299999988</v>
      </c>
      <c r="D47" s="109">
        <v>9850886</v>
      </c>
      <c r="E47" s="109">
        <v>12358596</v>
      </c>
      <c r="F47" s="109">
        <v>11238484</v>
      </c>
      <c r="G47" s="109">
        <v>12443171</v>
      </c>
      <c r="H47" s="381">
        <v>14092311</v>
      </c>
      <c r="I47" s="382">
        <v>8811309.6437938791</v>
      </c>
      <c r="J47" s="109">
        <v>8330393.3517980929</v>
      </c>
      <c r="K47" s="109">
        <v>8681576.3749978133</v>
      </c>
      <c r="L47" s="109">
        <v>8696864.5310943387</v>
      </c>
      <c r="M47" s="109">
        <v>8828919.2502945736</v>
      </c>
      <c r="N47" s="508">
        <f t="shared" si="11"/>
        <v>28289429.918021321</v>
      </c>
      <c r="O47" s="540"/>
      <c r="P47" s="240">
        <f>'B2-FinPerf SC'!K48</f>
        <v>137822835</v>
      </c>
      <c r="Q47" s="75">
        <f>'B2-FinPerf SC'!L48</f>
        <v>115354613</v>
      </c>
      <c r="R47" s="76">
        <f>'B2-FinPerf SC'!M48</f>
        <v>121401631</v>
      </c>
      <c r="S47" s="128"/>
    </row>
    <row r="48" spans="1:19" ht="12.75" customHeight="1" x14ac:dyDescent="0.25">
      <c r="A48" s="107" t="str">
        <f t="shared" si="9"/>
        <v>Other</v>
      </c>
      <c r="B48" s="129"/>
      <c r="C48" s="109">
        <v>0</v>
      </c>
      <c r="D48" s="109">
        <v>0</v>
      </c>
      <c r="E48" s="810">
        <v>0</v>
      </c>
      <c r="F48" s="810">
        <v>0</v>
      </c>
      <c r="G48" s="810">
        <v>0</v>
      </c>
      <c r="H48" s="878">
        <v>0</v>
      </c>
      <c r="I48" s="879">
        <v>0</v>
      </c>
      <c r="J48" s="810">
        <v>0</v>
      </c>
      <c r="K48" s="810">
        <v>0</v>
      </c>
      <c r="L48" s="810">
        <v>0</v>
      </c>
      <c r="M48" s="810">
        <v>0</v>
      </c>
      <c r="N48" s="516">
        <f t="shared" si="11"/>
        <v>0</v>
      </c>
      <c r="O48" s="555"/>
      <c r="P48" s="476">
        <f>'B2-FinPerf SC'!K49</f>
        <v>0</v>
      </c>
      <c r="Q48" s="141">
        <f>'B2-FinPerf SC'!L49</f>
        <v>0</v>
      </c>
      <c r="R48" s="142">
        <f>'B2-FinPerf SC'!M49</f>
        <v>0</v>
      </c>
      <c r="S48" s="128"/>
    </row>
    <row r="49" spans="1:19" ht="12.75" customHeight="1" x14ac:dyDescent="0.25">
      <c r="A49" s="162" t="s">
        <v>1568</v>
      </c>
      <c r="B49" s="162"/>
      <c r="C49" s="114">
        <f>C29+C33+C39+C43+C48</f>
        <v>306995247.06999999</v>
      </c>
      <c r="D49" s="114">
        <f>D29+D33+D39+D43+D48</f>
        <v>322279709.33333331</v>
      </c>
      <c r="E49" s="680">
        <f>E29+E33+E39+E43+E48</f>
        <v>286659599.32999998</v>
      </c>
      <c r="F49" s="680">
        <f t="shared" ref="F49:R49" si="16">F29+F33+F39+F43+F48</f>
        <v>272398507</v>
      </c>
      <c r="G49" s="680">
        <f t="shared" si="16"/>
        <v>286350331.32999998</v>
      </c>
      <c r="H49" s="684">
        <f t="shared" si="16"/>
        <v>320747013.33333331</v>
      </c>
      <c r="I49" s="677">
        <f t="shared" si="16"/>
        <v>298494539.75891906</v>
      </c>
      <c r="J49" s="680">
        <f t="shared" si="16"/>
        <v>282202876.76612478</v>
      </c>
      <c r="K49" s="680">
        <f t="shared" si="16"/>
        <v>294099657.05405611</v>
      </c>
      <c r="L49" s="680">
        <f t="shared" si="16"/>
        <v>294617563.16589153</v>
      </c>
      <c r="M49" s="680">
        <f>M29+M33+M39+M43+M48</f>
        <v>299091088.01340729</v>
      </c>
      <c r="N49" s="685">
        <f t="shared" si="16"/>
        <v>649832064.84493458</v>
      </c>
      <c r="O49" s="686">
        <f t="shared" si="16"/>
        <v>3330653877</v>
      </c>
      <c r="P49" s="677">
        <f t="shared" si="16"/>
        <v>3913768197</v>
      </c>
      <c r="Q49" s="678">
        <f t="shared" si="16"/>
        <v>3931506797.7899141</v>
      </c>
      <c r="R49" s="679">
        <f t="shared" si="16"/>
        <v>4180867212.8296046</v>
      </c>
      <c r="S49" s="128"/>
    </row>
    <row r="50" spans="1:19" ht="5.0999999999999996" customHeight="1" x14ac:dyDescent="0.25">
      <c r="A50" s="83"/>
      <c r="B50" s="129"/>
      <c r="C50" s="240"/>
      <c r="D50" s="75"/>
      <c r="E50" s="75"/>
      <c r="F50" s="75"/>
      <c r="G50" s="75"/>
      <c r="H50" s="508"/>
      <c r="I50" s="240"/>
      <c r="J50" s="75"/>
      <c r="K50" s="75"/>
      <c r="L50" s="75"/>
      <c r="M50" s="75"/>
      <c r="N50" s="508"/>
      <c r="O50" s="540"/>
      <c r="P50" s="240"/>
      <c r="Q50" s="75"/>
      <c r="R50" s="76"/>
      <c r="S50" s="128"/>
    </row>
    <row r="51" spans="1:19" ht="12.75" customHeight="1" x14ac:dyDescent="0.25">
      <c r="A51" s="155" t="s">
        <v>240</v>
      </c>
      <c r="B51" s="155"/>
      <c r="C51" s="116">
        <f t="shared" ref="C51:R51" si="17">C26-C49</f>
        <v>357769397.64000005</v>
      </c>
      <c r="D51" s="117">
        <f t="shared" si="17"/>
        <v>-71147510.742533326</v>
      </c>
      <c r="E51" s="117">
        <f t="shared" si="17"/>
        <v>7062750.3915500045</v>
      </c>
      <c r="F51" s="117">
        <f t="shared" si="17"/>
        <v>-15963356</v>
      </c>
      <c r="G51" s="117">
        <f t="shared" si="17"/>
        <v>-75164642.329999983</v>
      </c>
      <c r="H51" s="522">
        <f t="shared" si="17"/>
        <v>413945473.49716669</v>
      </c>
      <c r="I51" s="116">
        <f t="shared" si="17"/>
        <v>51729662.595296741</v>
      </c>
      <c r="J51" s="117">
        <f t="shared" si="17"/>
        <v>-10655380.482345641</v>
      </c>
      <c r="K51" s="117">
        <f t="shared" si="17"/>
        <v>105852165.12413543</v>
      </c>
      <c r="L51" s="117">
        <f t="shared" si="17"/>
        <v>57034040.757069826</v>
      </c>
      <c r="M51" s="117">
        <f t="shared" si="17"/>
        <v>-24291525.905870378</v>
      </c>
      <c r="N51" s="522">
        <f t="shared" si="17"/>
        <v>73208188.455530524</v>
      </c>
      <c r="O51" s="543">
        <f t="shared" si="17"/>
        <v>1452493583</v>
      </c>
      <c r="P51" s="116">
        <f t="shared" si="17"/>
        <v>869379263</v>
      </c>
      <c r="Q51" s="117">
        <f t="shared" si="17"/>
        <v>808246862.23523617</v>
      </c>
      <c r="R51" s="118">
        <f t="shared" si="17"/>
        <v>793471570.87607241</v>
      </c>
      <c r="S51" s="128"/>
    </row>
    <row r="52" spans="1:19" x14ac:dyDescent="0.25">
      <c r="A52" s="544" t="str">
        <f>head27a</f>
        <v>References</v>
      </c>
      <c r="B52" s="558"/>
      <c r="C52" s="545"/>
      <c r="D52" s="545"/>
      <c r="E52" s="545"/>
      <c r="F52" s="545"/>
      <c r="G52" s="545"/>
      <c r="H52" s="545"/>
      <c r="I52" s="545"/>
      <c r="J52" s="545"/>
      <c r="K52" s="545"/>
      <c r="L52" s="545"/>
      <c r="M52" s="545"/>
      <c r="N52" s="545"/>
      <c r="O52" s="545"/>
      <c r="P52" s="545"/>
      <c r="Q52" s="545"/>
      <c r="R52" s="545"/>
      <c r="S52" s="128"/>
    </row>
    <row r="53" spans="1:19" x14ac:dyDescent="0.25">
      <c r="A53" s="287" t="s">
        <v>241</v>
      </c>
    </row>
    <row r="54" spans="1:19" x14ac:dyDescent="0.25">
      <c r="A54" s="311"/>
      <c r="B54" s="311"/>
      <c r="P54" s="546"/>
      <c r="Q54" s="546"/>
      <c r="R54" s="546"/>
    </row>
    <row r="56" spans="1:19" x14ac:dyDescent="0.25">
      <c r="B56" s="128"/>
    </row>
  </sheetData>
  <sheetProtection sheet="1" objects="1" scenarios="1"/>
  <mergeCells count="3">
    <mergeCell ref="A2:A3"/>
    <mergeCell ref="B2:B3"/>
    <mergeCell ref="C2:N2"/>
  </mergeCells>
  <phoneticPr fontId="4" type="noConversion"/>
  <printOptions horizontalCentered="1"/>
  <pageMargins left="0.35433070866141736" right="0.17" top="0.78740157480314965" bottom="0.67" header="0.51181102362204722" footer="0.39370078740157483"/>
  <pageSetup paperSize="9" scale="77"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4">
    <tabColor indexed="42"/>
    <pageSetUpPr fitToPage="1"/>
  </sheetPr>
  <dimension ref="A1:R54"/>
  <sheetViews>
    <sheetView showGridLines="0" zoomScaleNormal="100" workbookViewId="0">
      <pane xSplit="2" ySplit="4" topLeftCell="C5" activePane="bottomRight" state="frozen"/>
      <selection activeCell="C6" sqref="C6"/>
      <selection pane="topRight" activeCell="C6" sqref="C6"/>
      <selection pane="bottomLeft" activeCell="C6" sqref="C6"/>
      <selection pane="bottomRight" activeCell="R42" sqref="C6:R42"/>
    </sheetView>
  </sheetViews>
  <sheetFormatPr defaultColWidth="9.140625" defaultRowHeight="12.75" x14ac:dyDescent="0.25"/>
  <cols>
    <col min="1" max="1" width="34.140625" style="5" customWidth="1"/>
    <col min="2" max="2" width="3.140625" style="5" customWidth="1"/>
    <col min="3" max="14" width="8.7109375" style="5" customWidth="1"/>
    <col min="15" max="15" width="8.7109375" style="5" hidden="1" customWidth="1"/>
    <col min="16" max="18" width="8.7109375" style="5" customWidth="1"/>
    <col min="19" max="16384" width="9.140625" style="5"/>
  </cols>
  <sheetData>
    <row r="1" spans="1:18" ht="13.5" x14ac:dyDescent="0.25">
      <c r="A1" s="57" t="str">
        <f>muni&amp;" - "&amp;ADJB14&amp;" - "&amp;Date</f>
        <v>LIM354 Polokwane - Supporting Table SB14 Adjustments Budget - monthly revenue and expenditure - 2020</v>
      </c>
      <c r="B1" s="57"/>
      <c r="D1" s="58"/>
    </row>
    <row r="2" spans="1:18" ht="25.5" x14ac:dyDescent="0.25">
      <c r="A2" s="1409" t="str">
        <f>desc</f>
        <v>Description</v>
      </c>
      <c r="B2" s="1406" t="str">
        <f>head27</f>
        <v>Ref</v>
      </c>
      <c r="C2" s="1403" t="str">
        <f>Head2</f>
        <v>Budget Year 2020/21</v>
      </c>
      <c r="D2" s="1404"/>
      <c r="E2" s="1404"/>
      <c r="F2" s="1404"/>
      <c r="G2" s="1404"/>
      <c r="H2" s="1404"/>
      <c r="I2" s="1404"/>
      <c r="J2" s="1404"/>
      <c r="K2" s="1404"/>
      <c r="L2" s="1404"/>
      <c r="M2" s="1404"/>
      <c r="N2" s="1405"/>
      <c r="O2" s="527"/>
      <c r="P2" s="528" t="s">
        <v>223</v>
      </c>
      <c r="Q2" s="529"/>
      <c r="R2" s="530"/>
    </row>
    <row r="3" spans="1:18" ht="38.25" x14ac:dyDescent="0.25">
      <c r="A3" s="1410"/>
      <c r="B3" s="1407"/>
      <c r="C3" s="452" t="s">
        <v>224</v>
      </c>
      <c r="D3" s="320" t="s">
        <v>225</v>
      </c>
      <c r="E3" s="320" t="s">
        <v>226</v>
      </c>
      <c r="F3" s="320" t="s">
        <v>227</v>
      </c>
      <c r="G3" s="320" t="s">
        <v>228</v>
      </c>
      <c r="H3" s="321" t="s">
        <v>229</v>
      </c>
      <c r="I3" s="531" t="s">
        <v>230</v>
      </c>
      <c r="J3" s="532" t="s">
        <v>231</v>
      </c>
      <c r="K3" s="320" t="s">
        <v>232</v>
      </c>
      <c r="L3" s="320" t="s">
        <v>233</v>
      </c>
      <c r="M3" s="533" t="s">
        <v>234</v>
      </c>
      <c r="N3" s="532" t="s">
        <v>235</v>
      </c>
      <c r="O3" s="534" t="s">
        <v>236</v>
      </c>
      <c r="P3" s="531" t="str">
        <f>Head9</f>
        <v>Budget Year 2020/21</v>
      </c>
      <c r="Q3" s="532" t="str">
        <f>Head10</f>
        <v>Budget Year +1 2021/22</v>
      </c>
      <c r="R3" s="322" t="str">
        <f>Head11</f>
        <v>Budget Year +2 2022/23</v>
      </c>
    </row>
    <row r="4" spans="1:18" ht="25.5" x14ac:dyDescent="0.25">
      <c r="A4" s="559" t="s">
        <v>603</v>
      </c>
      <c r="B4" s="104"/>
      <c r="C4" s="803" t="str">
        <f t="shared" ref="C4:H4" si="0">Head5A</f>
        <v>Outcome</v>
      </c>
      <c r="D4" s="804" t="str">
        <f t="shared" si="0"/>
        <v>Outcome</v>
      </c>
      <c r="E4" s="804" t="str">
        <f t="shared" si="0"/>
        <v>Outcome</v>
      </c>
      <c r="F4" s="804" t="str">
        <f t="shared" si="0"/>
        <v>Outcome</v>
      </c>
      <c r="G4" s="804" t="str">
        <f t="shared" si="0"/>
        <v>Outcome</v>
      </c>
      <c r="H4" s="805" t="str">
        <f t="shared" si="0"/>
        <v>Outcome</v>
      </c>
      <c r="I4" s="803" t="str">
        <f t="shared" ref="I4:N4" si="1">Head7</f>
        <v>Adjusted Budget</v>
      </c>
      <c r="J4" s="805" t="str">
        <f t="shared" si="1"/>
        <v>Adjusted Budget</v>
      </c>
      <c r="K4" s="804" t="str">
        <f t="shared" si="1"/>
        <v>Adjusted Budget</v>
      </c>
      <c r="L4" s="804" t="str">
        <f t="shared" si="1"/>
        <v>Adjusted Budget</v>
      </c>
      <c r="M4" s="804" t="str">
        <f t="shared" si="1"/>
        <v>Adjusted Budget</v>
      </c>
      <c r="N4" s="805" t="str">
        <f t="shared" si="1"/>
        <v>Adjusted Budget</v>
      </c>
      <c r="O4" s="536"/>
      <c r="P4" s="537" t="str">
        <f>Head7</f>
        <v>Adjusted Budget</v>
      </c>
      <c r="Q4" s="538" t="str">
        <f>Head7</f>
        <v>Adjusted Budget</v>
      </c>
      <c r="R4" s="539" t="str">
        <f>Head7</f>
        <v>Adjusted Budget</v>
      </c>
    </row>
    <row r="5" spans="1:18" ht="12.75" customHeight="1" x14ac:dyDescent="0.25">
      <c r="A5" s="560" t="s">
        <v>638</v>
      </c>
      <c r="B5" s="129"/>
      <c r="C5" s="240"/>
      <c r="D5" s="75"/>
      <c r="E5" s="75"/>
      <c r="F5" s="75"/>
      <c r="G5" s="75"/>
      <c r="H5" s="508"/>
      <c r="I5" s="240"/>
      <c r="J5" s="75"/>
      <c r="K5" s="75"/>
      <c r="L5" s="75"/>
      <c r="M5" s="75"/>
      <c r="N5" s="508"/>
      <c r="O5" s="540"/>
      <c r="P5" s="240"/>
      <c r="Q5" s="75"/>
      <c r="R5" s="76"/>
    </row>
    <row r="6" spans="1:18" ht="12.75" customHeight="1" x14ac:dyDescent="0.25">
      <c r="A6" s="85" t="str">
        <f>'B4-FinPerf RE'!A7</f>
        <v>Property rates</v>
      </c>
      <c r="B6" s="129"/>
      <c r="C6" s="382">
        <v>47425001.130000003</v>
      </c>
      <c r="D6" s="109">
        <v>37500842</v>
      </c>
      <c r="E6" s="109">
        <v>44047937</v>
      </c>
      <c r="F6" s="109">
        <v>45596625</v>
      </c>
      <c r="G6" s="109">
        <v>5212885</v>
      </c>
      <c r="H6" s="381">
        <v>42056958</v>
      </c>
      <c r="I6" s="382">
        <v>39336867.820300452</v>
      </c>
      <c r="J6" s="109">
        <v>30499970.865648471</v>
      </c>
      <c r="K6" s="109">
        <v>49414993.481290899</v>
      </c>
      <c r="L6" s="109">
        <v>47921124.91375538</v>
      </c>
      <c r="M6" s="109">
        <v>30865239.977811899</v>
      </c>
      <c r="N6" s="508">
        <f t="shared" ref="N6:N21" si="2">P6-SUM(C6:M6)</f>
        <v>106278353.81119299</v>
      </c>
      <c r="O6" s="540">
        <f t="shared" ref="O6:O21" si="3">SUM(C6:N6)</f>
        <v>526156799</v>
      </c>
      <c r="P6" s="240">
        <f>'B4-FinPerf RE'!K7</f>
        <v>526156799</v>
      </c>
      <c r="Q6" s="75">
        <f>'B4-FinPerf RE'!L7</f>
        <v>551412326.4000001</v>
      </c>
      <c r="R6" s="76">
        <f>'B4-FinPerf RE'!M7</f>
        <v>577880118.06720018</v>
      </c>
    </row>
    <row r="7" spans="1:18" ht="12.75" customHeight="1" x14ac:dyDescent="0.25">
      <c r="A7" s="85" t="str">
        <f>'B4-FinPerf RE'!A8</f>
        <v>Service charges - electricity revenue</v>
      </c>
      <c r="B7" s="129"/>
      <c r="C7" s="382">
        <v>67655886.590000004</v>
      </c>
      <c r="D7" s="109">
        <v>81397945</v>
      </c>
      <c r="E7" s="109">
        <v>106101337</v>
      </c>
      <c r="F7" s="109">
        <v>69644590</v>
      </c>
      <c r="G7" s="109">
        <v>94568627</v>
      </c>
      <c r="H7" s="381">
        <v>92380736</v>
      </c>
      <c r="I7" s="382">
        <v>92300381.544296309</v>
      </c>
      <c r="J7" s="109">
        <v>71565406.804871857</v>
      </c>
      <c r="K7" s="109">
        <v>115947786.51843429</v>
      </c>
      <c r="L7" s="109">
        <v>112442559.83413275</v>
      </c>
      <c r="M7" s="109">
        <v>72422477.545049906</v>
      </c>
      <c r="N7" s="508">
        <f t="shared" si="2"/>
        <v>258151328.1632148</v>
      </c>
      <c r="O7" s="540">
        <f t="shared" si="3"/>
        <v>1234579062</v>
      </c>
      <c r="P7" s="240">
        <f>'B4-FinPerf RE'!K8</f>
        <v>1234579062</v>
      </c>
      <c r="Q7" s="75">
        <f>'B4-FinPerf RE'!L8</f>
        <v>1370382759.2862</v>
      </c>
      <c r="R7" s="76">
        <f>'B4-FinPerf RE'!M8</f>
        <v>1521124862.8076823</v>
      </c>
    </row>
    <row r="8" spans="1:18" ht="12.75" customHeight="1" x14ac:dyDescent="0.25">
      <c r="A8" s="85" t="str">
        <f>'B4-FinPerf RE'!A9</f>
        <v>Service charges - water revenue</v>
      </c>
      <c r="B8" s="129"/>
      <c r="C8" s="382">
        <v>19096328.440000001</v>
      </c>
      <c r="D8" s="109">
        <v>18006570</v>
      </c>
      <c r="E8" s="109">
        <v>14195141</v>
      </c>
      <c r="F8" s="109">
        <v>15577262</v>
      </c>
      <c r="G8" s="109">
        <v>18654064</v>
      </c>
      <c r="H8" s="381">
        <v>17931709</v>
      </c>
      <c r="I8" s="382">
        <v>22170320.032804564</v>
      </c>
      <c r="J8" s="109">
        <v>17189831.131742533</v>
      </c>
      <c r="K8" s="109">
        <v>27850367.367932517</v>
      </c>
      <c r="L8" s="109">
        <v>27008420.714210436</v>
      </c>
      <c r="M8" s="109">
        <v>17395697.372841232</v>
      </c>
      <c r="N8" s="508">
        <f t="shared" si="2"/>
        <v>38467082.940468729</v>
      </c>
      <c r="O8" s="540">
        <f t="shared" si="3"/>
        <v>253542794</v>
      </c>
      <c r="P8" s="240">
        <f>'B4-FinPerf RE'!K9</f>
        <v>253542794</v>
      </c>
      <c r="Q8" s="75">
        <f>'B4-FinPerf RE'!L9</f>
        <v>310776846.8544001</v>
      </c>
      <c r="R8" s="76">
        <f>'B4-FinPerf RE'!M9</f>
        <v>325694135.50341123</v>
      </c>
    </row>
    <row r="9" spans="1:18" ht="12.75" customHeight="1" x14ac:dyDescent="0.25">
      <c r="A9" s="85" t="str">
        <f>'B4-FinPerf RE'!A10</f>
        <v>Service charges - sanitation revenue</v>
      </c>
      <c r="B9" s="129"/>
      <c r="C9" s="382">
        <v>9631949.4299999997</v>
      </c>
      <c r="D9" s="109">
        <v>9658589</v>
      </c>
      <c r="E9" s="109">
        <v>9736087</v>
      </c>
      <c r="F9" s="109">
        <v>7016132</v>
      </c>
      <c r="G9" s="109">
        <v>9676356</v>
      </c>
      <c r="H9" s="381">
        <v>9691990</v>
      </c>
      <c r="I9" s="382">
        <v>9487159.7793884613</v>
      </c>
      <c r="J9" s="109">
        <v>7355900.784753683</v>
      </c>
      <c r="K9" s="109">
        <v>11917774.968664629</v>
      </c>
      <c r="L9" s="109">
        <v>11557487.773091279</v>
      </c>
      <c r="M9" s="109">
        <v>7443995.4049303671</v>
      </c>
      <c r="N9" s="508">
        <f t="shared" si="2"/>
        <v>23723656.859171584</v>
      </c>
      <c r="O9" s="540">
        <f t="shared" si="3"/>
        <v>126897079</v>
      </c>
      <c r="P9" s="240">
        <f>'B4-FinPerf RE'!K10</f>
        <v>126897079</v>
      </c>
      <c r="Q9" s="75">
        <f>'B4-FinPerf RE'!L10</f>
        <v>132988138.9839936</v>
      </c>
      <c r="R9" s="76">
        <f>'B4-FinPerf RE'!M10</f>
        <v>139371569.65522528</v>
      </c>
    </row>
    <row r="10" spans="1:18" ht="12.75" customHeight="1" x14ac:dyDescent="0.25">
      <c r="A10" s="85" t="str">
        <f>'B4-FinPerf RE'!A11</f>
        <v>Service charges - refuse revenue</v>
      </c>
      <c r="B10" s="129"/>
      <c r="C10" s="382">
        <v>9958291.9600000009</v>
      </c>
      <c r="D10" s="109">
        <v>9968668</v>
      </c>
      <c r="E10" s="109">
        <v>13141695</v>
      </c>
      <c r="F10" s="109">
        <v>10217503</v>
      </c>
      <c r="G10" s="109">
        <v>10225065</v>
      </c>
      <c r="H10" s="381">
        <v>10155238</v>
      </c>
      <c r="I10" s="382">
        <v>9122204.896202242</v>
      </c>
      <c r="J10" s="109">
        <v>7072931.8062548051</v>
      </c>
      <c r="K10" s="109">
        <v>11459318.457688803</v>
      </c>
      <c r="L10" s="109">
        <v>11112890.897078028</v>
      </c>
      <c r="M10" s="109">
        <v>7157637.5763895866</v>
      </c>
      <c r="N10" s="508">
        <f t="shared" si="2"/>
        <v>12424120.406386539</v>
      </c>
      <c r="O10" s="540">
        <f t="shared" si="3"/>
        <v>122015565</v>
      </c>
      <c r="P10" s="240">
        <f>'B4-FinPerf RE'!K11</f>
        <v>122015565</v>
      </c>
      <c r="Q10" s="75">
        <f>'B4-FinPerf RE'!L11</f>
        <v>127872311.71253763</v>
      </c>
      <c r="R10" s="76">
        <f>'B4-FinPerf RE'!M11</f>
        <v>134010182.67473947</v>
      </c>
    </row>
    <row r="11" spans="1:18" ht="0.95" customHeight="1" x14ac:dyDescent="0.25">
      <c r="A11" s="85">
        <f>'B4-FinPerf RE'!A12</f>
        <v>0</v>
      </c>
      <c r="B11" s="129"/>
      <c r="C11" s="1122"/>
      <c r="D11" s="132"/>
      <c r="E11" s="132"/>
      <c r="F11" s="132"/>
      <c r="G11" s="132"/>
      <c r="H11" s="1326"/>
      <c r="I11" s="1122"/>
      <c r="J11" s="132"/>
      <c r="K11" s="132"/>
      <c r="L11" s="132"/>
      <c r="M11" s="132"/>
      <c r="N11" s="1326"/>
      <c r="O11" s="1327"/>
      <c r="P11" s="1122"/>
      <c r="Q11" s="132"/>
      <c r="R11" s="133"/>
    </row>
    <row r="12" spans="1:18" ht="12.75" customHeight="1" x14ac:dyDescent="0.25">
      <c r="A12" s="85" t="str">
        <f>'B4-FinPerf RE'!A13</f>
        <v>Rental of facilities and equipment</v>
      </c>
      <c r="B12" s="129"/>
      <c r="C12" s="382">
        <v>456829.42</v>
      </c>
      <c r="D12" s="109">
        <v>355865</v>
      </c>
      <c r="E12" s="109">
        <v>466273</v>
      </c>
      <c r="F12" s="109">
        <v>551682</v>
      </c>
      <c r="G12" s="109">
        <v>489936</v>
      </c>
      <c r="H12" s="381">
        <v>534896</v>
      </c>
      <c r="I12" s="382">
        <v>1896125.9081922183</v>
      </c>
      <c r="J12" s="109">
        <v>1470167.5085482744</v>
      </c>
      <c r="K12" s="109">
        <v>2381914.3359622373</v>
      </c>
      <c r="L12" s="109">
        <v>2309906.495702106</v>
      </c>
      <c r="M12" s="109">
        <v>1487774.3050578332</v>
      </c>
      <c r="N12" s="508">
        <f t="shared" si="2"/>
        <v>1960580.0265373308</v>
      </c>
      <c r="O12" s="540">
        <f t="shared" si="3"/>
        <v>14361950</v>
      </c>
      <c r="P12" s="240">
        <f>'B4-FinPerf RE'!K13</f>
        <v>14361950</v>
      </c>
      <c r="Q12" s="75">
        <f>'B4-FinPerf RE'!L13</f>
        <v>26579318</v>
      </c>
      <c r="R12" s="76">
        <f>'B4-FinPerf RE'!M13</f>
        <v>27855126</v>
      </c>
    </row>
    <row r="13" spans="1:18" ht="12.75" customHeight="1" x14ac:dyDescent="0.25">
      <c r="A13" s="85" t="str">
        <f>'B4-FinPerf RE'!A14</f>
        <v>Interest earned - external investments</v>
      </c>
      <c r="B13" s="129"/>
      <c r="C13" s="382">
        <v>0</v>
      </c>
      <c r="D13" s="109">
        <v>1322640</v>
      </c>
      <c r="E13" s="109">
        <v>2432046</v>
      </c>
      <c r="F13" s="109">
        <v>1901929</v>
      </c>
      <c r="G13" s="109">
        <v>764300</v>
      </c>
      <c r="H13" s="381">
        <v>692727</v>
      </c>
      <c r="I13" s="382">
        <v>977109.4043008812</v>
      </c>
      <c r="J13" s="109">
        <v>757605.01572899125</v>
      </c>
      <c r="K13" s="109">
        <v>1227445.3335890237</v>
      </c>
      <c r="L13" s="109">
        <v>1190338.3368449896</v>
      </c>
      <c r="M13" s="109">
        <v>766678.12968981732</v>
      </c>
      <c r="N13" s="508">
        <f t="shared" si="2"/>
        <v>1036670.7798462957</v>
      </c>
      <c r="O13" s="540">
        <f t="shared" si="3"/>
        <v>13069489</v>
      </c>
      <c r="P13" s="240">
        <f>'B4-FinPerf RE'!K14</f>
        <v>13069489</v>
      </c>
      <c r="Q13" s="75">
        <f>'B4-FinPerf RE'!L14</f>
        <v>13696824</v>
      </c>
      <c r="R13" s="76">
        <f>'B4-FinPerf RE'!M14</f>
        <v>14354272</v>
      </c>
    </row>
    <row r="14" spans="1:18" ht="12.75" customHeight="1" x14ac:dyDescent="0.25">
      <c r="A14" s="85" t="str">
        <f>'B4-FinPerf RE'!A15</f>
        <v>Interest earned - outstanding debtors</v>
      </c>
      <c r="B14" s="129"/>
      <c r="C14" s="382">
        <v>6549715.0300000003</v>
      </c>
      <c r="D14" s="109">
        <v>7426359</v>
      </c>
      <c r="E14" s="109">
        <v>7237172</v>
      </c>
      <c r="F14" s="109">
        <v>7382065</v>
      </c>
      <c r="G14" s="109">
        <v>6221028</v>
      </c>
      <c r="H14" s="381">
        <v>7239099</v>
      </c>
      <c r="I14" s="382">
        <v>7277933.3159504002</v>
      </c>
      <c r="J14" s="109">
        <v>5642969.7227714825</v>
      </c>
      <c r="K14" s="109">
        <v>9142543.5550148357</v>
      </c>
      <c r="L14" s="109">
        <v>8866154.5993159618</v>
      </c>
      <c r="M14" s="109">
        <v>5710550.1984932953</v>
      </c>
      <c r="N14" s="508">
        <f t="shared" si="2"/>
        <v>18651614.578454018</v>
      </c>
      <c r="O14" s="540">
        <f t="shared" si="3"/>
        <v>97347204</v>
      </c>
      <c r="P14" s="240">
        <f>'B4-FinPerf RE'!K15</f>
        <v>97347204</v>
      </c>
      <c r="Q14" s="75">
        <f>'B4-FinPerf RE'!L15</f>
        <v>102019870</v>
      </c>
      <c r="R14" s="76">
        <f>'B4-FinPerf RE'!M15</f>
        <v>106916824</v>
      </c>
    </row>
    <row r="15" spans="1:18" ht="12.75" customHeight="1" x14ac:dyDescent="0.25">
      <c r="A15" s="85" t="str">
        <f>'B4-FinPerf RE'!A16</f>
        <v>Dividends received</v>
      </c>
      <c r="B15" s="129"/>
      <c r="C15" s="382">
        <v>0</v>
      </c>
      <c r="D15" s="109">
        <v>0</v>
      </c>
      <c r="E15" s="109">
        <v>0</v>
      </c>
      <c r="F15" s="109">
        <v>0</v>
      </c>
      <c r="G15" s="109">
        <v>0</v>
      </c>
      <c r="H15" s="381">
        <v>0</v>
      </c>
      <c r="I15" s="382">
        <v>0</v>
      </c>
      <c r="J15" s="109">
        <v>0</v>
      </c>
      <c r="K15" s="109">
        <v>0</v>
      </c>
      <c r="L15" s="109">
        <v>0</v>
      </c>
      <c r="M15" s="109">
        <v>0</v>
      </c>
      <c r="N15" s="508">
        <f t="shared" si="2"/>
        <v>0</v>
      </c>
      <c r="O15" s="540">
        <f t="shared" si="3"/>
        <v>0</v>
      </c>
      <c r="P15" s="240">
        <f>'B4-FinPerf RE'!K16</f>
        <v>0</v>
      </c>
      <c r="Q15" s="75">
        <f>'B4-FinPerf RE'!L16</f>
        <v>0</v>
      </c>
      <c r="R15" s="76">
        <f>'B4-FinPerf RE'!M16</f>
        <v>0</v>
      </c>
    </row>
    <row r="16" spans="1:18" ht="12.75" customHeight="1" x14ac:dyDescent="0.25">
      <c r="A16" s="85" t="str">
        <f>'B4-FinPerf RE'!A17</f>
        <v>Fines, penalties and forfeits</v>
      </c>
      <c r="B16" s="129"/>
      <c r="C16" s="382">
        <v>0</v>
      </c>
      <c r="D16" s="109">
        <v>1615</v>
      </c>
      <c r="E16" s="109">
        <v>1585</v>
      </c>
      <c r="F16" s="109">
        <v>941749</v>
      </c>
      <c r="G16" s="109">
        <v>1715418</v>
      </c>
      <c r="H16" s="381">
        <v>2640604</v>
      </c>
      <c r="I16" s="382">
        <v>2741772.7224870888</v>
      </c>
      <c r="J16" s="109">
        <v>2125842.5693194168</v>
      </c>
      <c r="K16" s="109">
        <v>3444216.2967271474</v>
      </c>
      <c r="L16" s="109">
        <v>3340093.9220591807</v>
      </c>
      <c r="M16" s="109">
        <v>2151301.7617663555</v>
      </c>
      <c r="N16" s="508">
        <f t="shared" si="2"/>
        <v>17568837.727640811</v>
      </c>
      <c r="O16" s="540">
        <f t="shared" si="3"/>
        <v>36673036</v>
      </c>
      <c r="P16" s="240">
        <f>'B4-FinPerf RE'!K17</f>
        <v>36673036</v>
      </c>
      <c r="Q16" s="75">
        <f>'B4-FinPerf RE'!L17</f>
        <v>38433342</v>
      </c>
      <c r="R16" s="76">
        <f>'B4-FinPerf RE'!M17</f>
        <v>40278142</v>
      </c>
    </row>
    <row r="17" spans="1:18" ht="12.75" customHeight="1" x14ac:dyDescent="0.25">
      <c r="A17" s="85" t="str">
        <f>'B4-FinPerf RE'!A18</f>
        <v>Licences and permits</v>
      </c>
      <c r="B17" s="129"/>
      <c r="C17" s="382">
        <v>672609.47000000009</v>
      </c>
      <c r="D17" s="109">
        <v>742938</v>
      </c>
      <c r="E17" s="109">
        <v>717864</v>
      </c>
      <c r="F17" s="109">
        <v>857073</v>
      </c>
      <c r="G17" s="109">
        <v>968732</v>
      </c>
      <c r="H17" s="381">
        <v>532459</v>
      </c>
      <c r="I17" s="382">
        <v>1237877.586919365</v>
      </c>
      <c r="J17" s="109">
        <v>959792.49056518939</v>
      </c>
      <c r="K17" s="109">
        <v>1555022.458007925</v>
      </c>
      <c r="L17" s="109">
        <v>1508012.4513647126</v>
      </c>
      <c r="M17" s="109">
        <v>971287.01141028118</v>
      </c>
      <c r="N17" s="508">
        <f t="shared" si="2"/>
        <v>2047768.5317325257</v>
      </c>
      <c r="O17" s="540">
        <f t="shared" si="3"/>
        <v>12771436</v>
      </c>
      <c r="P17" s="240">
        <f>'B4-FinPerf RE'!K18</f>
        <v>12771436</v>
      </c>
      <c r="Q17" s="75">
        <f>'B4-FinPerf RE'!L18</f>
        <v>17352194</v>
      </c>
      <c r="R17" s="76">
        <f>'B4-FinPerf RE'!M18</f>
        <v>18185099</v>
      </c>
    </row>
    <row r="18" spans="1:18" ht="12.75" customHeight="1" x14ac:dyDescent="0.25">
      <c r="A18" s="85" t="str">
        <f>'B4-FinPerf RE'!A19</f>
        <v>Agency services</v>
      </c>
      <c r="B18" s="129"/>
      <c r="C18" s="382">
        <v>6865735.5499999998</v>
      </c>
      <c r="D18" s="109">
        <v>8866732</v>
      </c>
      <c r="E18" s="109">
        <v>10687274</v>
      </c>
      <c r="F18" s="109">
        <v>10883098</v>
      </c>
      <c r="G18" s="109">
        <v>8684815</v>
      </c>
      <c r="H18" s="381">
        <v>5118206</v>
      </c>
      <c r="I18" s="382">
        <v>2078288.7440495405</v>
      </c>
      <c r="J18" s="109">
        <v>1611408.0671975552</v>
      </c>
      <c r="K18" s="109">
        <v>2610747.3835638943</v>
      </c>
      <c r="L18" s="109">
        <v>2531821.673383275</v>
      </c>
      <c r="M18" s="109">
        <v>1630706.3674035135</v>
      </c>
      <c r="N18" s="508">
        <f t="shared" si="2"/>
        <v>-33770336.785597771</v>
      </c>
      <c r="O18" s="540">
        <f t="shared" si="3"/>
        <v>27798496</v>
      </c>
      <c r="P18" s="240">
        <f>'B4-FinPerf RE'!K19</f>
        <v>27798496</v>
      </c>
      <c r="Q18" s="75">
        <f>'B4-FinPerf RE'!L19</f>
        <v>29132824</v>
      </c>
      <c r="R18" s="76">
        <f>'B4-FinPerf RE'!M19</f>
        <v>30531199</v>
      </c>
    </row>
    <row r="19" spans="1:18" ht="12.75" customHeight="1" x14ac:dyDescent="0.25">
      <c r="A19" s="85" t="str">
        <f>'B4-FinPerf RE'!A20</f>
        <v>Transfers and subsidies</v>
      </c>
      <c r="B19" s="129"/>
      <c r="C19" s="382">
        <v>472891000</v>
      </c>
      <c r="D19" s="109">
        <v>21246029.560000002</v>
      </c>
      <c r="E19" s="109">
        <v>17874472.949500002</v>
      </c>
      <c r="F19" s="109">
        <v>11394696.1965</v>
      </c>
      <c r="G19" s="109">
        <v>15716493</v>
      </c>
      <c r="H19" s="381">
        <v>453100859.57249999</v>
      </c>
      <c r="I19" s="382">
        <v>88775255.176126063</v>
      </c>
      <c r="J19" s="109">
        <v>68832188.389565304</v>
      </c>
      <c r="K19" s="109">
        <f>111519520.971222-40000000</f>
        <v>71519520.971221998</v>
      </c>
      <c r="L19" s="109">
        <f>108148165.532137-75000000</f>
        <v>33148165.532137007</v>
      </c>
      <c r="M19" s="109">
        <v>69656525.975069076</v>
      </c>
      <c r="N19" s="508">
        <f t="shared" si="2"/>
        <v>64475983.6773808</v>
      </c>
      <c r="O19" s="540">
        <f t="shared" si="3"/>
        <v>1388631191</v>
      </c>
      <c r="P19" s="240">
        <f>'B4-FinPerf RE'!K20</f>
        <v>1388631191</v>
      </c>
      <c r="Q19" s="75">
        <f>'B4-FinPerf RE'!L20</f>
        <v>1286156249.7880187</v>
      </c>
      <c r="R19" s="76">
        <f>'B4-FinPerf RE'!M20</f>
        <v>1396716549.9974196</v>
      </c>
    </row>
    <row r="20" spans="1:18" ht="12.75" customHeight="1" x14ac:dyDescent="0.25">
      <c r="A20" s="85" t="str">
        <f>'B4-FinPerf RE'!A21</f>
        <v>Other revenue</v>
      </c>
      <c r="B20" s="129"/>
      <c r="C20" s="382">
        <v>1411521.33</v>
      </c>
      <c r="D20" s="109">
        <v>1515273</v>
      </c>
      <c r="E20" s="109">
        <v>2427218</v>
      </c>
      <c r="F20" s="109">
        <v>2504868</v>
      </c>
      <c r="G20" s="109">
        <v>2182502</v>
      </c>
      <c r="H20" s="381">
        <v>867879</v>
      </c>
      <c r="I20" s="382">
        <v>7476263.3154794294</v>
      </c>
      <c r="J20" s="109">
        <v>5796745.5453675501</v>
      </c>
      <c r="K20" s="109">
        <v>9391685.8018922992</v>
      </c>
      <c r="L20" s="109">
        <v>9107765.0072669201</v>
      </c>
      <c r="M20" s="109">
        <v>5866167.6477072798</v>
      </c>
      <c r="N20" s="508">
        <f t="shared" si="2"/>
        <v>52048128.352286518</v>
      </c>
      <c r="O20" s="540">
        <f t="shared" si="3"/>
        <v>100596017</v>
      </c>
      <c r="P20" s="240">
        <f>'B4-FinPerf RE'!K21</f>
        <v>100596017</v>
      </c>
      <c r="Q20" s="75">
        <f>'B4-FinPerf RE'!L21</f>
        <v>104800000</v>
      </c>
      <c r="R20" s="76">
        <f>'B4-FinPerf RE'!M21</f>
        <v>109830400</v>
      </c>
    </row>
    <row r="21" spans="1:18" ht="12.75" customHeight="1" x14ac:dyDescent="0.25">
      <c r="A21" s="85" t="str">
        <f>'B4-FinPerf RE'!A22</f>
        <v>Gains</v>
      </c>
      <c r="B21" s="129"/>
      <c r="C21" s="382">
        <v>0</v>
      </c>
      <c r="D21" s="109">
        <v>0</v>
      </c>
      <c r="E21" s="109">
        <v>0</v>
      </c>
      <c r="F21" s="109">
        <v>0</v>
      </c>
      <c r="G21" s="109">
        <v>0</v>
      </c>
      <c r="H21" s="381">
        <v>0</v>
      </c>
      <c r="I21" s="382">
        <v>0</v>
      </c>
      <c r="J21" s="109">
        <v>0</v>
      </c>
      <c r="K21" s="109">
        <v>0</v>
      </c>
      <c r="L21" s="109">
        <v>0</v>
      </c>
      <c r="M21" s="109">
        <v>0</v>
      </c>
      <c r="N21" s="508">
        <f t="shared" si="2"/>
        <v>0</v>
      </c>
      <c r="O21" s="540">
        <f t="shared" si="3"/>
        <v>0</v>
      </c>
      <c r="P21" s="240">
        <f>'B4-FinPerf RE'!K22</f>
        <v>0</v>
      </c>
      <c r="Q21" s="75">
        <f>'B4-FinPerf RE'!L22</f>
        <v>0</v>
      </c>
      <c r="R21" s="76">
        <f>'B4-FinPerf RE'!M22</f>
        <v>0</v>
      </c>
    </row>
    <row r="22" spans="1:18" ht="12.75" customHeight="1" x14ac:dyDescent="0.25">
      <c r="A22" s="139" t="s">
        <v>243</v>
      </c>
      <c r="B22" s="541"/>
      <c r="C22" s="485">
        <f>SUM(C6:C10)+SUM(C12:C21)</f>
        <v>642614868.35000002</v>
      </c>
      <c r="D22" s="81">
        <f t="shared" ref="D22:R22" si="4">SUM(D6:D10)+SUM(D12:D21)</f>
        <v>198010065.56</v>
      </c>
      <c r="E22" s="81">
        <f t="shared" si="4"/>
        <v>229066101.94949999</v>
      </c>
      <c r="F22" s="81">
        <f t="shared" si="4"/>
        <v>184469272.1965</v>
      </c>
      <c r="G22" s="81">
        <f t="shared" si="4"/>
        <v>175080221</v>
      </c>
      <c r="H22" s="519">
        <f t="shared" si="4"/>
        <v>642943360.57249999</v>
      </c>
      <c r="I22" s="485">
        <f t="shared" si="4"/>
        <v>284877560.24649704</v>
      </c>
      <c r="J22" s="81">
        <f t="shared" si="4"/>
        <v>220880760.70233512</v>
      </c>
      <c r="K22" s="81">
        <f t="shared" si="4"/>
        <v>317863336.92999053</v>
      </c>
      <c r="L22" s="81">
        <f t="shared" si="4"/>
        <v>272044742.15034199</v>
      </c>
      <c r="M22" s="81">
        <f t="shared" si="4"/>
        <v>223526039.27362049</v>
      </c>
      <c r="N22" s="519">
        <f t="shared" si="4"/>
        <v>563063789.06871521</v>
      </c>
      <c r="O22" s="561">
        <f t="shared" si="4"/>
        <v>3954440118</v>
      </c>
      <c r="P22" s="485">
        <f t="shared" si="4"/>
        <v>3954440118</v>
      </c>
      <c r="Q22" s="81">
        <f t="shared" si="4"/>
        <v>4111603005.0251503</v>
      </c>
      <c r="R22" s="82">
        <f t="shared" si="4"/>
        <v>4442748480.705678</v>
      </c>
    </row>
    <row r="23" spans="1:18" ht="5.0999999999999996" customHeight="1" x14ac:dyDescent="0.25">
      <c r="A23" s="85"/>
      <c r="B23" s="129"/>
      <c r="C23" s="240"/>
      <c r="D23" s="75"/>
      <c r="E23" s="75"/>
      <c r="F23" s="75"/>
      <c r="G23" s="75"/>
      <c r="H23" s="508"/>
      <c r="I23" s="240"/>
      <c r="J23" s="75"/>
      <c r="K23" s="75"/>
      <c r="L23" s="75"/>
      <c r="M23" s="75"/>
      <c r="N23" s="508"/>
      <c r="O23" s="540"/>
      <c r="P23" s="240"/>
      <c r="Q23" s="75"/>
      <c r="R23" s="76"/>
    </row>
    <row r="24" spans="1:18" ht="12.75" customHeight="1" x14ac:dyDescent="0.25">
      <c r="A24" s="560" t="s">
        <v>649</v>
      </c>
      <c r="B24" s="129"/>
      <c r="C24" s="240"/>
      <c r="D24" s="75"/>
      <c r="E24" s="75"/>
      <c r="F24" s="75"/>
      <c r="G24" s="75"/>
      <c r="H24" s="508"/>
      <c r="I24" s="240"/>
      <c r="J24" s="75"/>
      <c r="K24" s="75"/>
      <c r="L24" s="75"/>
      <c r="M24" s="75"/>
      <c r="N24" s="508"/>
      <c r="O24" s="540"/>
      <c r="P24" s="240"/>
      <c r="Q24" s="75"/>
      <c r="R24" s="76"/>
    </row>
    <row r="25" spans="1:18" ht="12.75" customHeight="1" x14ac:dyDescent="0.25">
      <c r="A25" s="85" t="str">
        <f>'B4-FinPerf RE'!A26</f>
        <v>Employee related costs</v>
      </c>
      <c r="B25" s="129"/>
      <c r="C25" s="382">
        <v>76920779.73999995</v>
      </c>
      <c r="D25" s="109">
        <v>85752018</v>
      </c>
      <c r="E25" s="109">
        <v>75534017</v>
      </c>
      <c r="F25" s="109">
        <v>83662550</v>
      </c>
      <c r="G25" s="109">
        <v>75552608</v>
      </c>
      <c r="H25" s="381">
        <v>79996324</v>
      </c>
      <c r="I25" s="382">
        <v>80104988.701045021</v>
      </c>
      <c r="J25" s="109">
        <v>75732903.767722473</v>
      </c>
      <c r="K25" s="109">
        <v>78925563.343047515</v>
      </c>
      <c r="L25" s="109">
        <v>79064550.35188958</v>
      </c>
      <c r="M25" s="109">
        <v>80265080.377174169</v>
      </c>
      <c r="N25" s="508">
        <f t="shared" ref="N25:N35" si="5">P25-SUM(C25:M25)</f>
        <v>161136533.71912134</v>
      </c>
      <c r="O25" s="540">
        <f t="shared" ref="O25:O35" si="6">SUM(C25:N25)</f>
        <v>1032647917</v>
      </c>
      <c r="P25" s="240">
        <f>'B4-FinPerf RE'!K26</f>
        <v>1032647917</v>
      </c>
      <c r="Q25" s="75">
        <f>'B4-FinPerf RE'!L26</f>
        <v>1045408398.6649141</v>
      </c>
      <c r="R25" s="76">
        <f>'B4-FinPerf RE'!M26</f>
        <v>1106042085.7874796</v>
      </c>
    </row>
    <row r="26" spans="1:18" ht="12.75" customHeight="1" x14ac:dyDescent="0.25">
      <c r="A26" s="85" t="str">
        <f>'B4-FinPerf RE'!A27</f>
        <v>Remuneration of councillors</v>
      </c>
      <c r="B26" s="129"/>
      <c r="C26" s="382">
        <v>3176515.6</v>
      </c>
      <c r="D26" s="109">
        <v>3176517</v>
      </c>
      <c r="E26" s="109">
        <v>3212115</v>
      </c>
      <c r="F26" s="109">
        <v>3233692</v>
      </c>
      <c r="G26" s="109">
        <v>3257525</v>
      </c>
      <c r="H26" s="381">
        <v>3267644</v>
      </c>
      <c r="I26" s="382">
        <v>3446558.2365164226</v>
      </c>
      <c r="J26" s="109">
        <v>3258447.0391735337</v>
      </c>
      <c r="K26" s="109">
        <v>3395812.8553874991</v>
      </c>
      <c r="L26" s="109">
        <v>3401792.842749849</v>
      </c>
      <c r="M26" s="109">
        <v>3453446.2630164931</v>
      </c>
      <c r="N26" s="508">
        <f t="shared" si="5"/>
        <v>6230930.1631562039</v>
      </c>
      <c r="O26" s="540">
        <f t="shared" si="6"/>
        <v>42510996</v>
      </c>
      <c r="P26" s="240">
        <f>'B4-FinPerf RE'!K27</f>
        <v>42510996</v>
      </c>
      <c r="Q26" s="75">
        <f>'B4-FinPerf RE'!L27</f>
        <v>44976638</v>
      </c>
      <c r="R26" s="76">
        <f>'B4-FinPerf RE'!M27</f>
        <v>47585283.004000001</v>
      </c>
    </row>
    <row r="27" spans="1:18" ht="12.75" customHeight="1" x14ac:dyDescent="0.25">
      <c r="A27" s="85" t="str">
        <f>'B4-FinPerf RE'!A28</f>
        <v>Debt impairment</v>
      </c>
      <c r="B27" s="129"/>
      <c r="C27" s="382">
        <v>20833333.333333332</v>
      </c>
      <c r="D27" s="109">
        <v>20833333.333333332</v>
      </c>
      <c r="E27" s="109">
        <v>20833333.333333332</v>
      </c>
      <c r="F27" s="109">
        <v>20833333.333333332</v>
      </c>
      <c r="G27" s="109">
        <v>20833333.333333332</v>
      </c>
      <c r="H27" s="381">
        <v>20833333.333333332</v>
      </c>
      <c r="I27" s="382">
        <v>20268625.982195329</v>
      </c>
      <c r="J27" s="109">
        <v>19162375.850800578</v>
      </c>
      <c r="K27" s="109">
        <v>19970200.979672901</v>
      </c>
      <c r="L27" s="109">
        <v>20005368.273798835</v>
      </c>
      <c r="M27" s="109">
        <v>20309133.30088973</v>
      </c>
      <c r="N27" s="508">
        <f t="shared" si="5"/>
        <v>25284295.612642646</v>
      </c>
      <c r="O27" s="540">
        <f t="shared" si="6"/>
        <v>250000000</v>
      </c>
      <c r="P27" s="240">
        <f>'B4-FinPerf RE'!K28</f>
        <v>250000000</v>
      </c>
      <c r="Q27" s="75">
        <f>'B4-FinPerf RE'!L28</f>
        <v>300000000</v>
      </c>
      <c r="R27" s="76">
        <f>'B4-FinPerf RE'!M28</f>
        <v>350000000</v>
      </c>
    </row>
    <row r="28" spans="1:18" ht="12.75" customHeight="1" x14ac:dyDescent="0.25">
      <c r="A28" s="85" t="str">
        <f>'B4-FinPerf RE'!A29</f>
        <v>Depreciation &amp; asset impairment</v>
      </c>
      <c r="B28" s="129"/>
      <c r="C28" s="382">
        <v>21250000</v>
      </c>
      <c r="D28" s="109">
        <v>21250000</v>
      </c>
      <c r="E28" s="109">
        <v>21250000</v>
      </c>
      <c r="F28" s="109">
        <v>21250000</v>
      </c>
      <c r="G28" s="109">
        <v>21250000</v>
      </c>
      <c r="H28" s="381">
        <v>21250000</v>
      </c>
      <c r="I28" s="382">
        <v>20673998.501839235</v>
      </c>
      <c r="J28" s="109">
        <v>19545623.36781659</v>
      </c>
      <c r="K28" s="109">
        <v>20369604.99926636</v>
      </c>
      <c r="L28" s="109">
        <v>20405475.63927481</v>
      </c>
      <c r="M28" s="109">
        <v>20715315.966907524</v>
      </c>
      <c r="N28" s="508">
        <f t="shared" si="5"/>
        <v>25789981.524895489</v>
      </c>
      <c r="O28" s="540">
        <f t="shared" si="6"/>
        <v>255000000</v>
      </c>
      <c r="P28" s="240">
        <f>'B4-FinPerf RE'!K29</f>
        <v>255000000</v>
      </c>
      <c r="Q28" s="75">
        <f>'B4-FinPerf RE'!L29</f>
        <v>285000000</v>
      </c>
      <c r="R28" s="76">
        <f>'B4-FinPerf RE'!M29</f>
        <v>300000000</v>
      </c>
    </row>
    <row r="29" spans="1:18" ht="12.75" customHeight="1" x14ac:dyDescent="0.25">
      <c r="A29" s="85" t="str">
        <f>'B4-FinPerf RE'!A30</f>
        <v>Finance charges</v>
      </c>
      <c r="B29" s="129"/>
      <c r="C29" s="382">
        <v>23508142.280000001</v>
      </c>
      <c r="D29" s="109">
        <v>0</v>
      </c>
      <c r="E29" s="109">
        <v>0</v>
      </c>
      <c r="F29" s="109">
        <v>-20108944</v>
      </c>
      <c r="G29" s="109">
        <v>0</v>
      </c>
      <c r="H29" s="381">
        <v>1224198</v>
      </c>
      <c r="I29" s="382">
        <v>7944285.2782628303</v>
      </c>
      <c r="J29" s="109">
        <v>7510690.685287674</v>
      </c>
      <c r="K29" s="109">
        <v>7827317.6379162651</v>
      </c>
      <c r="L29" s="109">
        <v>7841101.4542068401</v>
      </c>
      <c r="M29" s="109">
        <v>7960162.1164781339</v>
      </c>
      <c r="N29" s="508">
        <f t="shared" si="5"/>
        <v>39280513.547848254</v>
      </c>
      <c r="O29" s="540">
        <f t="shared" si="6"/>
        <v>82987467</v>
      </c>
      <c r="P29" s="240">
        <f>'B4-FinPerf RE'!K30</f>
        <v>82987467</v>
      </c>
      <c r="Q29" s="75">
        <f>'B4-FinPerf RE'!L30</f>
        <v>118064572</v>
      </c>
      <c r="R29" s="76">
        <f>'B4-FinPerf RE'!M30</f>
        <v>118064572</v>
      </c>
    </row>
    <row r="30" spans="1:18" ht="12.75" customHeight="1" x14ac:dyDescent="0.25">
      <c r="A30" s="85" t="str">
        <f>'B4-FinPerf RE'!A31</f>
        <v>Bulk purchases</v>
      </c>
      <c r="B30" s="129"/>
      <c r="C30" s="382">
        <v>107187861.72</v>
      </c>
      <c r="D30" s="109">
        <v>105289853</v>
      </c>
      <c r="E30" s="109">
        <v>75426403</v>
      </c>
      <c r="F30" s="109">
        <v>67312837</v>
      </c>
      <c r="G30" s="109">
        <v>74003322</v>
      </c>
      <c r="H30" s="381">
        <v>69339530</v>
      </c>
      <c r="I30" s="382">
        <v>87432137.08603023</v>
      </c>
      <c r="J30" s="109">
        <v>82660140.541986808</v>
      </c>
      <c r="K30" s="109">
        <v>86144830.499320313</v>
      </c>
      <c r="L30" s="109">
        <v>86296530.554551691</v>
      </c>
      <c r="M30" s="109">
        <v>87606872.237993047</v>
      </c>
      <c r="N30" s="508">
        <f t="shared" si="5"/>
        <v>44371407.360117912</v>
      </c>
      <c r="O30" s="540">
        <f t="shared" si="6"/>
        <v>973071725</v>
      </c>
      <c r="P30" s="240">
        <f>'B4-FinPerf RE'!K31</f>
        <v>973071725</v>
      </c>
      <c r="Q30" s="75">
        <f>'B4-FinPerf RE'!L31</f>
        <v>1120190137.125</v>
      </c>
      <c r="R30" s="76">
        <f>'B4-FinPerf RE'!M31</f>
        <v>1193002496.038125</v>
      </c>
    </row>
    <row r="31" spans="1:18" ht="12.75" customHeight="1" x14ac:dyDescent="0.25">
      <c r="A31" s="85" t="str">
        <f>'B4-FinPerf RE'!A32</f>
        <v>Other materials</v>
      </c>
      <c r="B31" s="129"/>
      <c r="C31" s="382">
        <v>3196152.87</v>
      </c>
      <c r="D31" s="109">
        <v>2693782</v>
      </c>
      <c r="E31" s="109">
        <v>5936768</v>
      </c>
      <c r="F31" s="109">
        <v>5257299</v>
      </c>
      <c r="G31" s="109">
        <v>3900276</v>
      </c>
      <c r="H31" s="381">
        <v>5216358</v>
      </c>
      <c r="I31" s="382">
        <v>6597518.8317085085</v>
      </c>
      <c r="J31" s="109">
        <v>6237429.988938991</v>
      </c>
      <c r="K31" s="109">
        <v>6500380.299687448</v>
      </c>
      <c r="L31" s="109">
        <v>6511827.3945946153</v>
      </c>
      <c r="M31" s="109">
        <v>6610704.1259728102</v>
      </c>
      <c r="N31" s="508">
        <f t="shared" si="5"/>
        <v>43324958.489097632</v>
      </c>
      <c r="O31" s="540">
        <f t="shared" si="6"/>
        <v>101983455</v>
      </c>
      <c r="P31" s="240">
        <f>'B4-FinPerf RE'!K32</f>
        <v>101983455</v>
      </c>
      <c r="Q31" s="75">
        <f>'B4-FinPerf RE'!L32</f>
        <v>87378072</v>
      </c>
      <c r="R31" s="76">
        <f>'B4-FinPerf RE'!M32</f>
        <v>91572171</v>
      </c>
    </row>
    <row r="32" spans="1:18" ht="12.75" customHeight="1" x14ac:dyDescent="0.25">
      <c r="A32" s="85" t="str">
        <f>'B4-FinPerf RE'!A33</f>
        <v>Contracted services</v>
      </c>
      <c r="B32" s="129"/>
      <c r="C32" s="382">
        <v>29623407.369999997</v>
      </c>
      <c r="D32" s="109">
        <v>72380582</v>
      </c>
      <c r="E32" s="109">
        <v>77697315</v>
      </c>
      <c r="F32" s="109">
        <v>69177306</v>
      </c>
      <c r="G32" s="109">
        <v>71213422</v>
      </c>
      <c r="H32" s="381">
        <v>106479422</v>
      </c>
      <c r="I32" s="382">
        <v>54632540.919432864</v>
      </c>
      <c r="J32" s="109">
        <v>51650727.765268296</v>
      </c>
      <c r="K32" s="109">
        <v>53828159.00543385</v>
      </c>
      <c r="L32" s="109">
        <v>53922949.774035946</v>
      </c>
      <c r="M32" s="109">
        <v>54741725.3184174</v>
      </c>
      <c r="N32" s="508">
        <f t="shared" si="5"/>
        <v>227264122.84741163</v>
      </c>
      <c r="O32" s="540">
        <f t="shared" si="6"/>
        <v>922611680</v>
      </c>
      <c r="P32" s="240">
        <f>'B4-FinPerf RE'!K33</f>
        <v>922611680</v>
      </c>
      <c r="Q32" s="75">
        <f>'B4-FinPerf RE'!L33</f>
        <v>706201081</v>
      </c>
      <c r="R32" s="76">
        <f>'B4-FinPerf RE'!M33</f>
        <v>740098728</v>
      </c>
    </row>
    <row r="33" spans="1:18" ht="12.75" customHeight="1" x14ac:dyDescent="0.25">
      <c r="A33" s="85" t="str">
        <f>'B4-FinPerf RE'!A34</f>
        <v>Transfers and subsidies</v>
      </c>
      <c r="B33" s="129"/>
      <c r="C33" s="382">
        <v>978258</v>
      </c>
      <c r="D33" s="109">
        <v>80000</v>
      </c>
      <c r="E33" s="109">
        <v>1035582</v>
      </c>
      <c r="F33" s="109">
        <v>40000</v>
      </c>
      <c r="G33" s="109">
        <v>40000</v>
      </c>
      <c r="H33" s="381">
        <v>40000</v>
      </c>
      <c r="I33" s="382">
        <v>932356.79518098524</v>
      </c>
      <c r="J33" s="109">
        <v>881469.28913682664</v>
      </c>
      <c r="K33" s="109">
        <v>918629.24506495346</v>
      </c>
      <c r="L33" s="109">
        <v>920246.94059474638</v>
      </c>
      <c r="M33" s="109">
        <v>934220.13184092753</v>
      </c>
      <c r="N33" s="508">
        <f t="shared" si="5"/>
        <v>32699245.598181561</v>
      </c>
      <c r="O33" s="540">
        <f t="shared" si="6"/>
        <v>39500008</v>
      </c>
      <c r="P33" s="240">
        <f>'B4-FinPerf RE'!K34</f>
        <v>39500008</v>
      </c>
      <c r="Q33" s="75">
        <f>'B4-FinPerf RE'!L34</f>
        <v>11500000</v>
      </c>
      <c r="R33" s="76">
        <f>'B4-FinPerf RE'!M34</f>
        <v>11500000</v>
      </c>
    </row>
    <row r="34" spans="1:18" ht="12.75" customHeight="1" x14ac:dyDescent="0.25">
      <c r="A34" s="85" t="str">
        <f>'B4-FinPerf RE'!A35</f>
        <v>Other expenditure</v>
      </c>
      <c r="B34" s="129"/>
      <c r="C34" s="382">
        <v>20320796.039999984</v>
      </c>
      <c r="D34" s="109">
        <v>10823624</v>
      </c>
      <c r="E34" s="109">
        <v>5734066</v>
      </c>
      <c r="F34" s="109">
        <v>21740434</v>
      </c>
      <c r="G34" s="109">
        <v>16299845</v>
      </c>
      <c r="H34" s="381">
        <v>13100204</v>
      </c>
      <c r="I34" s="382">
        <v>16461529.426707618</v>
      </c>
      <c r="J34" s="109">
        <v>15563068.469993005</v>
      </c>
      <c r="K34" s="109">
        <v>16219158.189258981</v>
      </c>
      <c r="L34" s="109">
        <v>16247719.940194651</v>
      </c>
      <c r="M34" s="109">
        <v>16494428.174717011</v>
      </c>
      <c r="N34" s="508">
        <f t="shared" si="5"/>
        <v>44450075.759128749</v>
      </c>
      <c r="O34" s="540">
        <f t="shared" si="6"/>
        <v>213454949</v>
      </c>
      <c r="P34" s="240">
        <f>'B4-FinPerf RE'!K35</f>
        <v>213454949</v>
      </c>
      <c r="Q34" s="75">
        <f>'B4-FinPerf RE'!L35</f>
        <v>212787899</v>
      </c>
      <c r="R34" s="76">
        <f>'B4-FinPerf RE'!M35</f>
        <v>223001877</v>
      </c>
    </row>
    <row r="35" spans="1:18" ht="12.75" customHeight="1" x14ac:dyDescent="0.25">
      <c r="A35" s="85" t="str">
        <f>'B4-FinPerf RE'!A36</f>
        <v>Losses</v>
      </c>
      <c r="B35" s="129"/>
      <c r="C35" s="382">
        <v>0</v>
      </c>
      <c r="D35" s="109">
        <v>0</v>
      </c>
      <c r="E35" s="109"/>
      <c r="F35" s="109"/>
      <c r="G35" s="109"/>
      <c r="H35" s="381"/>
      <c r="I35" s="382"/>
      <c r="J35" s="109"/>
      <c r="K35" s="109"/>
      <c r="L35" s="109"/>
      <c r="M35" s="109"/>
      <c r="N35" s="508">
        <f t="shared" si="5"/>
        <v>0</v>
      </c>
      <c r="O35" s="540">
        <f t="shared" si="6"/>
        <v>0</v>
      </c>
      <c r="P35" s="240">
        <f>'B4-FinPerf RE'!K36</f>
        <v>0</v>
      </c>
      <c r="Q35" s="75">
        <f>'B4-FinPerf RE'!L36</f>
        <v>0</v>
      </c>
      <c r="R35" s="76">
        <f>'B4-FinPerf RE'!M36</f>
        <v>0</v>
      </c>
    </row>
    <row r="36" spans="1:18" ht="12.75" customHeight="1" x14ac:dyDescent="0.25">
      <c r="A36" s="139" t="s">
        <v>568</v>
      </c>
      <c r="B36" s="541"/>
      <c r="C36" s="485">
        <f>SUM(C25:C35)</f>
        <v>306995246.9533332</v>
      </c>
      <c r="D36" s="81">
        <f t="shared" ref="D36:R36" si="7">SUM(D25:D35)</f>
        <v>322279709.33333331</v>
      </c>
      <c r="E36" s="81">
        <f t="shared" si="7"/>
        <v>286659599.33333331</v>
      </c>
      <c r="F36" s="81">
        <f t="shared" si="7"/>
        <v>272398507.33333331</v>
      </c>
      <c r="G36" s="81">
        <f t="shared" si="7"/>
        <v>286350331.33333331</v>
      </c>
      <c r="H36" s="519">
        <f t="shared" si="7"/>
        <v>320747013.33333331</v>
      </c>
      <c r="I36" s="485">
        <f t="shared" si="7"/>
        <v>298494539.75891906</v>
      </c>
      <c r="J36" s="81">
        <f t="shared" si="7"/>
        <v>282202876.76612478</v>
      </c>
      <c r="K36" s="81">
        <f t="shared" si="7"/>
        <v>294099657.05405611</v>
      </c>
      <c r="L36" s="81">
        <f t="shared" si="7"/>
        <v>294617563.16589153</v>
      </c>
      <c r="M36" s="81">
        <f t="shared" si="7"/>
        <v>299091088.01340729</v>
      </c>
      <c r="N36" s="519">
        <f t="shared" si="7"/>
        <v>649832064.62160134</v>
      </c>
      <c r="O36" s="561">
        <f t="shared" si="7"/>
        <v>3913768197</v>
      </c>
      <c r="P36" s="485">
        <f t="shared" si="7"/>
        <v>3913768197</v>
      </c>
      <c r="Q36" s="81">
        <f t="shared" si="7"/>
        <v>3931506797.7899141</v>
      </c>
      <c r="R36" s="82">
        <f t="shared" si="7"/>
        <v>4180867212.8296046</v>
      </c>
    </row>
    <row r="37" spans="1:18" ht="5.0999999999999996" customHeight="1" x14ac:dyDescent="0.25">
      <c r="A37" s="85"/>
      <c r="B37" s="129"/>
      <c r="C37" s="240"/>
      <c r="D37" s="75"/>
      <c r="E37" s="75"/>
      <c r="F37" s="75"/>
      <c r="G37" s="75"/>
      <c r="H37" s="508"/>
      <c r="I37" s="240"/>
      <c r="J37" s="75"/>
      <c r="K37" s="75"/>
      <c r="L37" s="75"/>
      <c r="M37" s="75"/>
      <c r="N37" s="508"/>
      <c r="O37" s="540"/>
      <c r="P37" s="240"/>
      <c r="Q37" s="75"/>
      <c r="R37" s="76"/>
    </row>
    <row r="38" spans="1:18" ht="12.75" customHeight="1" x14ac:dyDescent="0.25">
      <c r="A38" s="162" t="s">
        <v>569</v>
      </c>
      <c r="B38" s="162"/>
      <c r="C38" s="485">
        <f t="shared" ref="C38:R38" si="8">C22-C36</f>
        <v>335619621.39666682</v>
      </c>
      <c r="D38" s="81">
        <f t="shared" si="8"/>
        <v>-124269643.77333331</v>
      </c>
      <c r="E38" s="81">
        <f t="shared" si="8"/>
        <v>-57593497.383833319</v>
      </c>
      <c r="F38" s="81">
        <f t="shared" si="8"/>
        <v>-87929235.13683331</v>
      </c>
      <c r="G38" s="81">
        <f t="shared" si="8"/>
        <v>-111270110.33333331</v>
      </c>
      <c r="H38" s="519">
        <f t="shared" si="8"/>
        <v>322196347.23916668</v>
      </c>
      <c r="I38" s="485">
        <f t="shared" si="8"/>
        <v>-13616979.512422025</v>
      </c>
      <c r="J38" s="81">
        <f t="shared" si="8"/>
        <v>-61322116.063789666</v>
      </c>
      <c r="K38" s="81">
        <f t="shared" si="8"/>
        <v>23763679.875934422</v>
      </c>
      <c r="L38" s="81">
        <f t="shared" si="8"/>
        <v>-22572821.015549541</v>
      </c>
      <c r="M38" s="81">
        <f t="shared" si="8"/>
        <v>-75565048.739786804</v>
      </c>
      <c r="N38" s="519">
        <f t="shared" si="8"/>
        <v>-86768275.552886128</v>
      </c>
      <c r="O38" s="561">
        <f t="shared" si="8"/>
        <v>40671921</v>
      </c>
      <c r="P38" s="485">
        <f t="shared" si="8"/>
        <v>40671921</v>
      </c>
      <c r="Q38" s="81">
        <f t="shared" si="8"/>
        <v>180096207.23523617</v>
      </c>
      <c r="R38" s="82">
        <f t="shared" si="8"/>
        <v>261881267.87607336</v>
      </c>
    </row>
    <row r="39" spans="1:18" ht="23.45" customHeight="1" x14ac:dyDescent="0.25">
      <c r="A39" s="1223" t="str">
        <f>'B4-FinPerf RE'!A40</f>
        <v>Transfers and subsidies - capital (monetary allocations) (National / Provincial and District)</v>
      </c>
      <c r="B39" s="129"/>
      <c r="C39" s="382">
        <v>22149776.359999999</v>
      </c>
      <c r="D39" s="109">
        <v>53122133.0308</v>
      </c>
      <c r="E39" s="109">
        <v>64656247.772050008</v>
      </c>
      <c r="F39" s="109">
        <v>71965879.773499995</v>
      </c>
      <c r="G39" s="109">
        <v>36105468.148999996</v>
      </c>
      <c r="H39" s="381">
        <v>91749126.258000016</v>
      </c>
      <c r="I39" s="382">
        <v>65346642.107718758</v>
      </c>
      <c r="J39" s="109">
        <v>50666735.581444025</v>
      </c>
      <c r="K39" s="109">
        <v>82088485.248201028</v>
      </c>
      <c r="L39" s="109">
        <v>79606861.772619367</v>
      </c>
      <c r="M39" s="109">
        <v>51273522.833916396</v>
      </c>
      <c r="N39" s="508">
        <f>P39-SUM(C39:M39)</f>
        <v>158476463.11275029</v>
      </c>
      <c r="O39" s="540"/>
      <c r="P39" s="240">
        <f>'B4-FinPerf RE'!K40</f>
        <v>827207342</v>
      </c>
      <c r="Q39" s="75">
        <f>'B4-FinPerf RE'!L40</f>
        <v>623401750</v>
      </c>
      <c r="R39" s="76">
        <f>'B4-FinPerf RE'!M40</f>
        <v>526841450</v>
      </c>
    </row>
    <row r="40" spans="1:18" ht="42" customHeight="1" x14ac:dyDescent="0.25">
      <c r="A40" s="1223" t="str">
        <f>'B4-FinPerf RE'!A41</f>
        <v>Transfers and subsidies - capital (monetary allocations) (National / Provincial Departmental Agencies, Households, Non-profit Institutions, Private Enterprises, Public Corporatons, Higher Educational Institutions)</v>
      </c>
      <c r="B40" s="129"/>
      <c r="C40" s="382">
        <v>0</v>
      </c>
      <c r="D40" s="109">
        <v>0</v>
      </c>
      <c r="E40" s="109">
        <v>0</v>
      </c>
      <c r="F40" s="109">
        <v>0</v>
      </c>
      <c r="G40" s="109">
        <v>0</v>
      </c>
      <c r="H40" s="381">
        <v>0</v>
      </c>
      <c r="I40" s="382">
        <v>0</v>
      </c>
      <c r="J40" s="109">
        <v>0</v>
      </c>
      <c r="K40" s="109">
        <v>0</v>
      </c>
      <c r="L40" s="109">
        <v>0</v>
      </c>
      <c r="M40" s="109">
        <v>0</v>
      </c>
      <c r="N40" s="508">
        <f>P40-SUM(C40:M40)</f>
        <v>1500000</v>
      </c>
      <c r="O40" s="540"/>
      <c r="P40" s="240">
        <f>'B4-FinPerf RE'!K41</f>
        <v>1500000</v>
      </c>
      <c r="Q40" s="75">
        <f>'B4-FinPerf RE'!L41</f>
        <v>4750000</v>
      </c>
      <c r="R40" s="76">
        <f>'B4-FinPerf RE'!M41</f>
        <v>4750000</v>
      </c>
    </row>
    <row r="41" spans="1:18" ht="12.75" customHeight="1" x14ac:dyDescent="0.25">
      <c r="A41" s="588" t="str">
        <f>'B4-FinPerf RE'!A42</f>
        <v xml:space="preserve">Transfers and subsidies - capital (in-kind - all) </v>
      </c>
      <c r="B41" s="129"/>
      <c r="C41" s="382">
        <v>0</v>
      </c>
      <c r="D41" s="109">
        <v>0</v>
      </c>
      <c r="E41" s="109">
        <v>0</v>
      </c>
      <c r="F41" s="109">
        <v>0</v>
      </c>
      <c r="G41" s="109">
        <v>0</v>
      </c>
      <c r="H41" s="381">
        <v>0</v>
      </c>
      <c r="I41" s="382">
        <v>0</v>
      </c>
      <c r="J41" s="109">
        <v>0</v>
      </c>
      <c r="K41" s="109">
        <v>0</v>
      </c>
      <c r="L41" s="109">
        <v>0</v>
      </c>
      <c r="M41" s="109">
        <v>0</v>
      </c>
      <c r="N41" s="508">
        <f>P41-SUM(C41:M41)</f>
        <v>0</v>
      </c>
      <c r="O41" s="540"/>
      <c r="P41" s="240">
        <f>'B4-FinPerf RE'!K42</f>
        <v>0</v>
      </c>
      <c r="Q41" s="75">
        <f>'B4-FinPerf RE'!L42</f>
        <v>0</v>
      </c>
      <c r="R41" s="76">
        <f>'B4-FinPerf RE'!M42</f>
        <v>0</v>
      </c>
    </row>
    <row r="42" spans="1:18" ht="12.75" customHeight="1" x14ac:dyDescent="0.25">
      <c r="A42" s="155" t="s">
        <v>571</v>
      </c>
      <c r="B42" s="155"/>
      <c r="C42" s="116">
        <f>C38+SUM(C39:C41)</f>
        <v>357769397.75666684</v>
      </c>
      <c r="D42" s="117">
        <f t="shared" ref="D42:R42" si="9">D38+SUM(D39:D41)</f>
        <v>-71147510.742533311</v>
      </c>
      <c r="E42" s="117">
        <f t="shared" si="9"/>
        <v>7062750.3882166892</v>
      </c>
      <c r="F42" s="117">
        <f t="shared" si="9"/>
        <v>-15963355.363333315</v>
      </c>
      <c r="G42" s="117">
        <f t="shared" si="9"/>
        <v>-75164642.184333324</v>
      </c>
      <c r="H42" s="522">
        <f t="shared" si="9"/>
        <v>413945473.49716669</v>
      </c>
      <c r="I42" s="116">
        <f t="shared" si="9"/>
        <v>51729662.595296733</v>
      </c>
      <c r="J42" s="117">
        <f t="shared" si="9"/>
        <v>-10655380.482345641</v>
      </c>
      <c r="K42" s="117">
        <f t="shared" si="9"/>
        <v>105852165.12413545</v>
      </c>
      <c r="L42" s="117">
        <f t="shared" si="9"/>
        <v>57034040.757069826</v>
      </c>
      <c r="M42" s="117">
        <f t="shared" si="9"/>
        <v>-24291525.905870408</v>
      </c>
      <c r="N42" s="522">
        <f t="shared" si="9"/>
        <v>73208187.559864163</v>
      </c>
      <c r="O42" s="543">
        <f t="shared" si="9"/>
        <v>40671921</v>
      </c>
      <c r="P42" s="116">
        <f>P38+SUM(P39:P41)</f>
        <v>869379263</v>
      </c>
      <c r="Q42" s="117">
        <f t="shared" si="9"/>
        <v>808247957.23523617</v>
      </c>
      <c r="R42" s="118">
        <f t="shared" si="9"/>
        <v>793472717.87607336</v>
      </c>
    </row>
    <row r="43" spans="1:18" ht="12.75" customHeight="1" x14ac:dyDescent="0.25">
      <c r="A43" s="544" t="str">
        <f>head27a</f>
        <v>References</v>
      </c>
      <c r="B43" s="558"/>
      <c r="C43" s="545"/>
      <c r="D43" s="545"/>
      <c r="E43" s="545"/>
      <c r="F43" s="545"/>
      <c r="G43" s="545"/>
      <c r="H43" s="545"/>
      <c r="I43" s="545"/>
      <c r="J43" s="545"/>
      <c r="K43" s="545"/>
      <c r="L43" s="545"/>
      <c r="M43" s="545"/>
      <c r="N43" s="545"/>
      <c r="O43" s="545"/>
      <c r="P43" s="545"/>
      <c r="Q43" s="545"/>
      <c r="R43" s="545"/>
    </row>
    <row r="44" spans="1:18" ht="12.75" customHeight="1" x14ac:dyDescent="0.25">
      <c r="A44" s="99" t="s">
        <v>458</v>
      </c>
      <c r="B44" s="48"/>
      <c r="C44" s="48"/>
      <c r="D44" s="48"/>
      <c r="E44" s="48"/>
      <c r="F44" s="48"/>
      <c r="G44" s="48"/>
      <c r="H44" s="48"/>
      <c r="I44" s="48"/>
      <c r="J44" s="48"/>
      <c r="K44" s="48"/>
      <c r="L44" s="48"/>
      <c r="M44" s="48"/>
      <c r="N44" s="48"/>
      <c r="O44" s="48"/>
      <c r="P44" s="48"/>
      <c r="Q44" s="48"/>
      <c r="R44" s="48"/>
    </row>
    <row r="45" spans="1:18" x14ac:dyDescent="0.25">
      <c r="A45" s="311" t="s">
        <v>3</v>
      </c>
      <c r="B45" s="311"/>
      <c r="P45" s="546">
        <f>P42-'B4-FinPerf RE'!K43</f>
        <v>0</v>
      </c>
      <c r="Q45" s="546">
        <f>Q42-'B4-FinPerf RE'!L43</f>
        <v>0</v>
      </c>
      <c r="R45" s="546">
        <f>R42-'B4-FinPerf RE'!M43</f>
        <v>0</v>
      </c>
    </row>
    <row r="54" spans="2:2" x14ac:dyDescent="0.25">
      <c r="B54" s="128"/>
    </row>
  </sheetData>
  <sheetProtection sheet="1" objects="1" scenarios="1"/>
  <mergeCells count="3">
    <mergeCell ref="A2:A3"/>
    <mergeCell ref="B2:B3"/>
    <mergeCell ref="C2:N2"/>
  </mergeCells>
  <phoneticPr fontId="4" type="noConversion"/>
  <printOptions horizontalCentered="1"/>
  <pageMargins left="0.36" right="0.15748031496062992" top="0.78" bottom="0.39370078740157483" header="0.51181102362204722" footer="0.35433070866141736"/>
  <pageSetup paperSize="9" scale="86"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5">
    <tabColor indexed="42"/>
    <pageSetUpPr fitToPage="1"/>
  </sheetPr>
  <dimension ref="A1:AT191"/>
  <sheetViews>
    <sheetView showGridLines="0" zoomScaleNormal="100" workbookViewId="0">
      <pane xSplit="2" ySplit="4" topLeftCell="C5" activePane="bottomRight" state="frozen"/>
      <selection activeCell="C6" sqref="C6"/>
      <selection pane="topRight" activeCell="C6" sqref="C6"/>
      <selection pane="bottomLeft" activeCell="C6" sqref="C6"/>
      <selection pane="bottomRight" activeCell="R56" sqref="C6:R56"/>
    </sheetView>
  </sheetViews>
  <sheetFormatPr defaultColWidth="9.140625" defaultRowHeight="12.75" x14ac:dyDescent="0.25"/>
  <cols>
    <col min="1" max="1" width="33.7109375" style="5" customWidth="1"/>
    <col min="2" max="2" width="3.140625" style="5" customWidth="1"/>
    <col min="3" max="14" width="8.7109375" style="5" customWidth="1"/>
    <col min="15" max="15" width="8.7109375" style="5" hidden="1" customWidth="1"/>
    <col min="16" max="18" width="8.7109375" style="5" customWidth="1"/>
    <col min="19" max="19" width="9.85546875" style="5" customWidth="1"/>
    <col min="20" max="20" width="9.5703125" style="5" customWidth="1"/>
    <col min="21" max="21" width="9.85546875" style="5" customWidth="1"/>
    <col min="22" max="22" width="9.5703125" style="5" customWidth="1"/>
    <col min="23" max="23" width="9.5703125" style="5" bestFit="1" customWidth="1"/>
    <col min="24" max="27" width="9.85546875" style="5" bestFit="1" customWidth="1"/>
    <col min="28" max="29" width="9.5703125" style="5" bestFit="1" customWidth="1"/>
    <col min="30" max="30" width="9.85546875" style="5" bestFit="1" customWidth="1"/>
    <col min="31" max="16384" width="9.140625" style="5"/>
  </cols>
  <sheetData>
    <row r="1" spans="1:18" ht="13.5" x14ac:dyDescent="0.25">
      <c r="A1" s="57" t="str">
        <f>muni&amp;" - "&amp;ADJB15&amp;" - "&amp;Date</f>
        <v>LIM354 Polokwane - Supporting Table SB15 Adjustments Budget - monthly cash flow - 2020</v>
      </c>
      <c r="B1" s="57"/>
      <c r="D1" s="58"/>
    </row>
    <row r="2" spans="1:18" ht="25.5" customHeight="1" x14ac:dyDescent="0.25">
      <c r="A2" s="1409" t="s">
        <v>459</v>
      </c>
      <c r="B2" s="1406" t="str">
        <f>head27</f>
        <v>Ref</v>
      </c>
      <c r="C2" s="1403" t="str">
        <f>Head2</f>
        <v>Budget Year 2020/21</v>
      </c>
      <c r="D2" s="1404"/>
      <c r="E2" s="1404"/>
      <c r="F2" s="1404"/>
      <c r="G2" s="1404"/>
      <c r="H2" s="1404"/>
      <c r="I2" s="1404"/>
      <c r="J2" s="1404"/>
      <c r="K2" s="1404"/>
      <c r="L2" s="1404"/>
      <c r="M2" s="1404"/>
      <c r="N2" s="1405"/>
      <c r="O2" s="527"/>
      <c r="P2" s="1403" t="str">
        <f>Head3a</f>
        <v>Medium Term Revenue and Expenditure Framework</v>
      </c>
      <c r="Q2" s="1404"/>
      <c r="R2" s="1455"/>
    </row>
    <row r="3" spans="1:18" ht="38.25" x14ac:dyDescent="0.25">
      <c r="A3" s="1410"/>
      <c r="B3" s="1407"/>
      <c r="C3" s="452" t="s">
        <v>224</v>
      </c>
      <c r="D3" s="320" t="s">
        <v>225</v>
      </c>
      <c r="E3" s="320" t="s">
        <v>226</v>
      </c>
      <c r="F3" s="320" t="s">
        <v>227</v>
      </c>
      <c r="G3" s="320" t="s">
        <v>228</v>
      </c>
      <c r="H3" s="321" t="s">
        <v>229</v>
      </c>
      <c r="I3" s="531" t="s">
        <v>230</v>
      </c>
      <c r="J3" s="532" t="s">
        <v>231</v>
      </c>
      <c r="K3" s="320" t="s">
        <v>232</v>
      </c>
      <c r="L3" s="320" t="s">
        <v>233</v>
      </c>
      <c r="M3" s="533" t="s">
        <v>234</v>
      </c>
      <c r="N3" s="532" t="s">
        <v>235</v>
      </c>
      <c r="O3" s="534" t="s">
        <v>236</v>
      </c>
      <c r="P3" s="531" t="str">
        <f>Head9</f>
        <v>Budget Year 2020/21</v>
      </c>
      <c r="Q3" s="532" t="str">
        <f>Head10</f>
        <v>Budget Year +1 2021/22</v>
      </c>
      <c r="R3" s="322" t="str">
        <f>Head11</f>
        <v>Budget Year +2 2022/23</v>
      </c>
    </row>
    <row r="4" spans="1:18" ht="25.5" x14ac:dyDescent="0.25">
      <c r="A4" s="562" t="s">
        <v>603</v>
      </c>
      <c r="B4" s="104"/>
      <c r="C4" s="803" t="str">
        <f t="shared" ref="C4:H4" si="0">Head5A</f>
        <v>Outcome</v>
      </c>
      <c r="D4" s="804" t="str">
        <f t="shared" si="0"/>
        <v>Outcome</v>
      </c>
      <c r="E4" s="804" t="str">
        <f t="shared" si="0"/>
        <v>Outcome</v>
      </c>
      <c r="F4" s="804" t="str">
        <f t="shared" si="0"/>
        <v>Outcome</v>
      </c>
      <c r="G4" s="804" t="str">
        <f t="shared" si="0"/>
        <v>Outcome</v>
      </c>
      <c r="H4" s="805" t="str">
        <f t="shared" si="0"/>
        <v>Outcome</v>
      </c>
      <c r="I4" s="803" t="str">
        <f t="shared" ref="I4:N4" si="1">Head7</f>
        <v>Adjusted Budget</v>
      </c>
      <c r="J4" s="805" t="str">
        <f t="shared" si="1"/>
        <v>Adjusted Budget</v>
      </c>
      <c r="K4" s="804" t="str">
        <f t="shared" si="1"/>
        <v>Adjusted Budget</v>
      </c>
      <c r="L4" s="804" t="str">
        <f t="shared" si="1"/>
        <v>Adjusted Budget</v>
      </c>
      <c r="M4" s="804" t="str">
        <f t="shared" si="1"/>
        <v>Adjusted Budget</v>
      </c>
      <c r="N4" s="805" t="str">
        <f t="shared" si="1"/>
        <v>Adjusted Budget</v>
      </c>
      <c r="O4" s="536"/>
      <c r="P4" s="537" t="str">
        <f>Head7</f>
        <v>Adjusted Budget</v>
      </c>
      <c r="Q4" s="538" t="str">
        <f>Head7</f>
        <v>Adjusted Budget</v>
      </c>
      <c r="R4" s="539" t="str">
        <f>Head7</f>
        <v>Adjusted Budget</v>
      </c>
    </row>
    <row r="5" spans="1:18" ht="12.75" customHeight="1" x14ac:dyDescent="0.25">
      <c r="A5" s="507" t="s">
        <v>460</v>
      </c>
      <c r="B5" s="129">
        <v>1</v>
      </c>
      <c r="C5" s="240"/>
      <c r="D5" s="75"/>
      <c r="E5" s="75"/>
      <c r="F5" s="75"/>
      <c r="G5" s="75"/>
      <c r="H5" s="508"/>
      <c r="I5" s="240"/>
      <c r="J5" s="75"/>
      <c r="K5" s="75"/>
      <c r="L5" s="75"/>
      <c r="M5" s="75"/>
      <c r="N5" s="508"/>
      <c r="O5" s="540"/>
      <c r="P5" s="641"/>
      <c r="Q5" s="75"/>
      <c r="R5" s="76"/>
    </row>
    <row r="6" spans="1:18" ht="12.6" customHeight="1" x14ac:dyDescent="0.25">
      <c r="A6" s="129" t="s">
        <v>557</v>
      </c>
      <c r="B6" s="129"/>
      <c r="C6" s="382">
        <v>26527592</v>
      </c>
      <c r="D6" s="109">
        <v>30532201.960000001</v>
      </c>
      <c r="E6" s="109">
        <v>33870405.780000001</v>
      </c>
      <c r="F6" s="109">
        <v>29873729</v>
      </c>
      <c r="G6" s="109">
        <v>36528187</v>
      </c>
      <c r="H6" s="381">
        <v>33694349.93</v>
      </c>
      <c r="I6" s="382">
        <v>40718393.33309637</v>
      </c>
      <c r="J6" s="109">
        <v>40816156.582395516</v>
      </c>
      <c r="K6" s="109">
        <v>40962801.456344254</v>
      </c>
      <c r="L6" s="109">
        <v>41158327.954942547</v>
      </c>
      <c r="M6" s="109">
        <v>41304972.82889127</v>
      </c>
      <c r="N6" s="508">
        <f t="shared" ref="N6:N20" si="2">P6-SUM(C6:M6)</f>
        <v>67030817.174330056</v>
      </c>
      <c r="O6" s="540">
        <f t="shared" ref="O6:O20" si="3">SUM(C6:N6)</f>
        <v>463017935</v>
      </c>
      <c r="P6" s="382">
        <v>463017935</v>
      </c>
      <c r="Q6" s="109">
        <v>490756970.13999999</v>
      </c>
      <c r="R6" s="110">
        <v>514313305.01999998</v>
      </c>
    </row>
    <row r="7" spans="1:18" ht="12.6" customHeight="1" x14ac:dyDescent="0.25">
      <c r="A7" s="129" t="s">
        <v>639</v>
      </c>
      <c r="B7" s="129"/>
      <c r="C7" s="382">
        <v>42077103.149999999</v>
      </c>
      <c r="D7" s="109">
        <v>88868696.060000002</v>
      </c>
      <c r="E7" s="109">
        <v>95441147.159999996</v>
      </c>
      <c r="F7" s="109">
        <v>75611298</v>
      </c>
      <c r="G7" s="109">
        <v>101156056</v>
      </c>
      <c r="H7" s="381">
        <v>103164123.21000001</v>
      </c>
      <c r="I7" s="382">
        <v>97795453.140866205</v>
      </c>
      <c r="J7" s="109">
        <v>98030256.149607763</v>
      </c>
      <c r="K7" s="109">
        <v>98382460.662720174</v>
      </c>
      <c r="L7" s="109">
        <v>98852066.680203289</v>
      </c>
      <c r="M7" s="109">
        <v>99204271.19331564</v>
      </c>
      <c r="N7" s="508">
        <f t="shared" si="2"/>
        <v>87846643.593286872</v>
      </c>
      <c r="O7" s="540">
        <f t="shared" si="3"/>
        <v>1086429575</v>
      </c>
      <c r="P7" s="382">
        <v>1086429575</v>
      </c>
      <c r="Q7" s="109">
        <v>1219640656.4000001</v>
      </c>
      <c r="R7" s="110">
        <v>1353801128.0699999</v>
      </c>
    </row>
    <row r="8" spans="1:18" ht="12.6" customHeight="1" x14ac:dyDescent="0.25">
      <c r="A8" s="129" t="s">
        <v>640</v>
      </c>
      <c r="B8" s="129"/>
      <c r="C8" s="382">
        <v>13887558.450000001</v>
      </c>
      <c r="D8" s="109">
        <v>16916650.609999999</v>
      </c>
      <c r="E8" s="109">
        <v>23703126.239999998</v>
      </c>
      <c r="F8" s="109">
        <v>16634296</v>
      </c>
      <c r="G8" s="109">
        <v>15439815</v>
      </c>
      <c r="H8" s="381">
        <v>17205334.77</v>
      </c>
      <c r="I8" s="382">
        <v>22231813.176216003</v>
      </c>
      <c r="J8" s="109">
        <v>22285190.878920007</v>
      </c>
      <c r="K8" s="109">
        <v>22365257.432976007</v>
      </c>
      <c r="L8" s="109">
        <v>22472012.838384002</v>
      </c>
      <c r="M8" s="109">
        <v>22552079.392440002</v>
      </c>
      <c r="N8" s="508">
        <f t="shared" si="2"/>
        <v>7424547.2110639811</v>
      </c>
      <c r="O8" s="540">
        <f t="shared" si="3"/>
        <v>223117682</v>
      </c>
      <c r="P8" s="382">
        <v>223117682</v>
      </c>
      <c r="Q8" s="109">
        <v>276591392.94</v>
      </c>
      <c r="R8" s="110">
        <v>289867780.14999998</v>
      </c>
    </row>
    <row r="9" spans="1:18" ht="12.6" customHeight="1" x14ac:dyDescent="0.25">
      <c r="A9" s="129" t="s">
        <v>641</v>
      </c>
      <c r="B9" s="129"/>
      <c r="C9" s="382">
        <v>8211912.8499999996</v>
      </c>
      <c r="D9" s="109">
        <v>7799780.21</v>
      </c>
      <c r="E9" s="109">
        <v>9438697.9900000002</v>
      </c>
      <c r="F9" s="109">
        <v>5173751</v>
      </c>
      <c r="G9" s="109">
        <v>10220856</v>
      </c>
      <c r="H9" s="381">
        <v>9154654.1399999987</v>
      </c>
      <c r="I9" s="382">
        <v>9513474.0263645034</v>
      </c>
      <c r="J9" s="109">
        <v>9536315.5006174799</v>
      </c>
      <c r="K9" s="109">
        <v>9570577.7119969465</v>
      </c>
      <c r="L9" s="109">
        <v>9616260.6605028957</v>
      </c>
      <c r="M9" s="109">
        <v>9650522.8718823586</v>
      </c>
      <c r="N9" s="508">
        <f t="shared" si="2"/>
        <v>13782626.03863582</v>
      </c>
      <c r="O9" s="540">
        <f t="shared" si="3"/>
        <v>111669429</v>
      </c>
      <c r="P9" s="382">
        <v>111669429</v>
      </c>
      <c r="Q9" s="109">
        <v>118359443.71000001</v>
      </c>
      <c r="R9" s="110">
        <v>124040696.41</v>
      </c>
    </row>
    <row r="10" spans="1:18" ht="12.6" customHeight="1" x14ac:dyDescent="0.25">
      <c r="A10" s="129" t="s">
        <v>242</v>
      </c>
      <c r="B10" s="129"/>
      <c r="C10" s="382">
        <v>8126947.7600000007</v>
      </c>
      <c r="D10" s="109">
        <v>8052992.8100000005</v>
      </c>
      <c r="E10" s="109">
        <v>10021329.459999999</v>
      </c>
      <c r="F10" s="109">
        <v>12982001</v>
      </c>
      <c r="G10" s="109">
        <v>10136934</v>
      </c>
      <c r="H10" s="381">
        <v>9158930.9199999999</v>
      </c>
      <c r="I10" s="382">
        <v>9147506.8789016642</v>
      </c>
      <c r="J10" s="109">
        <v>9169469.6805316806</v>
      </c>
      <c r="K10" s="109">
        <v>9202413.8829767071</v>
      </c>
      <c r="L10" s="109">
        <v>9246339.4862367362</v>
      </c>
      <c r="M10" s="109">
        <v>9279283.6886817608</v>
      </c>
      <c r="N10" s="508">
        <f t="shared" si="2"/>
        <v>2849548.4326714426</v>
      </c>
      <c r="O10" s="540">
        <f t="shared" si="3"/>
        <v>107373698</v>
      </c>
      <c r="P10" s="382">
        <v>107373698</v>
      </c>
      <c r="Q10" s="109">
        <v>113806357.68000001</v>
      </c>
      <c r="R10" s="110">
        <v>119269061.98</v>
      </c>
    </row>
    <row r="11" spans="1:18" ht="0.95" customHeight="1" x14ac:dyDescent="0.25">
      <c r="A11" s="129"/>
      <c r="B11" s="129"/>
      <c r="C11" s="1122"/>
      <c r="D11" s="132"/>
      <c r="E11" s="132"/>
      <c r="F11" s="132"/>
      <c r="G11" s="132"/>
      <c r="H11" s="1326"/>
      <c r="I11" s="1122"/>
      <c r="J11" s="132"/>
      <c r="K11" s="132"/>
      <c r="L11" s="132"/>
      <c r="M11" s="132"/>
      <c r="N11" s="1326"/>
      <c r="O11" s="1327"/>
      <c r="P11" s="1122"/>
      <c r="Q11" s="132"/>
      <c r="R11" s="133"/>
    </row>
    <row r="12" spans="1:18" ht="12.6" customHeight="1" x14ac:dyDescent="0.25">
      <c r="A12" s="129" t="s">
        <v>642</v>
      </c>
      <c r="B12" s="129"/>
      <c r="C12" s="382">
        <v>287474.72000000003</v>
      </c>
      <c r="D12" s="109">
        <v>137367.25999999998</v>
      </c>
      <c r="E12" s="109">
        <v>243091.25999999998</v>
      </c>
      <c r="F12" s="109">
        <v>616816</v>
      </c>
      <c r="G12" s="109">
        <v>0</v>
      </c>
      <c r="H12" s="381">
        <v>463513.93</v>
      </c>
      <c r="I12" s="382">
        <v>1859132.1320416764</v>
      </c>
      <c r="J12" s="109">
        <v>1863595.8346396154</v>
      </c>
      <c r="K12" s="109">
        <v>1870291.3885365247</v>
      </c>
      <c r="L12" s="109">
        <v>1879218.7937324028</v>
      </c>
      <c r="M12" s="109">
        <v>1885914.3476293115</v>
      </c>
      <c r="N12" s="508">
        <f t="shared" si="2"/>
        <v>95906.333420466632</v>
      </c>
      <c r="O12" s="540">
        <f t="shared" si="3"/>
        <v>11202322</v>
      </c>
      <c r="P12" s="382">
        <v>11202322</v>
      </c>
      <c r="Q12" s="109">
        <v>20731868.039999999</v>
      </c>
      <c r="R12" s="110">
        <v>21726998.280000001</v>
      </c>
    </row>
    <row r="13" spans="1:18" ht="12.6" customHeight="1" x14ac:dyDescent="0.25">
      <c r="A13" s="129" t="s">
        <v>643</v>
      </c>
      <c r="B13" s="129"/>
      <c r="C13" s="382">
        <v>0</v>
      </c>
      <c r="D13" s="109"/>
      <c r="E13" s="109">
        <v>0</v>
      </c>
      <c r="F13" s="109">
        <v>0</v>
      </c>
      <c r="G13" s="109">
        <v>0</v>
      </c>
      <c r="H13" s="381">
        <v>0</v>
      </c>
      <c r="I13" s="382">
        <v>958045.81447220792</v>
      </c>
      <c r="J13" s="109">
        <v>960346.04451895982</v>
      </c>
      <c r="K13" s="109">
        <v>963796.38958908804</v>
      </c>
      <c r="L13" s="109">
        <v>968396.84968259186</v>
      </c>
      <c r="M13" s="109">
        <v>971847.19475271984</v>
      </c>
      <c r="N13" s="508">
        <f t="shared" si="2"/>
        <v>5371768.7069844324</v>
      </c>
      <c r="O13" s="540">
        <f t="shared" si="3"/>
        <v>10194201</v>
      </c>
      <c r="P13" s="382">
        <v>10194201</v>
      </c>
      <c r="Q13" s="109">
        <v>12053205.119999999</v>
      </c>
      <c r="R13" s="110">
        <v>12631759.359999999</v>
      </c>
    </row>
    <row r="14" spans="1:18" ht="12.6" customHeight="1" x14ac:dyDescent="0.25">
      <c r="A14" s="129" t="s">
        <v>644</v>
      </c>
      <c r="B14" s="129"/>
      <c r="C14" s="382">
        <v>1248242.0599999998</v>
      </c>
      <c r="D14" s="109">
        <v>1365237.35</v>
      </c>
      <c r="E14" s="109">
        <v>1184844.98</v>
      </c>
      <c r="F14" s="109">
        <v>49567</v>
      </c>
      <c r="G14" s="109">
        <v>0</v>
      </c>
      <c r="H14" s="381">
        <v>21660.71</v>
      </c>
      <c r="I14" s="382">
        <v>7135939.4563835841</v>
      </c>
      <c r="J14" s="109">
        <v>7153072.5643220786</v>
      </c>
      <c r="K14" s="109">
        <v>7178772.2262298251</v>
      </c>
      <c r="L14" s="109">
        <v>7213038.442106816</v>
      </c>
      <c r="M14" s="109">
        <v>7238738.1040145587</v>
      </c>
      <c r="N14" s="508">
        <f t="shared" si="2"/>
        <v>30876420.106943138</v>
      </c>
      <c r="O14" s="540">
        <f t="shared" si="3"/>
        <v>70665533</v>
      </c>
      <c r="P14" s="382">
        <f>70665540-7</f>
        <v>70665533</v>
      </c>
      <c r="Q14" s="109">
        <v>89777485.599999994</v>
      </c>
      <c r="R14" s="110">
        <v>94086805.120000005</v>
      </c>
    </row>
    <row r="15" spans="1:18" ht="12.6" customHeight="1" x14ac:dyDescent="0.25">
      <c r="A15" s="129" t="s">
        <v>645</v>
      </c>
      <c r="B15" s="129"/>
      <c r="C15" s="382"/>
      <c r="D15" s="109"/>
      <c r="E15" s="109">
        <v>0</v>
      </c>
      <c r="F15" s="109">
        <v>0</v>
      </c>
      <c r="G15" s="109">
        <v>0</v>
      </c>
      <c r="H15" s="381">
        <v>0</v>
      </c>
      <c r="I15" s="382">
        <v>0</v>
      </c>
      <c r="J15" s="109">
        <v>0</v>
      </c>
      <c r="K15" s="109">
        <v>0</v>
      </c>
      <c r="L15" s="109">
        <v>0</v>
      </c>
      <c r="M15" s="109">
        <v>0</v>
      </c>
      <c r="N15" s="508">
        <f t="shared" si="2"/>
        <v>0</v>
      </c>
      <c r="O15" s="540">
        <f t="shared" si="3"/>
        <v>0</v>
      </c>
      <c r="P15" s="382">
        <v>0</v>
      </c>
      <c r="Q15" s="109">
        <v>0</v>
      </c>
      <c r="R15" s="110">
        <v>0</v>
      </c>
    </row>
    <row r="16" spans="1:18" ht="12.6" customHeight="1" x14ac:dyDescent="0.25">
      <c r="A16" s="129" t="s">
        <v>1479</v>
      </c>
      <c r="B16" s="129"/>
      <c r="C16" s="382">
        <v>15387.5</v>
      </c>
      <c r="D16" s="109">
        <v>40988.42</v>
      </c>
      <c r="E16" s="109">
        <v>12931.88</v>
      </c>
      <c r="F16" s="109">
        <v>511950</v>
      </c>
      <c r="G16" s="109">
        <v>767967</v>
      </c>
      <c r="H16" s="381">
        <v>532471.38000000012</v>
      </c>
      <c r="I16" s="382">
        <v>2688280.2165764156</v>
      </c>
      <c r="J16" s="109">
        <v>2694734.6708779195</v>
      </c>
      <c r="K16" s="109">
        <v>2704416.3523301762</v>
      </c>
      <c r="L16" s="109">
        <v>2717325.2609331836</v>
      </c>
      <c r="M16" s="109">
        <v>2727006.9423854398</v>
      </c>
      <c r="N16" s="508">
        <f t="shared" si="2"/>
        <v>16858812.376896866</v>
      </c>
      <c r="O16" s="540">
        <f t="shared" si="3"/>
        <v>32272272</v>
      </c>
      <c r="P16" s="382">
        <v>32272272</v>
      </c>
      <c r="Q16" s="109">
        <v>33821339.200000003</v>
      </c>
      <c r="R16" s="110">
        <v>35444764.079999998</v>
      </c>
    </row>
    <row r="17" spans="1:18" ht="12.6" customHeight="1" x14ac:dyDescent="0.25">
      <c r="A17" s="129" t="s">
        <v>646</v>
      </c>
      <c r="B17" s="129"/>
      <c r="C17" s="382">
        <v>776660.1</v>
      </c>
      <c r="D17" s="109">
        <v>862533.1</v>
      </c>
      <c r="E17" s="109">
        <v>839806.01</v>
      </c>
      <c r="F17" s="109">
        <v>991984</v>
      </c>
      <c r="G17" s="109">
        <v>1142535</v>
      </c>
      <c r="H17" s="381">
        <v>607392.02</v>
      </c>
      <c r="I17" s="382">
        <v>1213726.3603819199</v>
      </c>
      <c r="J17" s="109">
        <v>1216640.4692903997</v>
      </c>
      <c r="K17" s="109">
        <v>1221011.63265312</v>
      </c>
      <c r="L17" s="109">
        <v>1226839.85047008</v>
      </c>
      <c r="M17" s="109">
        <v>1231211.0138327999</v>
      </c>
      <c r="N17" s="508">
        <f t="shared" si="2"/>
        <v>-91475.556628320366</v>
      </c>
      <c r="O17" s="540">
        <f t="shared" si="3"/>
        <v>11238864</v>
      </c>
      <c r="P17" s="382">
        <v>11238864</v>
      </c>
      <c r="Q17" s="109">
        <v>15269929.84</v>
      </c>
      <c r="R17" s="110">
        <v>16002888</v>
      </c>
    </row>
    <row r="18" spans="1:18" ht="12.6" customHeight="1" x14ac:dyDescent="0.25">
      <c r="A18" s="129" t="s">
        <v>647</v>
      </c>
      <c r="B18" s="129"/>
      <c r="C18" s="382">
        <v>7895595.8600000003</v>
      </c>
      <c r="D18" s="109">
        <v>10226741.67</v>
      </c>
      <c r="E18" s="109">
        <v>12631742</v>
      </c>
      <c r="F18" s="109">
        <v>12516843</v>
      </c>
      <c r="G18" s="109">
        <v>9987537</v>
      </c>
      <c r="H18" s="381">
        <v>5885937.2999999998</v>
      </c>
      <c r="I18" s="382">
        <v>2037740.9364164157</v>
      </c>
      <c r="J18" s="109">
        <v>2042633.4716779196</v>
      </c>
      <c r="K18" s="109">
        <v>2049972.2745701761</v>
      </c>
      <c r="L18" s="109">
        <v>2059757.3450931837</v>
      </c>
      <c r="M18" s="109">
        <v>2067096.1479854397</v>
      </c>
      <c r="N18" s="508">
        <f t="shared" si="2"/>
        <v>-44938921.005743146</v>
      </c>
      <c r="O18" s="540">
        <f t="shared" si="3"/>
        <v>24462676</v>
      </c>
      <c r="P18" s="382">
        <v>24462676</v>
      </c>
      <c r="Q18" s="109">
        <v>25636885.120000001</v>
      </c>
      <c r="R18" s="110">
        <v>26867455.120000001</v>
      </c>
    </row>
    <row r="19" spans="1:18" ht="12.6" customHeight="1" x14ac:dyDescent="0.25">
      <c r="A19" s="1353" t="s">
        <v>1797</v>
      </c>
      <c r="B19" s="129"/>
      <c r="C19" s="382">
        <v>483559000</v>
      </c>
      <c r="D19" s="109">
        <v>21246029.560000002</v>
      </c>
      <c r="E19" s="109">
        <v>0</v>
      </c>
      <c r="F19" s="109">
        <v>0</v>
      </c>
      <c r="G19" s="109">
        <v>31660000</v>
      </c>
      <c r="H19" s="381">
        <v>452036932.82796621</v>
      </c>
      <c r="I19" s="382">
        <v>0</v>
      </c>
      <c r="J19" s="109">
        <v>0</v>
      </c>
      <c r="K19" s="109">
        <v>390430945.81420851</v>
      </c>
      <c r="L19" s="109">
        <v>0</v>
      </c>
      <c r="M19" s="109">
        <v>0</v>
      </c>
      <c r="N19" s="508">
        <f t="shared" si="2"/>
        <v>-28222386.202174664</v>
      </c>
      <c r="O19" s="540">
        <f t="shared" si="3"/>
        <v>1350710522</v>
      </c>
      <c r="P19" s="382">
        <v>1350710522</v>
      </c>
      <c r="Q19" s="109">
        <v>1286156250</v>
      </c>
      <c r="R19" s="110">
        <v>1396716550</v>
      </c>
    </row>
    <row r="20" spans="1:18" ht="12.6" customHeight="1" x14ac:dyDescent="0.25">
      <c r="A20" s="129" t="s">
        <v>648</v>
      </c>
      <c r="B20" s="85"/>
      <c r="C20" s="382">
        <v>0</v>
      </c>
      <c r="D20" s="109">
        <v>20209534.440000098</v>
      </c>
      <c r="E20" s="109">
        <v>105455813.05999991</v>
      </c>
      <c r="F20" s="109">
        <v>65548508.829999998</v>
      </c>
      <c r="G20" s="109">
        <v>8279743.689999938</v>
      </c>
      <c r="H20" s="381">
        <v>1009426.0200000001</v>
      </c>
      <c r="I20" s="382">
        <v>4917673.1879401756</v>
      </c>
      <c r="J20" s="109">
        <v>4929480.3264466347</v>
      </c>
      <c r="K20" s="109">
        <v>4947191.0342063243</v>
      </c>
      <c r="L20" s="109">
        <v>4970805.3112192415</v>
      </c>
      <c r="M20" s="109">
        <v>4988516.0189789301</v>
      </c>
      <c r="N20" s="508">
        <f t="shared" si="2"/>
        <v>-146791798.91879126</v>
      </c>
      <c r="O20" s="540">
        <f t="shared" si="3"/>
        <v>78464893</v>
      </c>
      <c r="P20" s="382">
        <v>78464893</v>
      </c>
      <c r="Q20" s="109">
        <v>81744003.120000005</v>
      </c>
      <c r="R20" s="110">
        <v>85667676.900000006</v>
      </c>
    </row>
    <row r="21" spans="1:18" ht="12.75" customHeight="1" x14ac:dyDescent="0.25">
      <c r="A21" s="139" t="s">
        <v>461</v>
      </c>
      <c r="B21" s="541"/>
      <c r="C21" s="302">
        <f>SUM(C6:C10)+SUM(C12:C20)</f>
        <v>592613474.45000005</v>
      </c>
      <c r="D21" s="151">
        <f t="shared" ref="D21:R21" si="4">SUM(D6:D10)+SUM(D12:D20)</f>
        <v>206258753.45000011</v>
      </c>
      <c r="E21" s="151">
        <f t="shared" si="4"/>
        <v>292842935.81999993</v>
      </c>
      <c r="F21" s="151">
        <f t="shared" si="4"/>
        <v>220510743.82999998</v>
      </c>
      <c r="G21" s="151">
        <f t="shared" si="4"/>
        <v>225319630.68999994</v>
      </c>
      <c r="H21" s="521">
        <f t="shared" si="4"/>
        <v>632934727.15796614</v>
      </c>
      <c r="I21" s="302">
        <f t="shared" si="4"/>
        <v>200217178.65965715</v>
      </c>
      <c r="J21" s="151">
        <f t="shared" si="4"/>
        <v>200697892.17384598</v>
      </c>
      <c r="K21" s="151">
        <f t="shared" si="4"/>
        <v>591849908.2593379</v>
      </c>
      <c r="L21" s="151">
        <f t="shared" si="4"/>
        <v>202380389.47350699</v>
      </c>
      <c r="M21" s="151">
        <f t="shared" si="4"/>
        <v>203101459.7447902</v>
      </c>
      <c r="N21" s="521">
        <f t="shared" si="4"/>
        <v>12092508.2908957</v>
      </c>
      <c r="O21" s="542">
        <f t="shared" si="4"/>
        <v>3580819602</v>
      </c>
      <c r="P21" s="302">
        <f t="shared" si="4"/>
        <v>3580819602</v>
      </c>
      <c r="Q21" s="151">
        <f t="shared" si="4"/>
        <v>3784345786.9099998</v>
      </c>
      <c r="R21" s="152">
        <f t="shared" si="4"/>
        <v>4090436868.4899998</v>
      </c>
    </row>
    <row r="22" spans="1:18" ht="5.0999999999999996" customHeight="1" x14ac:dyDescent="0.25">
      <c r="A22" s="50"/>
      <c r="B22" s="85"/>
      <c r="C22" s="240"/>
      <c r="D22" s="75"/>
      <c r="E22" s="75"/>
      <c r="F22" s="75"/>
      <c r="G22" s="75"/>
      <c r="H22" s="508"/>
      <c r="I22" s="240"/>
      <c r="J22" s="75"/>
      <c r="K22" s="75"/>
      <c r="L22" s="75"/>
      <c r="M22" s="75"/>
      <c r="N22" s="508"/>
      <c r="O22" s="540"/>
      <c r="P22" s="240"/>
      <c r="Q22" s="75"/>
      <c r="R22" s="76"/>
    </row>
    <row r="23" spans="1:18" ht="12.75" customHeight="1" x14ac:dyDescent="0.25">
      <c r="A23" s="535" t="s">
        <v>462</v>
      </c>
      <c r="B23" s="129"/>
      <c r="C23" s="240"/>
      <c r="D23" s="75"/>
      <c r="E23" s="75"/>
      <c r="F23" s="75"/>
      <c r="G23" s="75"/>
      <c r="H23" s="508"/>
      <c r="I23" s="240"/>
      <c r="J23" s="75"/>
      <c r="K23" s="75"/>
      <c r="L23" s="75"/>
      <c r="M23" s="75"/>
      <c r="N23" s="508"/>
      <c r="O23" s="540"/>
      <c r="P23" s="240"/>
      <c r="Q23" s="75"/>
      <c r="R23" s="76"/>
    </row>
    <row r="24" spans="1:18" ht="24.6" customHeight="1" x14ac:dyDescent="0.25">
      <c r="A24" s="1352" t="str">
        <f>'B4-FinPerf RE'!A40</f>
        <v>Transfers and subsidies - capital (monetary allocations) (National / Provincial and District)</v>
      </c>
      <c r="B24" s="129"/>
      <c r="C24" s="382">
        <v>51198000</v>
      </c>
      <c r="D24" s="109">
        <v>187524970.44</v>
      </c>
      <c r="E24" s="109">
        <v>0</v>
      </c>
      <c r="F24" s="109">
        <v>9260000</v>
      </c>
      <c r="G24" s="109">
        <v>217340000</v>
      </c>
      <c r="H24" s="381">
        <v>126061067.17203376</v>
      </c>
      <c r="I24" s="382">
        <v>0</v>
      </c>
      <c r="J24" s="109">
        <v>0</v>
      </c>
      <c r="K24" s="109">
        <f>107418159.53362-69752267.8166126</f>
        <v>37665891.717007399</v>
      </c>
      <c r="L24" s="109">
        <v>0</v>
      </c>
      <c r="M24" s="109">
        <v>0</v>
      </c>
      <c r="N24" s="508">
        <f t="shared" ref="N24:N32" si="5">P24-SUM(C24:M24)</f>
        <v>137365548.67095888</v>
      </c>
      <c r="O24" s="540">
        <f>SUM(C24:N24)</f>
        <v>766415478</v>
      </c>
      <c r="P24" s="382">
        <v>766415478</v>
      </c>
      <c r="Q24" s="109">
        <v>623401750</v>
      </c>
      <c r="R24" s="110">
        <v>526841450</v>
      </c>
    </row>
    <row r="25" spans="1:18" ht="43.9" customHeight="1" x14ac:dyDescent="0.25">
      <c r="A25" s="1352" t="str">
        <f>'B4-FinPerf RE'!A41</f>
        <v>Transfers and subsidies - capital (monetary allocations) (National / Provincial Departmental Agencies, Households, Non-profit Institutions, Private Enterprises, Public Corporatons, Higher Educational Institutions)</v>
      </c>
      <c r="B25" s="129"/>
      <c r="C25" s="382">
        <v>0</v>
      </c>
      <c r="D25" s="109">
        <v>0</v>
      </c>
      <c r="E25" s="109">
        <v>0</v>
      </c>
      <c r="F25" s="109">
        <v>0</v>
      </c>
      <c r="G25" s="109">
        <v>0</v>
      </c>
      <c r="H25" s="381">
        <v>0</v>
      </c>
      <c r="I25" s="382">
        <v>0</v>
      </c>
      <c r="J25" s="109">
        <v>0</v>
      </c>
      <c r="K25" s="109">
        <v>0</v>
      </c>
      <c r="L25" s="109">
        <v>0</v>
      </c>
      <c r="M25" s="109">
        <v>0</v>
      </c>
      <c r="N25" s="508">
        <f t="shared" si="5"/>
        <v>1500000</v>
      </c>
      <c r="O25" s="540">
        <f>SUM(C25:N25)</f>
        <v>1500000</v>
      </c>
      <c r="P25" s="382">
        <v>1500000</v>
      </c>
      <c r="Q25" s="109">
        <v>4750000</v>
      </c>
      <c r="R25" s="110">
        <v>4750000</v>
      </c>
    </row>
    <row r="26" spans="1:18" ht="12.6" customHeight="1" x14ac:dyDescent="0.25">
      <c r="A26" s="1353" t="s">
        <v>1812</v>
      </c>
      <c r="B26" s="129"/>
      <c r="C26" s="382">
        <v>0</v>
      </c>
      <c r="D26" s="109">
        <v>0</v>
      </c>
      <c r="E26" s="109">
        <v>0</v>
      </c>
      <c r="F26" s="109">
        <v>0</v>
      </c>
      <c r="G26" s="109">
        <v>0</v>
      </c>
      <c r="H26" s="381">
        <v>0</v>
      </c>
      <c r="I26" s="382">
        <v>0</v>
      </c>
      <c r="J26" s="109">
        <v>0</v>
      </c>
      <c r="K26" s="109">
        <v>0</v>
      </c>
      <c r="L26" s="109">
        <v>0</v>
      </c>
      <c r="M26" s="109">
        <v>0</v>
      </c>
      <c r="N26" s="508">
        <f t="shared" si="5"/>
        <v>0</v>
      </c>
      <c r="O26" s="540">
        <f>SUM(C26:N26)</f>
        <v>0</v>
      </c>
      <c r="P26" s="382">
        <v>0</v>
      </c>
      <c r="Q26" s="109">
        <v>0</v>
      </c>
      <c r="R26" s="110">
        <v>0</v>
      </c>
    </row>
    <row r="27" spans="1:18" ht="12.6" customHeight="1" x14ac:dyDescent="0.25">
      <c r="A27" s="129" t="s">
        <v>736</v>
      </c>
      <c r="B27" s="129"/>
      <c r="C27" s="382">
        <v>0</v>
      </c>
      <c r="D27" s="109">
        <v>0</v>
      </c>
      <c r="E27" s="109">
        <v>0</v>
      </c>
      <c r="F27" s="109">
        <v>0</v>
      </c>
      <c r="G27" s="109">
        <v>0</v>
      </c>
      <c r="H27" s="381">
        <v>0</v>
      </c>
      <c r="I27" s="382">
        <v>0</v>
      </c>
      <c r="J27" s="109">
        <v>0</v>
      </c>
      <c r="K27" s="109">
        <v>0</v>
      </c>
      <c r="L27" s="109">
        <v>0</v>
      </c>
      <c r="M27" s="109">
        <v>0</v>
      </c>
      <c r="N27" s="508">
        <f t="shared" si="5"/>
        <v>0</v>
      </c>
      <c r="O27" s="540">
        <f>SUM(C27:N27)</f>
        <v>0</v>
      </c>
      <c r="P27" s="382"/>
      <c r="Q27" s="109">
        <v>0</v>
      </c>
      <c r="R27" s="110">
        <v>0</v>
      </c>
    </row>
    <row r="28" spans="1:18" ht="12.6" customHeight="1" x14ac:dyDescent="0.25">
      <c r="A28" s="129" t="s">
        <v>737</v>
      </c>
      <c r="B28" s="129"/>
      <c r="C28" s="382">
        <v>0</v>
      </c>
      <c r="D28" s="109">
        <v>0</v>
      </c>
      <c r="E28" s="109">
        <v>0</v>
      </c>
      <c r="F28" s="109">
        <v>0</v>
      </c>
      <c r="G28" s="109">
        <v>0</v>
      </c>
      <c r="H28" s="381">
        <v>0</v>
      </c>
      <c r="I28" s="382">
        <v>0</v>
      </c>
      <c r="J28" s="109">
        <v>0</v>
      </c>
      <c r="K28" s="109">
        <v>0</v>
      </c>
      <c r="L28" s="109">
        <v>0</v>
      </c>
      <c r="M28" s="109">
        <v>0</v>
      </c>
      <c r="N28" s="508">
        <f t="shared" si="5"/>
        <v>0</v>
      </c>
      <c r="O28" s="540"/>
      <c r="P28" s="382">
        <v>0</v>
      </c>
      <c r="Q28" s="109">
        <v>0</v>
      </c>
      <c r="R28" s="110">
        <v>0</v>
      </c>
    </row>
    <row r="29" spans="1:18" ht="12.6" customHeight="1" x14ac:dyDescent="0.25">
      <c r="A29" s="590" t="s">
        <v>1132</v>
      </c>
      <c r="B29" s="129"/>
      <c r="C29" s="382">
        <v>0</v>
      </c>
      <c r="D29" s="109">
        <v>0</v>
      </c>
      <c r="E29" s="109">
        <v>0</v>
      </c>
      <c r="F29" s="109">
        <v>0</v>
      </c>
      <c r="G29" s="109">
        <v>421576</v>
      </c>
      <c r="H29" s="381">
        <v>0</v>
      </c>
      <c r="I29" s="382">
        <v>0</v>
      </c>
      <c r="J29" s="109">
        <v>0</v>
      </c>
      <c r="K29" s="109">
        <v>0</v>
      </c>
      <c r="L29" s="109">
        <v>0</v>
      </c>
      <c r="M29" s="109">
        <v>0</v>
      </c>
      <c r="N29" s="508">
        <f t="shared" si="5"/>
        <v>78424</v>
      </c>
      <c r="O29" s="540"/>
      <c r="P29" s="382">
        <v>500000</v>
      </c>
      <c r="Q29" s="109">
        <v>0</v>
      </c>
      <c r="R29" s="110">
        <v>0</v>
      </c>
    </row>
    <row r="30" spans="1:18" ht="12.6" hidden="1" customHeight="1" x14ac:dyDescent="0.25">
      <c r="A30" s="129"/>
      <c r="B30" s="129"/>
      <c r="C30" s="1122"/>
      <c r="D30" s="132"/>
      <c r="E30" s="132"/>
      <c r="F30" s="132"/>
      <c r="G30" s="132"/>
      <c r="H30" s="1326"/>
      <c r="I30" s="1122"/>
      <c r="J30" s="132"/>
      <c r="K30" s="132"/>
      <c r="L30" s="132"/>
      <c r="M30" s="132"/>
      <c r="N30" s="1326"/>
      <c r="O30" s="1327"/>
      <c r="P30" s="1122"/>
      <c r="Q30" s="132"/>
      <c r="R30" s="133"/>
    </row>
    <row r="31" spans="1:18" ht="12.6" customHeight="1" x14ac:dyDescent="0.25">
      <c r="A31" s="129" t="s">
        <v>1799</v>
      </c>
      <c r="B31" s="129"/>
      <c r="C31" s="382">
        <v>0</v>
      </c>
      <c r="D31" s="109">
        <v>0</v>
      </c>
      <c r="E31" s="109">
        <v>0</v>
      </c>
      <c r="F31" s="109">
        <v>0</v>
      </c>
      <c r="G31" s="109">
        <v>0</v>
      </c>
      <c r="H31" s="381">
        <v>0</v>
      </c>
      <c r="I31" s="382">
        <v>0</v>
      </c>
      <c r="J31" s="109">
        <v>0</v>
      </c>
      <c r="K31" s="109">
        <v>0</v>
      </c>
      <c r="L31" s="109">
        <v>0</v>
      </c>
      <c r="M31" s="109">
        <v>0</v>
      </c>
      <c r="N31" s="508">
        <f t="shared" si="5"/>
        <v>0</v>
      </c>
      <c r="O31" s="540"/>
      <c r="P31" s="382">
        <v>0</v>
      </c>
      <c r="Q31" s="109">
        <v>0</v>
      </c>
      <c r="R31" s="110">
        <v>0</v>
      </c>
    </row>
    <row r="32" spans="1:18" ht="12.6" customHeight="1" x14ac:dyDescent="0.25">
      <c r="A32" s="129" t="s">
        <v>732</v>
      </c>
      <c r="B32" s="129"/>
      <c r="C32" s="382">
        <v>0</v>
      </c>
      <c r="D32" s="109">
        <v>0</v>
      </c>
      <c r="E32" s="109">
        <v>0</v>
      </c>
      <c r="F32" s="109">
        <v>0</v>
      </c>
      <c r="G32" s="109">
        <v>0</v>
      </c>
      <c r="H32" s="381">
        <v>0</v>
      </c>
      <c r="I32" s="382">
        <v>0</v>
      </c>
      <c r="J32" s="109">
        <v>0</v>
      </c>
      <c r="K32" s="109">
        <v>0</v>
      </c>
      <c r="L32" s="109">
        <v>0</v>
      </c>
      <c r="M32" s="109">
        <v>0</v>
      </c>
      <c r="N32" s="508">
        <f t="shared" si="5"/>
        <v>0</v>
      </c>
      <c r="O32" s="540"/>
      <c r="P32" s="382">
        <v>0</v>
      </c>
      <c r="Q32" s="109">
        <v>0</v>
      </c>
      <c r="R32" s="110">
        <v>0</v>
      </c>
    </row>
    <row r="33" spans="1:19" ht="12.75" customHeight="1" x14ac:dyDescent="0.25">
      <c r="A33" s="162" t="s">
        <v>463</v>
      </c>
      <c r="B33" s="162"/>
      <c r="C33" s="485">
        <f>SUM(C21:C29)+SUM(C31:C32)</f>
        <v>643811474.45000005</v>
      </c>
      <c r="D33" s="81">
        <f t="shared" ref="D33:R33" si="6">SUM(D21:D29)+SUM(D31:D32)</f>
        <v>393783723.8900001</v>
      </c>
      <c r="E33" s="81">
        <f t="shared" si="6"/>
        <v>292842935.81999993</v>
      </c>
      <c r="F33" s="81">
        <f t="shared" si="6"/>
        <v>229770743.82999998</v>
      </c>
      <c r="G33" s="81">
        <f t="shared" si="6"/>
        <v>443081206.68999994</v>
      </c>
      <c r="H33" s="519">
        <f t="shared" si="6"/>
        <v>758995794.32999992</v>
      </c>
      <c r="I33" s="485">
        <f t="shared" si="6"/>
        <v>200217178.65965715</v>
      </c>
      <c r="J33" s="81">
        <f t="shared" si="6"/>
        <v>200697892.17384598</v>
      </c>
      <c r="K33" s="81">
        <f t="shared" si="6"/>
        <v>629515799.9763453</v>
      </c>
      <c r="L33" s="81">
        <f t="shared" si="6"/>
        <v>202380389.47350699</v>
      </c>
      <c r="M33" s="81">
        <f t="shared" si="6"/>
        <v>203101459.7447902</v>
      </c>
      <c r="N33" s="519">
        <f t="shared" si="6"/>
        <v>151036480.96185458</v>
      </c>
      <c r="O33" s="561">
        <f t="shared" si="6"/>
        <v>4348735080</v>
      </c>
      <c r="P33" s="485">
        <f t="shared" si="6"/>
        <v>4349235080</v>
      </c>
      <c r="Q33" s="81">
        <f t="shared" si="6"/>
        <v>4412497536.9099998</v>
      </c>
      <c r="R33" s="82">
        <f t="shared" si="6"/>
        <v>4622028318.4899998</v>
      </c>
    </row>
    <row r="34" spans="1:19" ht="5.0999999999999996" customHeight="1" x14ac:dyDescent="0.25">
      <c r="A34" s="563"/>
      <c r="B34" s="129"/>
      <c r="C34" s="240"/>
      <c r="D34" s="75"/>
      <c r="E34" s="75"/>
      <c r="F34" s="75"/>
      <c r="G34" s="75"/>
      <c r="H34" s="508"/>
      <c r="I34" s="240"/>
      <c r="J34" s="75"/>
      <c r="K34" s="75"/>
      <c r="L34" s="75"/>
      <c r="M34" s="75"/>
      <c r="N34" s="508"/>
      <c r="O34" s="540"/>
      <c r="P34" s="240"/>
      <c r="Q34" s="75"/>
      <c r="R34" s="76"/>
    </row>
    <row r="35" spans="1:19" ht="12.75" customHeight="1" x14ac:dyDescent="0.25">
      <c r="A35" s="126" t="s">
        <v>464</v>
      </c>
      <c r="B35" s="129"/>
      <c r="C35" s="240"/>
      <c r="D35" s="75"/>
      <c r="E35" s="75"/>
      <c r="F35" s="75"/>
      <c r="G35" s="75"/>
      <c r="H35" s="508"/>
      <c r="I35" s="240"/>
      <c r="J35" s="75"/>
      <c r="K35" s="75"/>
      <c r="L35" s="75"/>
      <c r="M35" s="75"/>
      <c r="N35" s="508"/>
      <c r="O35" s="540"/>
      <c r="P35" s="240"/>
      <c r="Q35" s="75"/>
      <c r="R35" s="76"/>
    </row>
    <row r="36" spans="1:19" ht="12.6" customHeight="1" x14ac:dyDescent="0.25">
      <c r="A36" s="129" t="s">
        <v>650</v>
      </c>
      <c r="B36" s="129"/>
      <c r="C36" s="382">
        <v>70068085.079999998</v>
      </c>
      <c r="D36" s="109">
        <v>77300564</v>
      </c>
      <c r="E36" s="109">
        <v>76294376</v>
      </c>
      <c r="F36" s="109">
        <v>83662550</v>
      </c>
      <c r="G36" s="109">
        <v>73834937</v>
      </c>
      <c r="H36" s="381">
        <v>65671568.18</v>
      </c>
      <c r="I36" s="382">
        <v>83854851.498311073</v>
      </c>
      <c r="J36" s="109">
        <v>79987039.663423598</v>
      </c>
      <c r="K36" s="109">
        <v>79493072.042723373</v>
      </c>
      <c r="L36" s="109">
        <v>80119908.500073805</v>
      </c>
      <c r="M36" s="109">
        <v>81315728.029925644</v>
      </c>
      <c r="N36" s="508">
        <f t="shared" ref="N36:N45" si="7">P36-SUM(C36:M36)</f>
        <v>129412841.00554252</v>
      </c>
      <c r="O36" s="540">
        <f t="shared" ref="O36:O41" si="8">SUM(C36:N36)</f>
        <v>981015521</v>
      </c>
      <c r="P36" s="382">
        <v>981015521</v>
      </c>
      <c r="Q36" s="109">
        <v>993137975.25</v>
      </c>
      <c r="R36" s="110">
        <v>1050739994.05</v>
      </c>
    </row>
    <row r="37" spans="1:19" ht="12.6" customHeight="1" x14ac:dyDescent="0.25">
      <c r="A37" s="129" t="s">
        <v>563</v>
      </c>
      <c r="B37" s="129"/>
      <c r="C37" s="382">
        <v>3449161.73</v>
      </c>
      <c r="D37" s="109">
        <v>3449708</v>
      </c>
      <c r="E37" s="109">
        <v>3487470</v>
      </c>
      <c r="F37" s="109">
        <v>3233692</v>
      </c>
      <c r="G37" s="109">
        <v>3536834</v>
      </c>
      <c r="H37" s="381">
        <v>19416202</v>
      </c>
      <c r="I37" s="382">
        <v>3431900.8177815052</v>
      </c>
      <c r="J37" s="109">
        <v>3356131.5789473685</v>
      </c>
      <c r="K37" s="109">
        <v>3365454.1666666674</v>
      </c>
      <c r="L37" s="109">
        <v>3353903.071922835</v>
      </c>
      <c r="M37" s="109">
        <v>3359474.3394841687</v>
      </c>
      <c r="N37" s="508">
        <f t="shared" si="7"/>
        <v>-13054485.704802543</v>
      </c>
      <c r="O37" s="540">
        <f t="shared" si="8"/>
        <v>40385446</v>
      </c>
      <c r="P37" s="382">
        <v>40385446</v>
      </c>
      <c r="Q37" s="109">
        <v>42727802.299999997</v>
      </c>
      <c r="R37" s="110">
        <v>45206010.299999997</v>
      </c>
    </row>
    <row r="38" spans="1:19" ht="12.6" customHeight="1" x14ac:dyDescent="0.25">
      <c r="A38" s="129" t="s">
        <v>565</v>
      </c>
      <c r="B38" s="129"/>
      <c r="C38" s="382">
        <v>1656010</v>
      </c>
      <c r="D38" s="109">
        <v>0</v>
      </c>
      <c r="E38" s="109">
        <v>0</v>
      </c>
      <c r="F38" s="109">
        <v>0</v>
      </c>
      <c r="G38" s="109">
        <v>0</v>
      </c>
      <c r="H38" s="381">
        <v>1224198</v>
      </c>
      <c r="I38" s="382">
        <v>0</v>
      </c>
      <c r="J38" s="109">
        <v>0</v>
      </c>
      <c r="K38" s="109">
        <v>0</v>
      </c>
      <c r="L38" s="109">
        <v>0</v>
      </c>
      <c r="M38" s="109">
        <v>0</v>
      </c>
      <c r="N38" s="508">
        <f t="shared" si="7"/>
        <v>61707886</v>
      </c>
      <c r="O38" s="540">
        <f t="shared" si="8"/>
        <v>64588094</v>
      </c>
      <c r="P38" s="382">
        <v>64588094</v>
      </c>
      <c r="Q38" s="109">
        <v>118064572</v>
      </c>
      <c r="R38" s="110">
        <v>118064572</v>
      </c>
    </row>
    <row r="39" spans="1:19" ht="12.6" customHeight="1" x14ac:dyDescent="0.25">
      <c r="A39" s="129" t="s">
        <v>465</v>
      </c>
      <c r="B39" s="129"/>
      <c r="C39" s="382">
        <v>91751594.329999998</v>
      </c>
      <c r="D39" s="109">
        <v>108499964.73999999</v>
      </c>
      <c r="E39" s="109">
        <v>102685727.20999999</v>
      </c>
      <c r="F39" s="109">
        <v>73486799.939999998</v>
      </c>
      <c r="G39" s="109">
        <v>63089231.450000003</v>
      </c>
      <c r="H39" s="381">
        <v>65671568.18</v>
      </c>
      <c r="I39" s="382">
        <v>57690222.124575235</v>
      </c>
      <c r="J39" s="109">
        <v>53312175.26778803</v>
      </c>
      <c r="K39" s="109">
        <v>57690222.124575235</v>
      </c>
      <c r="L39" s="109">
        <v>52818241.868981898</v>
      </c>
      <c r="M39" s="109">
        <v>59978808.647301398</v>
      </c>
      <c r="N39" s="508">
        <f t="shared" si="7"/>
        <v>-30114741.883221865</v>
      </c>
      <c r="O39" s="540">
        <f t="shared" si="8"/>
        <v>756559814</v>
      </c>
      <c r="P39" s="382">
        <v>756559814</v>
      </c>
      <c r="Q39" s="109">
        <v>863448549</v>
      </c>
      <c r="R39" s="110">
        <v>919572703</v>
      </c>
    </row>
    <row r="40" spans="1:19" ht="12.6" customHeight="1" x14ac:dyDescent="0.25">
      <c r="A40" s="129" t="s">
        <v>466</v>
      </c>
      <c r="B40" s="129"/>
      <c r="C40" s="382">
        <v>21654847.34</v>
      </c>
      <c r="D40" s="109">
        <v>14753880.16</v>
      </c>
      <c r="E40" s="109">
        <v>18268743.41</v>
      </c>
      <c r="F40" s="109">
        <v>13142368.689999999</v>
      </c>
      <c r="G40" s="109">
        <v>14202119.65</v>
      </c>
      <c r="H40" s="381">
        <v>19416202</v>
      </c>
      <c r="I40" s="382">
        <v>19065048.313934404</v>
      </c>
      <c r="J40" s="109">
        <v>23301244.423520762</v>
      </c>
      <c r="K40" s="109">
        <v>19065048.313934404</v>
      </c>
      <c r="L40" s="109">
        <v>19065048.313934404</v>
      </c>
      <c r="M40" s="109">
        <v>23301244.423520762</v>
      </c>
      <c r="N40" s="508">
        <f t="shared" si="7"/>
        <v>-8185318.0388447642</v>
      </c>
      <c r="O40" s="540">
        <f t="shared" si="8"/>
        <v>197050477</v>
      </c>
      <c r="P40" s="382">
        <v>197050477</v>
      </c>
      <c r="Q40" s="109">
        <v>243904509.54999998</v>
      </c>
      <c r="R40" s="110">
        <v>259758303.34999999</v>
      </c>
    </row>
    <row r="41" spans="1:19" ht="12.6" customHeight="1" x14ac:dyDescent="0.25">
      <c r="A41" s="30" t="s">
        <v>653</v>
      </c>
      <c r="B41" s="129"/>
      <c r="C41" s="382">
        <v>2693782</v>
      </c>
      <c r="D41" s="109">
        <v>3196152.87</v>
      </c>
      <c r="E41" s="109">
        <v>5936768</v>
      </c>
      <c r="F41" s="109">
        <v>387422.5</v>
      </c>
      <c r="G41" s="109">
        <v>790062.95</v>
      </c>
      <c r="H41" s="381">
        <v>1738432.18</v>
      </c>
      <c r="I41" s="382">
        <v>8165907.5265774485</v>
      </c>
      <c r="J41" s="109">
        <v>8166304.5465855477</v>
      </c>
      <c r="K41" s="109">
        <v>8166304.5465855477</v>
      </c>
      <c r="L41" s="109">
        <v>8166304.5465855477</v>
      </c>
      <c r="M41" s="109">
        <v>8734440.1781750228</v>
      </c>
      <c r="N41" s="508">
        <f t="shared" si="7"/>
        <v>40742400.155490883</v>
      </c>
      <c r="O41" s="540">
        <f t="shared" si="8"/>
        <v>96884282</v>
      </c>
      <c r="P41" s="382">
        <v>96884282</v>
      </c>
      <c r="Q41" s="109">
        <v>83009168.399999991</v>
      </c>
      <c r="R41" s="110">
        <v>86993562.450000003</v>
      </c>
      <c r="S41" s="168"/>
    </row>
    <row r="42" spans="1:19" ht="12.6" customHeight="1" x14ac:dyDescent="0.25">
      <c r="A42" s="30" t="s">
        <v>654</v>
      </c>
      <c r="B42" s="129"/>
      <c r="C42" s="382">
        <v>72380582</v>
      </c>
      <c r="D42" s="109">
        <v>29623407.369999997</v>
      </c>
      <c r="E42" s="109">
        <v>77697315</v>
      </c>
      <c r="F42" s="109">
        <v>52311575.579999998</v>
      </c>
      <c r="G42" s="109">
        <v>56309648.759999998</v>
      </c>
      <c r="H42" s="381">
        <v>87583070.150000006</v>
      </c>
      <c r="I42" s="382">
        <v>40308564.590032279</v>
      </c>
      <c r="J42" s="109">
        <v>40310605.736709908</v>
      </c>
      <c r="K42" s="109">
        <v>40308564.590032279</v>
      </c>
      <c r="L42" s="109">
        <v>40308564.590032279</v>
      </c>
      <c r="M42" s="109">
        <v>34699493.519877896</v>
      </c>
      <c r="N42" s="508">
        <f t="shared" si="7"/>
        <v>310953508.11331534</v>
      </c>
      <c r="O42" s="540"/>
      <c r="P42" s="382">
        <v>882794900</v>
      </c>
      <c r="Q42" s="109">
        <v>699139070.18999994</v>
      </c>
      <c r="R42" s="110">
        <v>732697740.72000003</v>
      </c>
      <c r="S42" s="168"/>
    </row>
    <row r="43" spans="1:19" ht="12.6" customHeight="1" x14ac:dyDescent="0.25">
      <c r="A43" s="30" t="s">
        <v>1461</v>
      </c>
      <c r="B43" s="129"/>
      <c r="C43" s="382">
        <v>0</v>
      </c>
      <c r="D43" s="109">
        <v>0</v>
      </c>
      <c r="E43" s="109">
        <v>0</v>
      </c>
      <c r="F43" s="109">
        <v>0</v>
      </c>
      <c r="G43" s="109">
        <v>0</v>
      </c>
      <c r="H43" s="381">
        <v>0</v>
      </c>
      <c r="I43" s="382">
        <v>0</v>
      </c>
      <c r="J43" s="109">
        <v>0</v>
      </c>
      <c r="K43" s="109">
        <v>0</v>
      </c>
      <c r="L43" s="109">
        <v>0</v>
      </c>
      <c r="M43" s="109">
        <v>0</v>
      </c>
      <c r="N43" s="508">
        <f t="shared" si="7"/>
        <v>0</v>
      </c>
      <c r="O43" s="540">
        <f>SUM(C43:N43)</f>
        <v>0</v>
      </c>
      <c r="P43" s="382">
        <v>0</v>
      </c>
      <c r="Q43" s="109"/>
      <c r="R43" s="110"/>
    </row>
    <row r="44" spans="1:19" ht="12.6" customHeight="1" x14ac:dyDescent="0.25">
      <c r="A44" s="30" t="s">
        <v>1462</v>
      </c>
      <c r="B44" s="129"/>
      <c r="C44" s="382">
        <v>80000</v>
      </c>
      <c r="D44" s="109">
        <v>978258</v>
      </c>
      <c r="E44" s="109">
        <v>1035582</v>
      </c>
      <c r="F44" s="109">
        <v>40000</v>
      </c>
      <c r="G44" s="109">
        <v>40000</v>
      </c>
      <c r="H44" s="381">
        <v>40000</v>
      </c>
      <c r="I44" s="382">
        <v>76398.6013986014</v>
      </c>
      <c r="J44" s="109">
        <v>76398.6013986014</v>
      </c>
      <c r="K44" s="109">
        <v>76398.6013986014</v>
      </c>
      <c r="L44" s="109">
        <v>76398.6013986014</v>
      </c>
      <c r="M44" s="109">
        <v>76398.6013986014</v>
      </c>
      <c r="N44" s="508">
        <f t="shared" si="7"/>
        <v>36904174.993006997</v>
      </c>
      <c r="O44" s="540"/>
      <c r="P44" s="382">
        <v>39500008</v>
      </c>
      <c r="Q44" s="109">
        <v>10925007.6</v>
      </c>
      <c r="R44" s="110">
        <v>10925007.6</v>
      </c>
    </row>
    <row r="45" spans="1:19" ht="12.6" customHeight="1" x14ac:dyDescent="0.25">
      <c r="A45" s="30" t="s">
        <v>567</v>
      </c>
      <c r="B45" s="129"/>
      <c r="C45" s="382">
        <v>10823624</v>
      </c>
      <c r="D45" s="109">
        <v>20320796.039999984</v>
      </c>
      <c r="E45" s="109">
        <v>5734066</v>
      </c>
      <c r="F45" s="109">
        <v>11689021.550000001</v>
      </c>
      <c r="G45" s="109">
        <v>8752024.0600000005</v>
      </c>
      <c r="H45" s="381">
        <v>8890465.4800000023</v>
      </c>
      <c r="I45" s="382">
        <v>14777114.135119416</v>
      </c>
      <c r="J45" s="109">
        <v>14837224.429906342</v>
      </c>
      <c r="K45" s="109">
        <v>14787132.517583903</v>
      </c>
      <c r="L45" s="109">
        <v>14752068.178958196</v>
      </c>
      <c r="M45" s="109">
        <v>14876152.100924931</v>
      </c>
      <c r="N45" s="508">
        <f t="shared" si="7"/>
        <v>62542513.507507235</v>
      </c>
      <c r="O45" s="540">
        <f>SUM(C45:N45)</f>
        <v>202782202</v>
      </c>
      <c r="P45" s="382">
        <v>202782202</v>
      </c>
      <c r="Q45" s="109">
        <v>210660020.00999999</v>
      </c>
      <c r="R45" s="110">
        <v>211851783.14999998</v>
      </c>
    </row>
    <row r="46" spans="1:19" ht="12.75" customHeight="1" x14ac:dyDescent="0.25">
      <c r="A46" s="541" t="s">
        <v>464</v>
      </c>
      <c r="B46" s="541"/>
      <c r="C46" s="302">
        <f t="shared" ref="C46:R46" si="9">SUM(C36:C45)</f>
        <v>274557686.48000002</v>
      </c>
      <c r="D46" s="151">
        <f t="shared" si="9"/>
        <v>258122731.18000001</v>
      </c>
      <c r="E46" s="151">
        <f t="shared" si="9"/>
        <v>291140047.62</v>
      </c>
      <c r="F46" s="151">
        <f t="shared" si="9"/>
        <v>237953430.25999999</v>
      </c>
      <c r="G46" s="151">
        <f t="shared" si="9"/>
        <v>220554857.86999997</v>
      </c>
      <c r="H46" s="521">
        <f t="shared" si="9"/>
        <v>269651706.17000002</v>
      </c>
      <c r="I46" s="302">
        <f t="shared" si="9"/>
        <v>227370007.60772994</v>
      </c>
      <c r="J46" s="151">
        <f t="shared" si="9"/>
        <v>223347124.24828014</v>
      </c>
      <c r="K46" s="151">
        <f t="shared" si="9"/>
        <v>222952196.90350002</v>
      </c>
      <c r="L46" s="151">
        <f t="shared" si="9"/>
        <v>218660437.67188758</v>
      </c>
      <c r="M46" s="151">
        <f t="shared" si="9"/>
        <v>226341739.84060845</v>
      </c>
      <c r="N46" s="521">
        <f t="shared" si="9"/>
        <v>590908778.1479938</v>
      </c>
      <c r="O46" s="542">
        <f t="shared" si="9"/>
        <v>2339265836</v>
      </c>
      <c r="P46" s="302">
        <f t="shared" si="9"/>
        <v>3261560744</v>
      </c>
      <c r="Q46" s="151">
        <f t="shared" si="9"/>
        <v>3265016674.3000002</v>
      </c>
      <c r="R46" s="152">
        <f t="shared" si="9"/>
        <v>3435809676.6199999</v>
      </c>
    </row>
    <row r="47" spans="1:19" ht="5.0999999999999996" customHeight="1" x14ac:dyDescent="0.25">
      <c r="A47" s="39"/>
      <c r="B47" s="85"/>
      <c r="C47" s="240"/>
      <c r="D47" s="75"/>
      <c r="E47" s="75"/>
      <c r="F47" s="75"/>
      <c r="G47" s="75"/>
      <c r="H47" s="508"/>
      <c r="I47" s="240"/>
      <c r="J47" s="75"/>
      <c r="K47" s="75"/>
      <c r="L47" s="75"/>
      <c r="M47" s="75"/>
      <c r="N47" s="508"/>
      <c r="O47" s="540"/>
      <c r="P47" s="240"/>
      <c r="Q47" s="75"/>
      <c r="R47" s="76"/>
    </row>
    <row r="48" spans="1:19" ht="12.75" customHeight="1" x14ac:dyDescent="0.25">
      <c r="A48" s="51" t="s">
        <v>467</v>
      </c>
      <c r="B48" s="85"/>
      <c r="C48" s="240"/>
      <c r="D48" s="75"/>
      <c r="E48" s="75"/>
      <c r="F48" s="75"/>
      <c r="G48" s="75"/>
      <c r="H48" s="508"/>
      <c r="I48" s="240"/>
      <c r="J48" s="75"/>
      <c r="K48" s="75"/>
      <c r="L48" s="75"/>
      <c r="M48" s="75"/>
      <c r="N48" s="508"/>
      <c r="O48" s="540"/>
      <c r="P48" s="240"/>
      <c r="Q48" s="75"/>
      <c r="R48" s="76"/>
    </row>
    <row r="49" spans="1:18" ht="12.6" customHeight="1" x14ac:dyDescent="0.25">
      <c r="A49" s="30" t="s">
        <v>733</v>
      </c>
      <c r="B49" s="129"/>
      <c r="C49" s="382">
        <v>21521435</v>
      </c>
      <c r="D49" s="109">
        <v>58840828</v>
      </c>
      <c r="E49" s="109">
        <v>69126894.329999998</v>
      </c>
      <c r="F49" s="109">
        <v>85314622</v>
      </c>
      <c r="G49" s="109">
        <v>48292769.811999999</v>
      </c>
      <c r="H49" s="381">
        <v>95953923</v>
      </c>
      <c r="I49" s="382">
        <v>78780754.377229705</v>
      </c>
      <c r="J49" s="109">
        <v>78780754.377229705</v>
      </c>
      <c r="K49" s="109">
        <v>118994902.98235315</v>
      </c>
      <c r="L49" s="109">
        <v>135539683.13322848</v>
      </c>
      <c r="M49" s="109">
        <v>177230617.56745183</v>
      </c>
      <c r="N49" s="508">
        <f>P49-SUM(C49:M49)</f>
        <v>37542545.420507073</v>
      </c>
      <c r="O49" s="540">
        <f>SUM(C49:N49)</f>
        <v>1005919730</v>
      </c>
      <c r="P49" s="382">
        <v>1005919730</v>
      </c>
      <c r="Q49" s="109">
        <v>706307197.5</v>
      </c>
      <c r="R49" s="110">
        <v>622559033.88999999</v>
      </c>
    </row>
    <row r="50" spans="1:18" ht="12.6" customHeight="1" x14ac:dyDescent="0.25">
      <c r="A50" s="30" t="s">
        <v>738</v>
      </c>
      <c r="B50" s="129"/>
      <c r="C50" s="382">
        <v>4704864.05</v>
      </c>
      <c r="D50" s="109">
        <v>0</v>
      </c>
      <c r="E50" s="109">
        <v>0</v>
      </c>
      <c r="F50" s="109">
        <v>0</v>
      </c>
      <c r="G50" s="109">
        <v>0</v>
      </c>
      <c r="H50" s="381">
        <v>16108344.539999999</v>
      </c>
      <c r="I50" s="382">
        <v>0</v>
      </c>
      <c r="J50" s="109">
        <v>0</v>
      </c>
      <c r="K50" s="109">
        <v>0</v>
      </c>
      <c r="L50" s="109">
        <v>0</v>
      </c>
      <c r="M50" s="109">
        <v>0</v>
      </c>
      <c r="N50" s="508">
        <f>P50-SUM(C50:M50)</f>
        <v>43391791.409999996</v>
      </c>
      <c r="O50" s="540">
        <f>SUM(C50:N50)</f>
        <v>64205000</v>
      </c>
      <c r="P50" s="382">
        <v>64205000</v>
      </c>
      <c r="Q50" s="109">
        <v>62760000</v>
      </c>
      <c r="R50" s="110">
        <v>162760000</v>
      </c>
    </row>
    <row r="51" spans="1:18" ht="12.6" customHeight="1" x14ac:dyDescent="0.25">
      <c r="A51" s="30" t="s">
        <v>468</v>
      </c>
      <c r="B51" s="129"/>
      <c r="C51" s="382">
        <v>147151483.40000001</v>
      </c>
      <c r="D51" s="109">
        <v>120707574.48</v>
      </c>
      <c r="E51" s="109">
        <v>68832038.459999993</v>
      </c>
      <c r="F51" s="109">
        <v>62600058.639999896</v>
      </c>
      <c r="G51" s="109">
        <v>63618922.928000003</v>
      </c>
      <c r="H51" s="381">
        <v>103069271.01999998</v>
      </c>
      <c r="I51" s="382">
        <v>0</v>
      </c>
      <c r="J51" s="109">
        <v>0</v>
      </c>
      <c r="K51" s="109">
        <v>0</v>
      </c>
      <c r="L51" s="109">
        <v>0</v>
      </c>
      <c r="M51" s="109"/>
      <c r="N51" s="508">
        <f>P51-SUM(C51:M51)</f>
        <v>-207200992.92799985</v>
      </c>
      <c r="O51" s="540">
        <f>SUM(C51:N51)</f>
        <v>358778356</v>
      </c>
      <c r="P51" s="382">
        <v>358778356</v>
      </c>
      <c r="Q51" s="109">
        <v>184750000</v>
      </c>
      <c r="R51" s="110">
        <v>104749999.98</v>
      </c>
    </row>
    <row r="52" spans="1:18" ht="12.75" customHeight="1" x14ac:dyDescent="0.25">
      <c r="A52" s="564" t="s">
        <v>469</v>
      </c>
      <c r="B52" s="564"/>
      <c r="C52" s="302">
        <f t="shared" ref="C52:R52" si="10">SUM(C46:C51)</f>
        <v>447935468.93000007</v>
      </c>
      <c r="D52" s="151">
        <f t="shared" si="10"/>
        <v>437671133.66000003</v>
      </c>
      <c r="E52" s="151">
        <f t="shared" si="10"/>
        <v>429098980.40999997</v>
      </c>
      <c r="F52" s="151">
        <f t="shared" si="10"/>
        <v>385868110.89999986</v>
      </c>
      <c r="G52" s="151">
        <f t="shared" si="10"/>
        <v>332466550.61000001</v>
      </c>
      <c r="H52" s="521">
        <f t="shared" si="10"/>
        <v>484783244.73000002</v>
      </c>
      <c r="I52" s="302">
        <f t="shared" si="10"/>
        <v>306150761.98495966</v>
      </c>
      <c r="J52" s="151">
        <f t="shared" si="10"/>
        <v>302127878.62550986</v>
      </c>
      <c r="K52" s="151">
        <f t="shared" si="10"/>
        <v>341947099.88585317</v>
      </c>
      <c r="L52" s="151">
        <f t="shared" si="10"/>
        <v>354200120.80511606</v>
      </c>
      <c r="M52" s="151">
        <f t="shared" si="10"/>
        <v>403572357.40806031</v>
      </c>
      <c r="N52" s="521">
        <f t="shared" si="10"/>
        <v>464642122.05050099</v>
      </c>
      <c r="O52" s="542">
        <f t="shared" si="10"/>
        <v>3768168922</v>
      </c>
      <c r="P52" s="302">
        <f t="shared" si="10"/>
        <v>4690463830</v>
      </c>
      <c r="Q52" s="151">
        <f t="shared" si="10"/>
        <v>4218833871.8000002</v>
      </c>
      <c r="R52" s="152">
        <f t="shared" si="10"/>
        <v>4325878710.4899998</v>
      </c>
    </row>
    <row r="53" spans="1:18" s="566" customFormat="1" ht="5.0999999999999996" customHeight="1" x14ac:dyDescent="0.25">
      <c r="A53" s="565"/>
      <c r="B53" s="552"/>
      <c r="C53" s="106"/>
      <c r="D53" s="480"/>
      <c r="E53" s="480"/>
      <c r="F53" s="480"/>
      <c r="G53" s="480"/>
      <c r="H53" s="553"/>
      <c r="I53" s="106"/>
      <c r="J53" s="480"/>
      <c r="K53" s="480"/>
      <c r="L53" s="480"/>
      <c r="M53" s="480"/>
      <c r="N53" s="553"/>
      <c r="O53" s="554"/>
      <c r="P53" s="106"/>
      <c r="Q53" s="480"/>
      <c r="R53" s="520"/>
    </row>
    <row r="54" spans="1:18" ht="12.75" customHeight="1" x14ac:dyDescent="0.25">
      <c r="A54" s="303" t="s">
        <v>470</v>
      </c>
      <c r="B54" s="834"/>
      <c r="C54" s="236">
        <f t="shared" ref="C54:R54" si="11">C33-C52</f>
        <v>195876005.51999998</v>
      </c>
      <c r="D54" s="237">
        <f t="shared" si="11"/>
        <v>-43887409.769999921</v>
      </c>
      <c r="E54" s="237">
        <f t="shared" si="11"/>
        <v>-136256044.59000003</v>
      </c>
      <c r="F54" s="237">
        <f t="shared" si="11"/>
        <v>-156097367.06999987</v>
      </c>
      <c r="G54" s="237">
        <f t="shared" si="11"/>
        <v>110614656.07999992</v>
      </c>
      <c r="H54" s="518">
        <f t="shared" si="11"/>
        <v>274212549.5999999</v>
      </c>
      <c r="I54" s="236">
        <f t="shared" si="11"/>
        <v>-105933583.32530251</v>
      </c>
      <c r="J54" s="237">
        <f t="shared" si="11"/>
        <v>-101429986.45166388</v>
      </c>
      <c r="K54" s="237">
        <f t="shared" si="11"/>
        <v>287568700.09049213</v>
      </c>
      <c r="L54" s="237">
        <f t="shared" si="11"/>
        <v>-151819731.33160907</v>
      </c>
      <c r="M54" s="237">
        <f t="shared" si="11"/>
        <v>-200470897.66327012</v>
      </c>
      <c r="N54" s="518">
        <f t="shared" si="11"/>
        <v>-313605641.08864641</v>
      </c>
      <c r="O54" s="567">
        <f t="shared" si="11"/>
        <v>580566158</v>
      </c>
      <c r="P54" s="236">
        <f t="shared" si="11"/>
        <v>-341228750</v>
      </c>
      <c r="Q54" s="237">
        <f t="shared" si="11"/>
        <v>193663665.10999966</v>
      </c>
      <c r="R54" s="238">
        <f t="shared" si="11"/>
        <v>296149608</v>
      </c>
    </row>
    <row r="55" spans="1:18" ht="12.6" customHeight="1" x14ac:dyDescent="0.25">
      <c r="A55" s="30" t="s">
        <v>471</v>
      </c>
      <c r="B55" s="129"/>
      <c r="C55" s="382">
        <v>414597046.26999998</v>
      </c>
      <c r="D55" s="75">
        <f t="shared" ref="D55:N55" si="12">C56</f>
        <v>610473051.78999996</v>
      </c>
      <c r="E55" s="75">
        <f t="shared" si="12"/>
        <v>566585642.01999998</v>
      </c>
      <c r="F55" s="75">
        <f t="shared" si="12"/>
        <v>430329597.42999995</v>
      </c>
      <c r="G55" s="75">
        <f t="shared" si="12"/>
        <v>274232230.36000007</v>
      </c>
      <c r="H55" s="508">
        <f t="shared" si="12"/>
        <v>384846886.44</v>
      </c>
      <c r="I55" s="240">
        <f t="shared" si="12"/>
        <v>659059436.03999996</v>
      </c>
      <c r="J55" s="75">
        <f t="shared" si="12"/>
        <v>553125852.71469748</v>
      </c>
      <c r="K55" s="75">
        <f t="shared" si="12"/>
        <v>451695866.26303363</v>
      </c>
      <c r="L55" s="75">
        <f t="shared" si="12"/>
        <v>739264566.35352576</v>
      </c>
      <c r="M55" s="75">
        <f t="shared" si="12"/>
        <v>587444835.02191663</v>
      </c>
      <c r="N55" s="508">
        <f t="shared" si="12"/>
        <v>386973937.35864651</v>
      </c>
      <c r="O55" s="540"/>
      <c r="P55" s="240">
        <f>C55</f>
        <v>414597046.26999998</v>
      </c>
      <c r="Q55" s="75">
        <f>P56</f>
        <v>73368296.269999981</v>
      </c>
      <c r="R55" s="76">
        <f>Q56</f>
        <v>267031961.37999964</v>
      </c>
    </row>
    <row r="56" spans="1:18" ht="12.6" customHeight="1" x14ac:dyDescent="0.25">
      <c r="A56" s="568" t="s">
        <v>472</v>
      </c>
      <c r="B56" s="175"/>
      <c r="C56" s="569">
        <f t="shared" ref="C56:N56" si="13">C54+C55</f>
        <v>610473051.78999996</v>
      </c>
      <c r="D56" s="177">
        <f t="shared" si="13"/>
        <v>566585642.01999998</v>
      </c>
      <c r="E56" s="177">
        <f t="shared" si="13"/>
        <v>430329597.42999995</v>
      </c>
      <c r="F56" s="177">
        <f t="shared" si="13"/>
        <v>274232230.36000007</v>
      </c>
      <c r="G56" s="177">
        <f t="shared" si="13"/>
        <v>384846886.44</v>
      </c>
      <c r="H56" s="570">
        <f t="shared" si="13"/>
        <v>659059436.03999996</v>
      </c>
      <c r="I56" s="569">
        <f t="shared" si="13"/>
        <v>553125852.71469748</v>
      </c>
      <c r="J56" s="177">
        <f t="shared" si="13"/>
        <v>451695866.26303363</v>
      </c>
      <c r="K56" s="177">
        <f t="shared" si="13"/>
        <v>739264566.35352576</v>
      </c>
      <c r="L56" s="177">
        <f t="shared" si="13"/>
        <v>587444835.02191663</v>
      </c>
      <c r="M56" s="177">
        <f t="shared" si="13"/>
        <v>386973937.35864651</v>
      </c>
      <c r="N56" s="570">
        <f t="shared" si="13"/>
        <v>73368296.2700001</v>
      </c>
      <c r="O56" s="571"/>
      <c r="P56" s="569">
        <f>P54+P55</f>
        <v>73368296.269999981</v>
      </c>
      <c r="Q56" s="177">
        <f>Q54+Q55</f>
        <v>267031961.37999964</v>
      </c>
      <c r="R56" s="178">
        <f>R54+R55</f>
        <v>563181569.37999964</v>
      </c>
    </row>
    <row r="57" spans="1:18" ht="10.5" customHeight="1" x14ac:dyDescent="0.25">
      <c r="A57" s="640" t="s">
        <v>519</v>
      </c>
    </row>
    <row r="58" spans="1:18" ht="10.5" customHeight="1" x14ac:dyDescent="0.25">
      <c r="A58" s="120" t="s">
        <v>731</v>
      </c>
    </row>
    <row r="59" spans="1:18" ht="10.5" customHeight="1" x14ac:dyDescent="0.25"/>
    <row r="60" spans="1:18" ht="10.5" customHeight="1" x14ac:dyDescent="0.25"/>
    <row r="62" spans="1:18" x14ac:dyDescent="0.25">
      <c r="F62" s="84"/>
      <c r="G62" s="84"/>
      <c r="H62" s="84"/>
      <c r="I62" s="84"/>
      <c r="J62" s="84"/>
      <c r="K62" s="84"/>
      <c r="L62" s="84"/>
      <c r="M62" s="84"/>
      <c r="N62" s="84"/>
    </row>
    <row r="63" spans="1:18" x14ac:dyDescent="0.25">
      <c r="F63" s="168">
        <f t="shared" ref="F63:R63" si="14">F46+F62</f>
        <v>237953430.25999999</v>
      </c>
      <c r="G63" s="168">
        <f t="shared" si="14"/>
        <v>220554857.86999997</v>
      </c>
      <c r="H63" s="168">
        <f t="shared" si="14"/>
        <v>269651706.17000002</v>
      </c>
      <c r="I63" s="168">
        <f t="shared" si="14"/>
        <v>227370007.60772994</v>
      </c>
      <c r="J63" s="168">
        <f t="shared" si="14"/>
        <v>223347124.24828014</v>
      </c>
      <c r="K63" s="168">
        <f t="shared" si="14"/>
        <v>222952196.90350002</v>
      </c>
      <c r="L63" s="168">
        <f t="shared" si="14"/>
        <v>218660437.67188758</v>
      </c>
      <c r="M63" s="168">
        <f t="shared" si="14"/>
        <v>226341739.84060845</v>
      </c>
      <c r="N63" s="168">
        <f t="shared" si="14"/>
        <v>590908778.1479938</v>
      </c>
      <c r="O63" s="168">
        <f t="shared" si="14"/>
        <v>2339265836</v>
      </c>
      <c r="P63" s="168">
        <f t="shared" si="14"/>
        <v>3261560744</v>
      </c>
      <c r="Q63" s="168">
        <f t="shared" si="14"/>
        <v>3265016674.3000002</v>
      </c>
      <c r="R63" s="168">
        <f t="shared" si="14"/>
        <v>3435809676.6199999</v>
      </c>
    </row>
    <row r="64" spans="1:18" x14ac:dyDescent="0.25">
      <c r="F64" s="168">
        <f t="shared" ref="F64:R64" si="15">F54-F62</f>
        <v>-156097367.06999987</v>
      </c>
      <c r="G64" s="168">
        <f t="shared" si="15"/>
        <v>110614656.07999992</v>
      </c>
      <c r="H64" s="168">
        <f t="shared" si="15"/>
        <v>274212549.5999999</v>
      </c>
      <c r="I64" s="168">
        <f t="shared" si="15"/>
        <v>-105933583.32530251</v>
      </c>
      <c r="J64" s="168">
        <f t="shared" si="15"/>
        <v>-101429986.45166388</v>
      </c>
      <c r="K64" s="168">
        <f t="shared" si="15"/>
        <v>287568700.09049213</v>
      </c>
      <c r="L64" s="168">
        <f t="shared" si="15"/>
        <v>-151819731.33160907</v>
      </c>
      <c r="M64" s="168">
        <f t="shared" si="15"/>
        <v>-200470897.66327012</v>
      </c>
      <c r="N64" s="168">
        <f t="shared" si="15"/>
        <v>-313605641.08864641</v>
      </c>
      <c r="O64" s="168">
        <f t="shared" si="15"/>
        <v>580566158</v>
      </c>
      <c r="P64" s="168">
        <f t="shared" si="15"/>
        <v>-341228750</v>
      </c>
      <c r="Q64" s="168">
        <f t="shared" si="15"/>
        <v>193663665.10999966</v>
      </c>
      <c r="R64" s="168">
        <f t="shared" si="15"/>
        <v>296149608</v>
      </c>
    </row>
    <row r="189" spans="3:46" x14ac:dyDescent="0.25">
      <c r="C189" s="102"/>
      <c r="D189" s="102"/>
      <c r="E189" s="102"/>
      <c r="F189" s="102"/>
      <c r="G189" s="102"/>
      <c r="H189" s="102"/>
      <c r="I189" s="102"/>
      <c r="J189" s="102"/>
      <c r="K189" s="102"/>
      <c r="L189" s="102"/>
      <c r="M189" s="102"/>
      <c r="O189" s="168"/>
      <c r="P189" s="168"/>
      <c r="Q189" s="168"/>
      <c r="R189" s="168"/>
      <c r="S189" s="168"/>
      <c r="T189" s="168"/>
      <c r="U189" s="168"/>
      <c r="AJ189" s="168"/>
      <c r="AK189" s="168"/>
      <c r="AL189" s="168"/>
      <c r="AM189" s="168"/>
      <c r="AN189" s="168"/>
      <c r="AO189" s="168"/>
      <c r="AP189" s="168"/>
      <c r="AQ189" s="168"/>
      <c r="AR189" s="168"/>
      <c r="AS189" s="168"/>
      <c r="AT189" s="168"/>
    </row>
    <row r="190" spans="3:46" x14ac:dyDescent="0.25">
      <c r="O190" s="168"/>
      <c r="P190" s="168"/>
      <c r="Q190" s="168"/>
      <c r="R190" s="168"/>
      <c r="S190" s="168"/>
      <c r="T190" s="168"/>
      <c r="U190" s="168"/>
      <c r="AJ190" s="168"/>
      <c r="AK190" s="168"/>
      <c r="AL190" s="168"/>
      <c r="AM190" s="168"/>
      <c r="AN190" s="168"/>
      <c r="AO190" s="168"/>
      <c r="AP190" s="168"/>
      <c r="AQ190" s="168"/>
      <c r="AR190" s="168"/>
      <c r="AS190" s="168"/>
      <c r="AT190" s="168"/>
    </row>
    <row r="191" spans="3:46" x14ac:dyDescent="0.25">
      <c r="O191" s="168"/>
      <c r="P191" s="168"/>
      <c r="Q191" s="168"/>
      <c r="R191" s="168"/>
      <c r="S191" s="168"/>
      <c r="T191" s="168"/>
      <c r="U191" s="168"/>
      <c r="AJ191" s="168"/>
      <c r="AK191" s="168"/>
      <c r="AL191" s="168"/>
      <c r="AM191" s="168"/>
      <c r="AN191" s="168"/>
      <c r="AO191" s="168"/>
      <c r="AP191" s="168"/>
      <c r="AQ191" s="168"/>
      <c r="AR191" s="168"/>
      <c r="AS191" s="168"/>
      <c r="AT191" s="168"/>
    </row>
  </sheetData>
  <sheetProtection sheet="1" objects="1" scenarios="1"/>
  <mergeCells count="4">
    <mergeCell ref="A2:A3"/>
    <mergeCell ref="P2:R2"/>
    <mergeCell ref="B2:B3"/>
    <mergeCell ref="C2:N2"/>
  </mergeCells>
  <phoneticPr fontId="4" type="noConversion"/>
  <printOptions horizontalCentered="1"/>
  <pageMargins left="0.34" right="0.17" top="0.4" bottom="0.3" header="0.4" footer="0.25"/>
  <pageSetup paperSize="9" scale="8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6">
    <tabColor indexed="42"/>
    <pageSetUpPr fitToPage="1"/>
  </sheetPr>
  <dimension ref="A1:T56"/>
  <sheetViews>
    <sheetView showGridLines="0" zoomScaleNormal="100" workbookViewId="0">
      <pane xSplit="2" ySplit="4" topLeftCell="C5" activePane="bottomRight" state="frozen"/>
      <selection activeCell="C6" sqref="C6"/>
      <selection pane="topRight" activeCell="C6" sqref="C6"/>
      <selection pane="bottomLeft" activeCell="C6" sqref="C6"/>
      <selection pane="bottomRight" activeCell="R40" sqref="C24:R40"/>
    </sheetView>
  </sheetViews>
  <sheetFormatPr defaultColWidth="9.140625" defaultRowHeight="12.75" x14ac:dyDescent="0.25"/>
  <cols>
    <col min="1" max="1" width="30.5703125" style="5" customWidth="1"/>
    <col min="2" max="2" width="3.140625" style="5" customWidth="1"/>
    <col min="3" max="14" width="8.7109375" style="5" customWidth="1"/>
    <col min="15" max="15" width="8.7109375" style="5" hidden="1" customWidth="1"/>
    <col min="16" max="16" width="13.7109375" style="5" customWidth="1"/>
    <col min="17" max="17" width="8.7109375" style="5" customWidth="1"/>
    <col min="18" max="16384" width="9.140625" style="5"/>
  </cols>
  <sheetData>
    <row r="1" spans="1:19" ht="13.5" x14ac:dyDescent="0.25">
      <c r="A1" s="57" t="str">
        <f>muni&amp;" - "&amp;ADJB16&amp;" - "&amp;Date</f>
        <v>LIM354 Polokwane - Supporting Table SB16 Adjustments Budget - monthly capital expenditure (municipal vote) - 2020</v>
      </c>
      <c r="B1" s="57"/>
      <c r="D1" s="58"/>
    </row>
    <row r="2" spans="1:19" ht="25.5" x14ac:dyDescent="0.25">
      <c r="A2" s="1409" t="str">
        <f>desc&amp;" - Municipal Vote"</f>
        <v>Description - Municipal Vote</v>
      </c>
      <c r="B2" s="1406" t="str">
        <f>head27</f>
        <v>Ref</v>
      </c>
      <c r="C2" s="572" t="str">
        <f>Head2</f>
        <v>Budget Year 2020/21</v>
      </c>
      <c r="D2" s="529"/>
      <c r="E2" s="529"/>
      <c r="F2" s="529"/>
      <c r="G2" s="529"/>
      <c r="H2" s="529"/>
      <c r="I2" s="529"/>
      <c r="J2" s="529"/>
      <c r="K2" s="529"/>
      <c r="L2" s="529"/>
      <c r="M2" s="529"/>
      <c r="N2" s="529"/>
      <c r="O2" s="527"/>
      <c r="P2" s="528" t="s">
        <v>223</v>
      </c>
      <c r="Q2" s="529"/>
      <c r="R2" s="530"/>
    </row>
    <row r="3" spans="1:19" ht="38.25" x14ac:dyDescent="0.25">
      <c r="A3" s="1410"/>
      <c r="B3" s="1407"/>
      <c r="C3" s="452" t="s">
        <v>224</v>
      </c>
      <c r="D3" s="320" t="s">
        <v>225</v>
      </c>
      <c r="E3" s="320" t="s">
        <v>226</v>
      </c>
      <c r="F3" s="320" t="s">
        <v>227</v>
      </c>
      <c r="G3" s="320" t="s">
        <v>228</v>
      </c>
      <c r="H3" s="321" t="s">
        <v>229</v>
      </c>
      <c r="I3" s="531" t="s">
        <v>230</v>
      </c>
      <c r="J3" s="532" t="s">
        <v>231</v>
      </c>
      <c r="K3" s="320" t="s">
        <v>232</v>
      </c>
      <c r="L3" s="320" t="s">
        <v>233</v>
      </c>
      <c r="M3" s="533" t="s">
        <v>234</v>
      </c>
      <c r="N3" s="532" t="s">
        <v>235</v>
      </c>
      <c r="O3" s="534" t="s">
        <v>236</v>
      </c>
      <c r="P3" s="531" t="str">
        <f>Head9</f>
        <v>Budget Year 2020/21</v>
      </c>
      <c r="Q3" s="532" t="str">
        <f>Head10</f>
        <v>Budget Year +1 2021/22</v>
      </c>
      <c r="R3" s="322" t="str">
        <f>Head11</f>
        <v>Budget Year +2 2022/23</v>
      </c>
    </row>
    <row r="4" spans="1:19" ht="25.5" x14ac:dyDescent="0.25">
      <c r="A4" s="535" t="s">
        <v>603</v>
      </c>
      <c r="B4" s="104"/>
      <c r="C4" s="809" t="str">
        <f t="shared" ref="C4:H4" si="0">Head5A</f>
        <v>Outcome</v>
      </c>
      <c r="D4" s="804" t="str">
        <f t="shared" si="0"/>
        <v>Outcome</v>
      </c>
      <c r="E4" s="804" t="str">
        <f t="shared" si="0"/>
        <v>Outcome</v>
      </c>
      <c r="F4" s="804" t="str">
        <f t="shared" si="0"/>
        <v>Outcome</v>
      </c>
      <c r="G4" s="804" t="str">
        <f t="shared" si="0"/>
        <v>Outcome</v>
      </c>
      <c r="H4" s="805" t="str">
        <f t="shared" si="0"/>
        <v>Outcome</v>
      </c>
      <c r="I4" s="803" t="str">
        <f t="shared" ref="I4:N4" si="1">Head7</f>
        <v>Adjusted Budget</v>
      </c>
      <c r="J4" s="805" t="str">
        <f t="shared" si="1"/>
        <v>Adjusted Budget</v>
      </c>
      <c r="K4" s="804" t="str">
        <f t="shared" si="1"/>
        <v>Adjusted Budget</v>
      </c>
      <c r="L4" s="804" t="str">
        <f t="shared" si="1"/>
        <v>Adjusted Budget</v>
      </c>
      <c r="M4" s="804" t="str">
        <f t="shared" si="1"/>
        <v>Adjusted Budget</v>
      </c>
      <c r="N4" s="805" t="str">
        <f t="shared" si="1"/>
        <v>Adjusted Budget</v>
      </c>
      <c r="O4" s="536"/>
      <c r="P4" s="537" t="str">
        <f>Head7</f>
        <v>Adjusted Budget</v>
      </c>
      <c r="Q4" s="538" t="str">
        <f>Head7</f>
        <v>Adjusted Budget</v>
      </c>
      <c r="R4" s="539" t="str">
        <f>Head7</f>
        <v>Adjusted Budget</v>
      </c>
    </row>
    <row r="5" spans="1:19" ht="12.75" customHeight="1" x14ac:dyDescent="0.25">
      <c r="A5" s="507" t="s">
        <v>1094</v>
      </c>
      <c r="B5" s="129">
        <v>1</v>
      </c>
      <c r="C5" s="240"/>
      <c r="D5" s="75"/>
      <c r="E5" s="75"/>
      <c r="F5" s="75"/>
      <c r="G5" s="75"/>
      <c r="H5" s="508"/>
      <c r="I5" s="240"/>
      <c r="J5" s="75"/>
      <c r="K5" s="75"/>
      <c r="L5" s="75"/>
      <c r="M5" s="75"/>
      <c r="N5" s="508"/>
      <c r="O5" s="540"/>
      <c r="P5" s="240"/>
      <c r="Q5" s="75"/>
      <c r="R5" s="76"/>
      <c r="S5" s="128"/>
    </row>
    <row r="6" spans="1:19" ht="12.75" customHeight="1" x14ac:dyDescent="0.25">
      <c r="A6" s="129" t="str">
        <f>'B5-Capex'!A8</f>
        <v>Vote 1 - CHIEF OPERATION OFFICE</v>
      </c>
      <c r="B6" s="129"/>
      <c r="C6" s="382">
        <v>0</v>
      </c>
      <c r="D6" s="109">
        <v>0</v>
      </c>
      <c r="E6" s="109">
        <v>0</v>
      </c>
      <c r="F6" s="109">
        <v>0</v>
      </c>
      <c r="G6" s="109">
        <v>0</v>
      </c>
      <c r="H6" s="381">
        <v>0</v>
      </c>
      <c r="I6" s="382">
        <v>0</v>
      </c>
      <c r="J6" s="109">
        <v>0</v>
      </c>
      <c r="K6" s="109">
        <v>0</v>
      </c>
      <c r="L6" s="109">
        <v>0</v>
      </c>
      <c r="M6" s="109">
        <v>0</v>
      </c>
      <c r="N6" s="508">
        <f t="shared" ref="N6:N20" si="2">P6-SUM(C6:M6)</f>
        <v>0</v>
      </c>
      <c r="O6" s="540"/>
      <c r="P6" s="240">
        <f>'B5-Capex'!K8</f>
        <v>0</v>
      </c>
      <c r="Q6" s="75">
        <f>'B5-Capex'!L8</f>
        <v>0</v>
      </c>
      <c r="R6" s="76">
        <f>'B5-Capex'!M8</f>
        <v>0</v>
      </c>
      <c r="S6" s="128"/>
    </row>
    <row r="7" spans="1:19" ht="12.75" customHeight="1" x14ac:dyDescent="0.25">
      <c r="A7" s="129" t="str">
        <f>'B5-Capex'!A9</f>
        <v>Vote 2 - MUNICIPAL MANAGER'S OFFICE</v>
      </c>
      <c r="B7" s="129"/>
      <c r="C7" s="382">
        <v>0</v>
      </c>
      <c r="D7" s="109">
        <v>0</v>
      </c>
      <c r="E7" s="109">
        <v>0</v>
      </c>
      <c r="F7" s="109">
        <v>0</v>
      </c>
      <c r="G7" s="109">
        <v>0</v>
      </c>
      <c r="H7" s="381">
        <v>0</v>
      </c>
      <c r="I7" s="382">
        <v>0</v>
      </c>
      <c r="J7" s="109">
        <v>0</v>
      </c>
      <c r="K7" s="109">
        <v>0</v>
      </c>
      <c r="L7" s="109">
        <v>0</v>
      </c>
      <c r="M7" s="109">
        <v>0</v>
      </c>
      <c r="N7" s="508">
        <f t="shared" si="2"/>
        <v>0</v>
      </c>
      <c r="O7" s="540"/>
      <c r="P7" s="240">
        <f>'B5-Capex'!K9</f>
        <v>0</v>
      </c>
      <c r="Q7" s="75">
        <f>'B5-Capex'!L9</f>
        <v>0</v>
      </c>
      <c r="R7" s="76">
        <f>'B5-Capex'!M9</f>
        <v>0</v>
      </c>
      <c r="S7" s="128"/>
    </row>
    <row r="8" spans="1:19" ht="12.75" customHeight="1" x14ac:dyDescent="0.25">
      <c r="A8" s="129" t="str">
        <f>'B5-Capex'!A10</f>
        <v>Vote 3 - WATER AND SANITATION</v>
      </c>
      <c r="B8" s="129"/>
      <c r="C8" s="382">
        <v>0</v>
      </c>
      <c r="D8" s="109">
        <v>0</v>
      </c>
      <c r="E8" s="109">
        <v>0</v>
      </c>
      <c r="F8" s="109">
        <v>0</v>
      </c>
      <c r="G8" s="109">
        <v>0</v>
      </c>
      <c r="H8" s="381">
        <v>0</v>
      </c>
      <c r="I8" s="382">
        <v>0</v>
      </c>
      <c r="J8" s="109">
        <v>0</v>
      </c>
      <c r="K8" s="109">
        <v>0</v>
      </c>
      <c r="L8" s="109">
        <v>0</v>
      </c>
      <c r="M8" s="109">
        <v>0</v>
      </c>
      <c r="N8" s="508">
        <f t="shared" si="2"/>
        <v>0</v>
      </c>
      <c r="O8" s="540"/>
      <c r="P8" s="240">
        <f>'B5-Capex'!K10</f>
        <v>0</v>
      </c>
      <c r="Q8" s="75">
        <f>'B5-Capex'!L10</f>
        <v>0</v>
      </c>
      <c r="R8" s="76">
        <f>'B5-Capex'!M10</f>
        <v>0</v>
      </c>
      <c r="S8" s="128"/>
    </row>
    <row r="9" spans="1:19" ht="12.75" customHeight="1" x14ac:dyDescent="0.25">
      <c r="A9" s="129" t="str">
        <f>'B5-Capex'!A11</f>
        <v>Vote 4 - ENERGY</v>
      </c>
      <c r="B9" s="129"/>
      <c r="C9" s="382">
        <v>0</v>
      </c>
      <c r="D9" s="109">
        <v>0</v>
      </c>
      <c r="E9" s="109">
        <v>0</v>
      </c>
      <c r="F9" s="109">
        <v>0</v>
      </c>
      <c r="G9" s="109">
        <v>0</v>
      </c>
      <c r="H9" s="381">
        <v>0</v>
      </c>
      <c r="I9" s="382">
        <v>0</v>
      </c>
      <c r="J9" s="109">
        <v>0</v>
      </c>
      <c r="K9" s="109">
        <v>0</v>
      </c>
      <c r="L9" s="109">
        <v>0</v>
      </c>
      <c r="M9" s="109">
        <v>0</v>
      </c>
      <c r="N9" s="508">
        <f t="shared" si="2"/>
        <v>0</v>
      </c>
      <c r="O9" s="540"/>
      <c r="P9" s="240">
        <f>'B5-Capex'!K11</f>
        <v>0</v>
      </c>
      <c r="Q9" s="75">
        <f>'B5-Capex'!L11</f>
        <v>0</v>
      </c>
      <c r="R9" s="76">
        <f>'B5-Capex'!M11</f>
        <v>0</v>
      </c>
      <c r="S9" s="128"/>
    </row>
    <row r="10" spans="1:19" ht="12.75" customHeight="1" x14ac:dyDescent="0.25">
      <c r="A10" s="129" t="str">
        <f>'B5-Capex'!A12</f>
        <v>Vote 5 - COMMUNITY SERVICES</v>
      </c>
      <c r="B10" s="129"/>
      <c r="C10" s="382">
        <v>0</v>
      </c>
      <c r="D10" s="109">
        <v>0</v>
      </c>
      <c r="E10" s="109">
        <v>0</v>
      </c>
      <c r="F10" s="109">
        <v>0</v>
      </c>
      <c r="G10" s="109">
        <v>0</v>
      </c>
      <c r="H10" s="381">
        <v>0</v>
      </c>
      <c r="I10" s="382">
        <v>0</v>
      </c>
      <c r="J10" s="109">
        <v>0</v>
      </c>
      <c r="K10" s="109">
        <v>0</v>
      </c>
      <c r="L10" s="109">
        <v>0</v>
      </c>
      <c r="M10" s="109">
        <v>0</v>
      </c>
      <c r="N10" s="508">
        <f t="shared" si="2"/>
        <v>0</v>
      </c>
      <c r="O10" s="540"/>
      <c r="P10" s="240">
        <f>'B5-Capex'!K12</f>
        <v>0</v>
      </c>
      <c r="Q10" s="75">
        <f>'B5-Capex'!L12</f>
        <v>0</v>
      </c>
      <c r="R10" s="76">
        <f>'B5-Capex'!M12</f>
        <v>0</v>
      </c>
      <c r="S10" s="128"/>
    </row>
    <row r="11" spans="1:19" ht="12.75" customHeight="1" x14ac:dyDescent="0.25">
      <c r="A11" s="129" t="str">
        <f>'B5-Capex'!A13</f>
        <v>Vote 6 - PUBLIC SAFETY(ADMINISTRATION)</v>
      </c>
      <c r="B11" s="129"/>
      <c r="C11" s="382">
        <v>0</v>
      </c>
      <c r="D11" s="109">
        <v>0</v>
      </c>
      <c r="E11" s="109">
        <v>0</v>
      </c>
      <c r="F11" s="109">
        <v>0</v>
      </c>
      <c r="G11" s="109">
        <v>0</v>
      </c>
      <c r="H11" s="381">
        <v>0</v>
      </c>
      <c r="I11" s="382">
        <v>0</v>
      </c>
      <c r="J11" s="109">
        <v>0</v>
      </c>
      <c r="K11" s="109">
        <v>0</v>
      </c>
      <c r="L11" s="109">
        <v>0</v>
      </c>
      <c r="M11" s="109">
        <v>0</v>
      </c>
      <c r="N11" s="508">
        <f t="shared" si="2"/>
        <v>0</v>
      </c>
      <c r="O11" s="540"/>
      <c r="P11" s="240">
        <f>'B5-Capex'!K13</f>
        <v>0</v>
      </c>
      <c r="Q11" s="75">
        <f>'B5-Capex'!L13</f>
        <v>0</v>
      </c>
      <c r="R11" s="76">
        <f>'B5-Capex'!M13</f>
        <v>0</v>
      </c>
      <c r="S11" s="128"/>
    </row>
    <row r="12" spans="1:19" ht="12.75" customHeight="1" x14ac:dyDescent="0.25">
      <c r="A12" s="129" t="str">
        <f>'B5-Capex'!A14</f>
        <v>Vote 7 - CORPORATE AND SHARED SERVICES</v>
      </c>
      <c r="B12" s="129"/>
      <c r="C12" s="382">
        <v>0</v>
      </c>
      <c r="D12" s="109">
        <v>0</v>
      </c>
      <c r="E12" s="109">
        <v>0</v>
      </c>
      <c r="F12" s="109">
        <v>0</v>
      </c>
      <c r="G12" s="109">
        <v>0</v>
      </c>
      <c r="H12" s="381">
        <v>0</v>
      </c>
      <c r="I12" s="382">
        <v>0</v>
      </c>
      <c r="J12" s="109">
        <v>0</v>
      </c>
      <c r="K12" s="109">
        <v>0</v>
      </c>
      <c r="L12" s="109">
        <v>0</v>
      </c>
      <c r="M12" s="109">
        <v>0</v>
      </c>
      <c r="N12" s="508">
        <f t="shared" si="2"/>
        <v>0</v>
      </c>
      <c r="O12" s="540"/>
      <c r="P12" s="240">
        <f>'B5-Capex'!K14</f>
        <v>0</v>
      </c>
      <c r="Q12" s="75">
        <f>'B5-Capex'!L14</f>
        <v>0</v>
      </c>
      <c r="R12" s="76">
        <f>'B5-Capex'!M14</f>
        <v>0</v>
      </c>
      <c r="S12" s="128"/>
    </row>
    <row r="13" spans="1:19" ht="12.75" customHeight="1" x14ac:dyDescent="0.25">
      <c r="A13" s="129" t="str">
        <f>'B5-Capex'!A15</f>
        <v>Vote 8 - PLANNING AND ECONOMIC  DEVELOPMENT</v>
      </c>
      <c r="B13" s="129"/>
      <c r="C13" s="382">
        <v>0</v>
      </c>
      <c r="D13" s="109">
        <v>0</v>
      </c>
      <c r="E13" s="109">
        <v>0</v>
      </c>
      <c r="F13" s="109">
        <v>0</v>
      </c>
      <c r="G13" s="109">
        <v>0</v>
      </c>
      <c r="H13" s="381">
        <v>0</v>
      </c>
      <c r="I13" s="382">
        <v>0</v>
      </c>
      <c r="J13" s="109">
        <v>0</v>
      </c>
      <c r="K13" s="109">
        <v>0</v>
      </c>
      <c r="L13" s="109">
        <v>0</v>
      </c>
      <c r="M13" s="109">
        <v>0</v>
      </c>
      <c r="N13" s="508">
        <f t="shared" si="2"/>
        <v>0</v>
      </c>
      <c r="O13" s="540"/>
      <c r="P13" s="240">
        <f>'B5-Capex'!K15</f>
        <v>0</v>
      </c>
      <c r="Q13" s="75">
        <f>'B5-Capex'!L15</f>
        <v>0</v>
      </c>
      <c r="R13" s="76">
        <f>'B5-Capex'!M15</f>
        <v>0</v>
      </c>
      <c r="S13" s="128"/>
    </row>
    <row r="14" spans="1:19" ht="12.75" customHeight="1" x14ac:dyDescent="0.25">
      <c r="A14" s="129" t="str">
        <f>'B5-Capex'!A16</f>
        <v>Vote 9 - BUDGET AND TREASURY OFFICE)</v>
      </c>
      <c r="B14" s="129"/>
      <c r="C14" s="382">
        <v>0</v>
      </c>
      <c r="D14" s="109">
        <v>0</v>
      </c>
      <c r="E14" s="109">
        <v>0</v>
      </c>
      <c r="F14" s="109">
        <v>0</v>
      </c>
      <c r="G14" s="109">
        <v>0</v>
      </c>
      <c r="H14" s="381">
        <v>0</v>
      </c>
      <c r="I14" s="382">
        <v>0</v>
      </c>
      <c r="J14" s="109">
        <v>0</v>
      </c>
      <c r="K14" s="109">
        <v>0</v>
      </c>
      <c r="L14" s="109">
        <v>0</v>
      </c>
      <c r="M14" s="109">
        <v>0</v>
      </c>
      <c r="N14" s="508">
        <f t="shared" si="2"/>
        <v>0</v>
      </c>
      <c r="O14" s="540"/>
      <c r="P14" s="240">
        <f>'B5-Capex'!K16</f>
        <v>0</v>
      </c>
      <c r="Q14" s="75">
        <f>'B5-Capex'!L16</f>
        <v>0</v>
      </c>
      <c r="R14" s="76">
        <f>'B5-Capex'!M16</f>
        <v>0</v>
      </c>
      <c r="S14" s="128"/>
    </row>
    <row r="15" spans="1:19" ht="12.75" customHeight="1" x14ac:dyDescent="0.25">
      <c r="A15" s="129" t="str">
        <f>'B5-Capex'!A17</f>
        <v>Vote 10 - TRANSPORT SERVICES</v>
      </c>
      <c r="B15" s="129"/>
      <c r="C15" s="382">
        <v>0</v>
      </c>
      <c r="D15" s="109">
        <v>0</v>
      </c>
      <c r="E15" s="109">
        <v>0</v>
      </c>
      <c r="F15" s="109">
        <v>0</v>
      </c>
      <c r="G15" s="109">
        <v>0</v>
      </c>
      <c r="H15" s="381">
        <v>0</v>
      </c>
      <c r="I15" s="382">
        <v>0</v>
      </c>
      <c r="J15" s="109">
        <v>0</v>
      </c>
      <c r="K15" s="109">
        <v>0</v>
      </c>
      <c r="L15" s="109">
        <v>0</v>
      </c>
      <c r="M15" s="109">
        <v>0</v>
      </c>
      <c r="N15" s="508">
        <f t="shared" si="2"/>
        <v>0</v>
      </c>
      <c r="O15" s="540"/>
      <c r="P15" s="240">
        <f>'B5-Capex'!K17</f>
        <v>0</v>
      </c>
      <c r="Q15" s="75">
        <f>'B5-Capex'!L17</f>
        <v>0</v>
      </c>
      <c r="R15" s="76">
        <f>'B5-Capex'!M17</f>
        <v>0</v>
      </c>
      <c r="S15" s="128"/>
    </row>
    <row r="16" spans="1:19" ht="12.75" customHeight="1" x14ac:dyDescent="0.25">
      <c r="A16" s="129" t="str">
        <f>'B5-Capex'!A18</f>
        <v>Vote 11 - HUMAN SETTLEMENT</v>
      </c>
      <c r="B16" s="129"/>
      <c r="C16" s="382">
        <v>0</v>
      </c>
      <c r="D16" s="109">
        <v>0</v>
      </c>
      <c r="E16" s="109">
        <v>0</v>
      </c>
      <c r="F16" s="109">
        <v>0</v>
      </c>
      <c r="G16" s="109">
        <v>0</v>
      </c>
      <c r="H16" s="381">
        <v>0</v>
      </c>
      <c r="I16" s="382">
        <v>0</v>
      </c>
      <c r="J16" s="109">
        <v>0</v>
      </c>
      <c r="K16" s="109">
        <v>0</v>
      </c>
      <c r="L16" s="109">
        <v>0</v>
      </c>
      <c r="M16" s="109">
        <v>0</v>
      </c>
      <c r="N16" s="508">
        <f t="shared" si="2"/>
        <v>0</v>
      </c>
      <c r="O16" s="540"/>
      <c r="P16" s="240">
        <f>'B5-Capex'!K18</f>
        <v>0</v>
      </c>
      <c r="Q16" s="75">
        <f>'B5-Capex'!L18</f>
        <v>0</v>
      </c>
      <c r="R16" s="76">
        <f>'B5-Capex'!M18</f>
        <v>0</v>
      </c>
      <c r="S16" s="128"/>
    </row>
    <row r="17" spans="1:19" ht="12.75" customHeight="1" x14ac:dyDescent="0.25">
      <c r="A17" s="129" t="str">
        <f>'B5-Capex'!A19</f>
        <v>Vote 12 - [NAME OF VOTE 12]</v>
      </c>
      <c r="B17" s="129"/>
      <c r="C17" s="382">
        <v>0</v>
      </c>
      <c r="D17" s="109">
        <v>0</v>
      </c>
      <c r="E17" s="109">
        <v>0</v>
      </c>
      <c r="F17" s="109">
        <v>0</v>
      </c>
      <c r="G17" s="109">
        <v>0</v>
      </c>
      <c r="H17" s="381">
        <v>0</v>
      </c>
      <c r="I17" s="382">
        <v>0</v>
      </c>
      <c r="J17" s="109">
        <v>0</v>
      </c>
      <c r="K17" s="109">
        <v>0</v>
      </c>
      <c r="L17" s="109">
        <v>0</v>
      </c>
      <c r="M17" s="109">
        <v>0</v>
      </c>
      <c r="N17" s="508">
        <f t="shared" si="2"/>
        <v>0</v>
      </c>
      <c r="O17" s="540"/>
      <c r="P17" s="240">
        <f>'B5-Capex'!K19</f>
        <v>0</v>
      </c>
      <c r="Q17" s="75">
        <f>'B5-Capex'!L19</f>
        <v>0</v>
      </c>
      <c r="R17" s="76">
        <f>'B5-Capex'!M19</f>
        <v>0</v>
      </c>
      <c r="S17" s="128"/>
    </row>
    <row r="18" spans="1:19" ht="12.75" customHeight="1" x14ac:dyDescent="0.25">
      <c r="A18" s="129" t="str">
        <f>'B5-Capex'!A20</f>
        <v>Vote 13 - [NAME OF VOTE 13]</v>
      </c>
      <c r="B18" s="129"/>
      <c r="C18" s="382">
        <v>0</v>
      </c>
      <c r="D18" s="109">
        <v>0</v>
      </c>
      <c r="E18" s="109">
        <v>0</v>
      </c>
      <c r="F18" s="109">
        <v>0</v>
      </c>
      <c r="G18" s="109">
        <v>0</v>
      </c>
      <c r="H18" s="381">
        <v>0</v>
      </c>
      <c r="I18" s="382">
        <v>0</v>
      </c>
      <c r="J18" s="109">
        <v>0</v>
      </c>
      <c r="K18" s="109">
        <v>0</v>
      </c>
      <c r="L18" s="109">
        <v>0</v>
      </c>
      <c r="M18" s="109">
        <v>0</v>
      </c>
      <c r="N18" s="508">
        <f t="shared" si="2"/>
        <v>0</v>
      </c>
      <c r="O18" s="540"/>
      <c r="P18" s="240">
        <f>'B5-Capex'!K20</f>
        <v>0</v>
      </c>
      <c r="Q18" s="75">
        <f>'B5-Capex'!L20</f>
        <v>0</v>
      </c>
      <c r="R18" s="76">
        <f>'B5-Capex'!M20</f>
        <v>0</v>
      </c>
      <c r="S18" s="128"/>
    </row>
    <row r="19" spans="1:19" ht="12.75" customHeight="1" x14ac:dyDescent="0.25">
      <c r="A19" s="129" t="str">
        <f>'B5-Capex'!A21</f>
        <v>Vote 14 - [NAME OF VOTE 14]</v>
      </c>
      <c r="B19" s="129"/>
      <c r="C19" s="382">
        <v>0</v>
      </c>
      <c r="D19" s="109">
        <v>0</v>
      </c>
      <c r="E19" s="109">
        <v>0</v>
      </c>
      <c r="F19" s="109">
        <v>0</v>
      </c>
      <c r="G19" s="109">
        <v>0</v>
      </c>
      <c r="H19" s="381">
        <v>0</v>
      </c>
      <c r="I19" s="382">
        <v>0</v>
      </c>
      <c r="J19" s="109">
        <v>0</v>
      </c>
      <c r="K19" s="109">
        <v>0</v>
      </c>
      <c r="L19" s="109">
        <v>0</v>
      </c>
      <c r="M19" s="109">
        <v>0</v>
      </c>
      <c r="N19" s="508">
        <f t="shared" si="2"/>
        <v>0</v>
      </c>
      <c r="O19" s="540"/>
      <c r="P19" s="240">
        <f>'B5-Capex'!K21</f>
        <v>0</v>
      </c>
      <c r="Q19" s="75">
        <f>'B5-Capex'!L21</f>
        <v>0</v>
      </c>
      <c r="R19" s="76">
        <f>'B5-Capex'!M21</f>
        <v>0</v>
      </c>
      <c r="S19" s="128"/>
    </row>
    <row r="20" spans="1:19" ht="12.75" customHeight="1" x14ac:dyDescent="0.25">
      <c r="A20" s="129" t="str">
        <f>'B5-Capex'!A22</f>
        <v>Vote 15 - [NAME OF VOTE 15]</v>
      </c>
      <c r="B20" s="129"/>
      <c r="C20" s="382">
        <v>0</v>
      </c>
      <c r="D20" s="109">
        <v>0</v>
      </c>
      <c r="E20" s="109">
        <v>0</v>
      </c>
      <c r="F20" s="109">
        <v>0</v>
      </c>
      <c r="G20" s="109">
        <v>0</v>
      </c>
      <c r="H20" s="381">
        <v>0</v>
      </c>
      <c r="I20" s="382">
        <v>0</v>
      </c>
      <c r="J20" s="109">
        <v>0</v>
      </c>
      <c r="K20" s="109">
        <v>0</v>
      </c>
      <c r="L20" s="109">
        <v>0</v>
      </c>
      <c r="M20" s="109">
        <v>0</v>
      </c>
      <c r="N20" s="508">
        <f t="shared" si="2"/>
        <v>0</v>
      </c>
      <c r="O20" s="540"/>
      <c r="P20" s="240">
        <f>'B5-Capex'!K22</f>
        <v>0</v>
      </c>
      <c r="Q20" s="75">
        <f>'B5-Capex'!L22</f>
        <v>0</v>
      </c>
      <c r="R20" s="76">
        <f>'B5-Capex'!M22</f>
        <v>0</v>
      </c>
      <c r="S20" s="128"/>
    </row>
    <row r="21" spans="1:19" ht="12.75" customHeight="1" x14ac:dyDescent="0.25">
      <c r="A21" s="750" t="s">
        <v>473</v>
      </c>
      <c r="B21" s="73">
        <v>3</v>
      </c>
      <c r="C21" s="573">
        <f t="shared" ref="C21:R21" si="3">SUM(C6:C20)</f>
        <v>0</v>
      </c>
      <c r="D21" s="574">
        <f t="shared" si="3"/>
        <v>0</v>
      </c>
      <c r="E21" s="574">
        <f t="shared" si="3"/>
        <v>0</v>
      </c>
      <c r="F21" s="574">
        <f t="shared" si="3"/>
        <v>0</v>
      </c>
      <c r="G21" s="574">
        <f t="shared" si="3"/>
        <v>0</v>
      </c>
      <c r="H21" s="575">
        <f t="shared" si="3"/>
        <v>0</v>
      </c>
      <c r="I21" s="576">
        <f t="shared" si="3"/>
        <v>0</v>
      </c>
      <c r="J21" s="574">
        <f t="shared" si="3"/>
        <v>0</v>
      </c>
      <c r="K21" s="574">
        <f t="shared" si="3"/>
        <v>0</v>
      </c>
      <c r="L21" s="574">
        <f t="shared" si="3"/>
        <v>0</v>
      </c>
      <c r="M21" s="575">
        <f t="shared" si="3"/>
        <v>0</v>
      </c>
      <c r="N21" s="577">
        <f t="shared" si="3"/>
        <v>0</v>
      </c>
      <c r="O21" s="578">
        <f t="shared" si="3"/>
        <v>0</v>
      </c>
      <c r="P21" s="579">
        <f t="shared" si="3"/>
        <v>0</v>
      </c>
      <c r="Q21" s="580">
        <f t="shared" si="3"/>
        <v>0</v>
      </c>
      <c r="R21" s="577">
        <f t="shared" si="3"/>
        <v>0</v>
      </c>
      <c r="S21" s="128"/>
    </row>
    <row r="22" spans="1:19" ht="3.75" customHeight="1" x14ac:dyDescent="0.25">
      <c r="A22" s="136"/>
      <c r="B22" s="73"/>
      <c r="C22" s="74"/>
      <c r="D22" s="75"/>
      <c r="E22" s="75"/>
      <c r="F22" s="75"/>
      <c r="G22" s="75"/>
      <c r="H22" s="508"/>
      <c r="I22" s="240"/>
      <c r="J22" s="75"/>
      <c r="K22" s="75"/>
      <c r="L22" s="75"/>
      <c r="M22" s="508"/>
      <c r="N22" s="76">
        <f>SUM(N7:N21)</f>
        <v>0</v>
      </c>
      <c r="O22" s="540">
        <f>SUM(O7:O21)</f>
        <v>0</v>
      </c>
      <c r="P22" s="240">
        <f>SUM(P7:P21)</f>
        <v>0</v>
      </c>
      <c r="Q22" s="75">
        <f>SUM(Q7:Q21)</f>
        <v>0</v>
      </c>
      <c r="R22" s="76">
        <f>SUM(R7:R21)</f>
        <v>0</v>
      </c>
      <c r="S22" s="128"/>
    </row>
    <row r="23" spans="1:19" ht="12.75" customHeight="1" x14ac:dyDescent="0.25">
      <c r="A23" s="72" t="s">
        <v>1095</v>
      </c>
      <c r="B23" s="129"/>
      <c r="C23" s="581"/>
      <c r="D23" s="173"/>
      <c r="E23" s="173"/>
      <c r="F23" s="173"/>
      <c r="G23" s="173"/>
      <c r="H23" s="582"/>
      <c r="I23" s="581"/>
      <c r="J23" s="173"/>
      <c r="K23" s="173"/>
      <c r="L23" s="173"/>
      <c r="M23" s="173"/>
      <c r="N23" s="458"/>
      <c r="O23" s="540"/>
      <c r="P23" s="240"/>
      <c r="Q23" s="75"/>
      <c r="R23" s="76"/>
      <c r="S23" s="128"/>
    </row>
    <row r="24" spans="1:19" ht="12.75" customHeight="1" x14ac:dyDescent="0.25">
      <c r="A24" s="129" t="str">
        <f t="shared" ref="A24:A38" si="4">A6</f>
        <v>Vote 1 - CHIEF OPERATION OFFICE</v>
      </c>
      <c r="B24" s="129"/>
      <c r="C24" s="382">
        <v>0</v>
      </c>
      <c r="D24" s="109">
        <v>0</v>
      </c>
      <c r="E24" s="109">
        <v>0</v>
      </c>
      <c r="F24" s="109">
        <v>0</v>
      </c>
      <c r="G24" s="109">
        <v>0</v>
      </c>
      <c r="H24" s="381">
        <v>316769.59299999999</v>
      </c>
      <c r="I24" s="382">
        <v>212595.43073178665</v>
      </c>
      <c r="J24" s="109">
        <v>212595.43073178665</v>
      </c>
      <c r="K24" s="109">
        <v>321116.15145605203</v>
      </c>
      <c r="L24" s="109">
        <v>365763.40941065073</v>
      </c>
      <c r="M24" s="109">
        <v>478269.3410143748</v>
      </c>
      <c r="N24" s="508">
        <f t="shared" ref="N24:N38" si="5">P24-SUM(C24:M24)</f>
        <v>8288978.6436553495</v>
      </c>
      <c r="O24" s="540"/>
      <c r="P24" s="240">
        <f>'B5-Capex'!K26</f>
        <v>10196088</v>
      </c>
      <c r="Q24" s="75">
        <f>'B5-Capex'!L26</f>
        <v>3470601</v>
      </c>
      <c r="R24" s="76">
        <f>'B5-Capex'!M26</f>
        <v>4452949</v>
      </c>
      <c r="S24" s="128"/>
    </row>
    <row r="25" spans="1:19" ht="12.75" customHeight="1" x14ac:dyDescent="0.25">
      <c r="A25" s="129" t="str">
        <f t="shared" si="4"/>
        <v>Vote 2 - MUNICIPAL MANAGER'S OFFICE</v>
      </c>
      <c r="B25" s="129"/>
      <c r="C25" s="382">
        <v>0</v>
      </c>
      <c r="D25" s="109">
        <v>0</v>
      </c>
      <c r="E25" s="109">
        <v>0</v>
      </c>
      <c r="F25" s="109">
        <v>0</v>
      </c>
      <c r="G25" s="109">
        <v>0</v>
      </c>
      <c r="H25" s="381">
        <v>0</v>
      </c>
      <c r="I25" s="382">
        <v>0</v>
      </c>
      <c r="J25" s="109">
        <v>0</v>
      </c>
      <c r="K25" s="109">
        <v>0</v>
      </c>
      <c r="L25" s="109">
        <v>0</v>
      </c>
      <c r="M25" s="109">
        <v>0</v>
      </c>
      <c r="N25" s="508">
        <f t="shared" si="5"/>
        <v>0</v>
      </c>
      <c r="O25" s="540"/>
      <c r="P25" s="240">
        <f>'B5-Capex'!K27</f>
        <v>0</v>
      </c>
      <c r="Q25" s="75">
        <f>'B5-Capex'!L27</f>
        <v>0</v>
      </c>
      <c r="R25" s="76">
        <f>'B5-Capex'!M27</f>
        <v>0</v>
      </c>
      <c r="S25" s="128"/>
    </row>
    <row r="26" spans="1:19" ht="12.75" customHeight="1" x14ac:dyDescent="0.25">
      <c r="A26" s="129" t="str">
        <f t="shared" si="4"/>
        <v>Vote 3 - WATER AND SANITATION</v>
      </c>
      <c r="B26" s="129"/>
      <c r="C26" s="382">
        <v>20327106.197999999</v>
      </c>
      <c r="D26" s="109">
        <v>40712152.719499998</v>
      </c>
      <c r="E26" s="109">
        <v>29054060.780000001</v>
      </c>
      <c r="F26" s="109">
        <v>54639198.831499994</v>
      </c>
      <c r="G26" s="109">
        <v>23268794</v>
      </c>
      <c r="H26" s="381">
        <v>57979344.782499999</v>
      </c>
      <c r="I26" s="382">
        <v>37764979.764316157</v>
      </c>
      <c r="J26" s="109">
        <v>37764979.764316157</v>
      </c>
      <c r="K26" s="109">
        <v>57042359.377104439</v>
      </c>
      <c r="L26" s="109">
        <v>34973399.039545901</v>
      </c>
      <c r="M26" s="109">
        <f>84958702.6547515-20000000-30000000</f>
        <v>34958702.654751495</v>
      </c>
      <c r="N26" s="508">
        <f t="shared" si="5"/>
        <v>30567333.088465869</v>
      </c>
      <c r="O26" s="540"/>
      <c r="P26" s="240">
        <f>'B5-Capex'!K28</f>
        <v>459052411</v>
      </c>
      <c r="Q26" s="75">
        <f>'B5-Capex'!L28</f>
        <v>288617785</v>
      </c>
      <c r="R26" s="76">
        <f>'B5-Capex'!M28</f>
        <v>192611701</v>
      </c>
      <c r="S26" s="128"/>
    </row>
    <row r="27" spans="1:19" ht="12.75" customHeight="1" x14ac:dyDescent="0.25">
      <c r="A27" s="129" t="str">
        <f t="shared" si="4"/>
        <v>Vote 4 - ENERGY</v>
      </c>
      <c r="B27" s="129"/>
      <c r="C27" s="382">
        <v>0</v>
      </c>
      <c r="D27" s="109">
        <v>0</v>
      </c>
      <c r="E27" s="109">
        <v>0</v>
      </c>
      <c r="F27" s="109">
        <v>8602910.2364999987</v>
      </c>
      <c r="G27" s="109">
        <v>5734443.9400000004</v>
      </c>
      <c r="H27" s="381">
        <v>0</v>
      </c>
      <c r="I27" s="382">
        <v>1414992.7731719934</v>
      </c>
      <c r="J27" s="109">
        <v>1414992.7731719934</v>
      </c>
      <c r="K27" s="109">
        <v>2137285.0399233904</v>
      </c>
      <c r="L27" s="109">
        <v>2434448.2815332538</v>
      </c>
      <c r="M27" s="109">
        <f>3183265.31683019+35000000</f>
        <v>38183265.316830188</v>
      </c>
      <c r="N27" s="508">
        <f t="shared" si="5"/>
        <v>19116299.638869181</v>
      </c>
      <c r="O27" s="540"/>
      <c r="P27" s="240">
        <f>'B5-Capex'!K29</f>
        <v>79038638</v>
      </c>
      <c r="Q27" s="75">
        <f>'B5-Capex'!L29</f>
        <v>28631053</v>
      </c>
      <c r="R27" s="76">
        <f>'B5-Capex'!M29</f>
        <v>36942500</v>
      </c>
      <c r="S27" s="128"/>
    </row>
    <row r="28" spans="1:19" ht="12.75" customHeight="1" x14ac:dyDescent="0.25">
      <c r="A28" s="129" t="str">
        <f t="shared" si="4"/>
        <v>Vote 5 - COMMUNITY SERVICES</v>
      </c>
      <c r="B28" s="129"/>
      <c r="C28" s="382">
        <v>1299937</v>
      </c>
      <c r="D28" s="109">
        <v>3933951.9585000002</v>
      </c>
      <c r="E28" s="109">
        <v>5705483.7400000002</v>
      </c>
      <c r="F28" s="109">
        <v>894314.75</v>
      </c>
      <c r="G28" s="109">
        <v>1227590.5</v>
      </c>
      <c r="H28" s="381">
        <v>6549171.6734999996</v>
      </c>
      <c r="I28" s="382">
        <v>4224593.7718192199</v>
      </c>
      <c r="J28" s="109">
        <v>4224593.7718192199</v>
      </c>
      <c r="K28" s="109">
        <v>6381065.1470834371</v>
      </c>
      <c r="L28" s="109">
        <v>7268273.9042733544</v>
      </c>
      <c r="M28" s="109">
        <v>9503937.4663253855</v>
      </c>
      <c r="N28" s="508">
        <f t="shared" si="5"/>
        <v>14109467.316679381</v>
      </c>
      <c r="O28" s="540"/>
      <c r="P28" s="240">
        <f>'B5-Capex'!K30</f>
        <v>65322381</v>
      </c>
      <c r="Q28" s="75">
        <f>'B5-Capex'!L30</f>
        <v>52270647</v>
      </c>
      <c r="R28" s="76">
        <f>'B5-Capex'!M30</f>
        <v>43924532</v>
      </c>
      <c r="S28" s="128"/>
    </row>
    <row r="29" spans="1:19" ht="12.75" customHeight="1" x14ac:dyDescent="0.25">
      <c r="A29" s="129" t="str">
        <f t="shared" si="4"/>
        <v>Vote 6 - PUBLIC SAFETY(ADMINISTRATION)</v>
      </c>
      <c r="B29" s="129"/>
      <c r="C29" s="382">
        <v>0</v>
      </c>
      <c r="D29" s="109">
        <v>0</v>
      </c>
      <c r="E29" s="109">
        <v>0</v>
      </c>
      <c r="F29" s="109">
        <v>0</v>
      </c>
      <c r="G29" s="109">
        <v>0</v>
      </c>
      <c r="H29" s="381">
        <v>36144.5</v>
      </c>
      <c r="I29" s="382">
        <v>154638.13313624889</v>
      </c>
      <c r="J29" s="109">
        <v>154638.13313624889</v>
      </c>
      <c r="K29" s="109">
        <v>233574.17424322985</v>
      </c>
      <c r="L29" s="109">
        <v>266049.79517255299</v>
      </c>
      <c r="M29" s="109">
        <v>347884.60775563045</v>
      </c>
      <c r="N29" s="508">
        <f t="shared" si="5"/>
        <v>508422.65655608894</v>
      </c>
      <c r="O29" s="540"/>
      <c r="P29" s="240">
        <f>'B5-Capex'!K31</f>
        <v>1701352</v>
      </c>
      <c r="Q29" s="75">
        <f>'B5-Capex'!L31</f>
        <v>2516348</v>
      </c>
      <c r="R29" s="76">
        <f>'B5-Capex'!M31</f>
        <v>8384004</v>
      </c>
      <c r="S29" s="128"/>
    </row>
    <row r="30" spans="1:19" ht="12.75" customHeight="1" x14ac:dyDescent="0.25">
      <c r="A30" s="129" t="str">
        <f t="shared" si="4"/>
        <v>Vote 7 - CORPORATE AND SHARED SERVICES</v>
      </c>
      <c r="B30" s="129"/>
      <c r="C30" s="382">
        <v>0</v>
      </c>
      <c r="D30" s="109">
        <v>1318709.7955</v>
      </c>
      <c r="E30" s="109">
        <v>937034.65</v>
      </c>
      <c r="F30" s="109">
        <v>26005.111000000001</v>
      </c>
      <c r="G30" s="109">
        <v>1028426.03</v>
      </c>
      <c r="H30" s="381">
        <v>1460307.4554999999</v>
      </c>
      <c r="I30" s="382">
        <v>2059522.2275495504</v>
      </c>
      <c r="J30" s="109">
        <v>2059522.2275495504</v>
      </c>
      <c r="K30" s="109">
        <v>3110818.7474794332</v>
      </c>
      <c r="L30" s="109">
        <v>3543339.8973466773</v>
      </c>
      <c r="M30" s="109">
        <v>4633243.2225096999</v>
      </c>
      <c r="N30" s="508">
        <f t="shared" si="5"/>
        <v>28681556.635565087</v>
      </c>
      <c r="O30" s="540"/>
      <c r="P30" s="240">
        <f>'B5-Capex'!K32</f>
        <v>48858486</v>
      </c>
      <c r="Q30" s="75">
        <f>'B5-Capex'!L32</f>
        <v>24459609</v>
      </c>
      <c r="R30" s="76">
        <f>'B5-Capex'!M32</f>
        <v>20406914</v>
      </c>
      <c r="S30" s="128"/>
    </row>
    <row r="31" spans="1:19" ht="12.75" customHeight="1" x14ac:dyDescent="0.25">
      <c r="A31" s="129" t="str">
        <f t="shared" si="4"/>
        <v>Vote 8 - PLANNING AND ECONOMIC  DEVELOPMENT</v>
      </c>
      <c r="B31" s="129"/>
      <c r="C31" s="382">
        <v>0</v>
      </c>
      <c r="D31" s="109">
        <v>1051122.9654999999</v>
      </c>
      <c r="E31" s="109">
        <v>0</v>
      </c>
      <c r="F31" s="109">
        <v>161690</v>
      </c>
      <c r="G31" s="109">
        <v>462251.55</v>
      </c>
      <c r="H31" s="381">
        <v>0</v>
      </c>
      <c r="I31" s="382">
        <v>406632.07343009848</v>
      </c>
      <c r="J31" s="109">
        <v>406632.07343009848</v>
      </c>
      <c r="K31" s="109">
        <v>614200.06078684086</v>
      </c>
      <c r="L31" s="109">
        <v>699597.03762945009</v>
      </c>
      <c r="M31" s="109">
        <v>914787.55270182784</v>
      </c>
      <c r="N31" s="508">
        <f t="shared" si="5"/>
        <v>2719771.6865216838</v>
      </c>
      <c r="O31" s="540"/>
      <c r="P31" s="240">
        <f>'B5-Capex'!K33</f>
        <v>7436685</v>
      </c>
      <c r="Q31" s="75">
        <f>'B5-Capex'!L33</f>
        <v>7771868</v>
      </c>
      <c r="R31" s="76">
        <f>'B5-Capex'!M33</f>
        <v>7657123</v>
      </c>
      <c r="S31" s="128"/>
    </row>
    <row r="32" spans="1:19" ht="12.75" customHeight="1" x14ac:dyDescent="0.25">
      <c r="A32" s="129" t="str">
        <f t="shared" si="4"/>
        <v>Vote 9 - BUDGET AND TREASURY OFFICE)</v>
      </c>
      <c r="B32" s="129"/>
      <c r="C32" s="382">
        <v>0</v>
      </c>
      <c r="D32" s="109">
        <v>0</v>
      </c>
      <c r="E32" s="109">
        <v>0</v>
      </c>
      <c r="F32" s="109">
        <v>0</v>
      </c>
      <c r="G32" s="109">
        <v>1110381.83</v>
      </c>
      <c r="H32" s="381">
        <v>0</v>
      </c>
      <c r="I32" s="382">
        <v>70061.936326799332</v>
      </c>
      <c r="J32" s="109">
        <v>70061.936326799332</v>
      </c>
      <c r="K32" s="109">
        <v>105825.50753503533</v>
      </c>
      <c r="L32" s="109">
        <v>120539.24495269271</v>
      </c>
      <c r="M32" s="109">
        <v>157616.16325368799</v>
      </c>
      <c r="N32" s="508">
        <f t="shared" si="5"/>
        <v>30050597.381604984</v>
      </c>
      <c r="O32" s="540"/>
      <c r="P32" s="240">
        <f>'B5-Capex'!K34</f>
        <v>31685084</v>
      </c>
      <c r="Q32" s="75">
        <f>'B5-Capex'!L34</f>
        <v>0</v>
      </c>
      <c r="R32" s="76">
        <f>'B5-Capex'!M34</f>
        <v>0</v>
      </c>
      <c r="S32" s="128"/>
    </row>
    <row r="33" spans="1:20" ht="12.75" customHeight="1" x14ac:dyDescent="0.25">
      <c r="A33" s="129" t="str">
        <f t="shared" si="4"/>
        <v>Vote 10 - TRANSPORT SERVICES</v>
      </c>
      <c r="B33" s="129"/>
      <c r="C33" s="382">
        <v>1822670.1555000001</v>
      </c>
      <c r="D33" s="109">
        <v>11824890.4298</v>
      </c>
      <c r="E33" s="109">
        <v>33430315.16</v>
      </c>
      <c r="F33" s="109">
        <v>20990503.328499995</v>
      </c>
      <c r="G33" s="109">
        <v>15460881.970000003</v>
      </c>
      <c r="H33" s="381">
        <v>29612176.118000008</v>
      </c>
      <c r="I33" s="382">
        <v>32472738.266747851</v>
      </c>
      <c r="J33" s="109">
        <v>32472738.266747851</v>
      </c>
      <c r="K33" s="109">
        <v>49048658.776741281</v>
      </c>
      <c r="L33" s="109">
        <v>55868272.523363948</v>
      </c>
      <c r="M33" s="109">
        <f>73052911.2423095-35000000</f>
        <v>38052911.242309496</v>
      </c>
      <c r="N33" s="508">
        <f t="shared" si="5"/>
        <v>12682763.762289524</v>
      </c>
      <c r="O33" s="540"/>
      <c r="P33" s="240">
        <f>'B5-Capex'!K35</f>
        <v>333739520</v>
      </c>
      <c r="Q33" s="75">
        <f>'B5-Capex'!L35</f>
        <v>320413839</v>
      </c>
      <c r="R33" s="76">
        <f>'B5-Capex'!M35</f>
        <v>327433714</v>
      </c>
      <c r="S33" s="128"/>
    </row>
    <row r="34" spans="1:20" ht="12.75" customHeight="1" x14ac:dyDescent="0.25">
      <c r="A34" s="129" t="str">
        <f t="shared" si="4"/>
        <v>Vote 11 - HUMAN SETTLEMENT</v>
      </c>
      <c r="B34" s="129"/>
      <c r="C34" s="382">
        <v>0</v>
      </c>
      <c r="D34" s="109">
        <v>0</v>
      </c>
      <c r="E34" s="109">
        <v>0</v>
      </c>
      <c r="F34" s="109">
        <v>0</v>
      </c>
      <c r="G34" s="109">
        <v>0</v>
      </c>
      <c r="H34" s="381">
        <v>0</v>
      </c>
      <c r="I34" s="382">
        <v>0</v>
      </c>
      <c r="J34" s="109">
        <v>0</v>
      </c>
      <c r="K34" s="109">
        <v>0</v>
      </c>
      <c r="L34" s="109">
        <v>0</v>
      </c>
      <c r="M34" s="109">
        <v>0</v>
      </c>
      <c r="N34" s="508">
        <f t="shared" si="5"/>
        <v>0</v>
      </c>
      <c r="O34" s="540"/>
      <c r="P34" s="240">
        <f>'B5-Capex'!K36</f>
        <v>0</v>
      </c>
      <c r="Q34" s="75">
        <f>'B5-Capex'!L36</f>
        <v>0</v>
      </c>
      <c r="R34" s="76">
        <f>'B5-Capex'!M36</f>
        <v>0</v>
      </c>
      <c r="S34" s="128"/>
    </row>
    <row r="35" spans="1:20" ht="12.75" customHeight="1" x14ac:dyDescent="0.25">
      <c r="A35" s="129" t="str">
        <f t="shared" si="4"/>
        <v>Vote 12 - [NAME OF VOTE 12]</v>
      </c>
      <c r="B35" s="129"/>
      <c r="C35" s="382">
        <v>0</v>
      </c>
      <c r="D35" s="109">
        <v>0</v>
      </c>
      <c r="E35" s="109">
        <v>0</v>
      </c>
      <c r="F35" s="109">
        <v>0</v>
      </c>
      <c r="G35" s="109">
        <v>0</v>
      </c>
      <c r="H35" s="381">
        <v>0</v>
      </c>
      <c r="I35" s="382">
        <v>0</v>
      </c>
      <c r="J35" s="109">
        <v>0</v>
      </c>
      <c r="K35" s="109">
        <v>0</v>
      </c>
      <c r="L35" s="109">
        <v>0</v>
      </c>
      <c r="M35" s="109">
        <v>0</v>
      </c>
      <c r="N35" s="508">
        <f t="shared" si="5"/>
        <v>0</v>
      </c>
      <c r="O35" s="540"/>
      <c r="P35" s="240">
        <f>'B5-Capex'!K37</f>
        <v>0</v>
      </c>
      <c r="Q35" s="75">
        <f>'B5-Capex'!L37</f>
        <v>0</v>
      </c>
      <c r="R35" s="76">
        <f>'B5-Capex'!M37</f>
        <v>0</v>
      </c>
      <c r="S35" s="128"/>
    </row>
    <row r="36" spans="1:20" ht="12.75" customHeight="1" x14ac:dyDescent="0.25">
      <c r="A36" s="129" t="str">
        <f t="shared" si="4"/>
        <v>Vote 13 - [NAME OF VOTE 13]</v>
      </c>
      <c r="B36" s="129"/>
      <c r="C36" s="382">
        <v>0</v>
      </c>
      <c r="D36" s="109">
        <v>0</v>
      </c>
      <c r="E36" s="109">
        <v>0</v>
      </c>
      <c r="F36" s="109">
        <v>0</v>
      </c>
      <c r="G36" s="109">
        <v>0</v>
      </c>
      <c r="H36" s="381">
        <v>0</v>
      </c>
      <c r="I36" s="382">
        <v>0</v>
      </c>
      <c r="J36" s="109">
        <v>0</v>
      </c>
      <c r="K36" s="109">
        <v>0</v>
      </c>
      <c r="L36" s="109">
        <v>0</v>
      </c>
      <c r="M36" s="109">
        <v>0</v>
      </c>
      <c r="N36" s="508">
        <f t="shared" si="5"/>
        <v>0</v>
      </c>
      <c r="O36" s="540"/>
      <c r="P36" s="240">
        <f>'B5-Capex'!K38</f>
        <v>0</v>
      </c>
      <c r="Q36" s="75">
        <f>'B5-Capex'!L38</f>
        <v>0</v>
      </c>
      <c r="R36" s="76">
        <f>'B5-Capex'!M38</f>
        <v>0</v>
      </c>
      <c r="S36" s="128"/>
    </row>
    <row r="37" spans="1:20" ht="12.75" customHeight="1" x14ac:dyDescent="0.25">
      <c r="A37" s="129" t="str">
        <f t="shared" si="4"/>
        <v>Vote 14 - [NAME OF VOTE 14]</v>
      </c>
      <c r="B37" s="129"/>
      <c r="C37" s="382">
        <v>0</v>
      </c>
      <c r="D37" s="109">
        <v>0</v>
      </c>
      <c r="E37" s="109">
        <v>0</v>
      </c>
      <c r="F37" s="109">
        <v>0</v>
      </c>
      <c r="G37" s="109">
        <v>0</v>
      </c>
      <c r="H37" s="381">
        <v>0</v>
      </c>
      <c r="I37" s="382">
        <v>0</v>
      </c>
      <c r="J37" s="109">
        <v>0</v>
      </c>
      <c r="K37" s="109">
        <v>0</v>
      </c>
      <c r="L37" s="109">
        <v>0</v>
      </c>
      <c r="M37" s="109">
        <v>0</v>
      </c>
      <c r="N37" s="508">
        <f t="shared" si="5"/>
        <v>0</v>
      </c>
      <c r="O37" s="540"/>
      <c r="P37" s="240">
        <f>'B5-Capex'!K39</f>
        <v>0</v>
      </c>
      <c r="Q37" s="75">
        <f>'B5-Capex'!L39</f>
        <v>0</v>
      </c>
      <c r="R37" s="76">
        <f>'B5-Capex'!M39</f>
        <v>0</v>
      </c>
      <c r="S37" s="128"/>
    </row>
    <row r="38" spans="1:20" ht="12.75" customHeight="1" x14ac:dyDescent="0.25">
      <c r="A38" s="129" t="str">
        <f t="shared" si="4"/>
        <v>Vote 15 - [NAME OF VOTE 15]</v>
      </c>
      <c r="B38" s="129"/>
      <c r="C38" s="382">
        <v>0</v>
      </c>
      <c r="D38" s="109">
        <v>0</v>
      </c>
      <c r="E38" s="109">
        <v>0</v>
      </c>
      <c r="F38" s="109">
        <v>0</v>
      </c>
      <c r="G38" s="109">
        <v>0</v>
      </c>
      <c r="H38" s="381">
        <v>0</v>
      </c>
      <c r="I38" s="382">
        <v>0</v>
      </c>
      <c r="J38" s="109">
        <v>0</v>
      </c>
      <c r="K38" s="109">
        <v>0</v>
      </c>
      <c r="L38" s="109">
        <v>0</v>
      </c>
      <c r="M38" s="109">
        <v>0</v>
      </c>
      <c r="N38" s="508">
        <f t="shared" si="5"/>
        <v>0</v>
      </c>
      <c r="O38" s="540"/>
      <c r="P38" s="240">
        <f>'B5-Capex'!K40</f>
        <v>0</v>
      </c>
      <c r="Q38" s="75">
        <f>'B5-Capex'!L40</f>
        <v>0</v>
      </c>
      <c r="R38" s="76">
        <f>'B5-Capex'!M40</f>
        <v>0</v>
      </c>
      <c r="S38" s="128"/>
    </row>
    <row r="39" spans="1:20" ht="12.75" customHeight="1" x14ac:dyDescent="0.25">
      <c r="A39" s="161" t="s">
        <v>664</v>
      </c>
      <c r="B39" s="73">
        <v>3</v>
      </c>
      <c r="C39" s="573">
        <f>SUM(C24:C38)</f>
        <v>23449713.353499997</v>
      </c>
      <c r="D39" s="574">
        <f t="shared" ref="D39:R39" si="6">SUM(D24:D38)</f>
        <v>58840827.868799999</v>
      </c>
      <c r="E39" s="574">
        <f t="shared" si="6"/>
        <v>69126894.329999998</v>
      </c>
      <c r="F39" s="574">
        <f t="shared" si="6"/>
        <v>85314622.257499993</v>
      </c>
      <c r="G39" s="574">
        <f t="shared" si="6"/>
        <v>48292769.820000008</v>
      </c>
      <c r="H39" s="575">
        <f t="shared" si="6"/>
        <v>95953914.122500002</v>
      </c>
      <c r="I39" s="576">
        <f t="shared" si="6"/>
        <v>78780754.377229705</v>
      </c>
      <c r="J39" s="574">
        <f t="shared" si="6"/>
        <v>78780754.377229705</v>
      </c>
      <c r="K39" s="574">
        <f t="shared" si="6"/>
        <v>118994902.98235315</v>
      </c>
      <c r="L39" s="574">
        <f t="shared" si="6"/>
        <v>105539683.13322848</v>
      </c>
      <c r="M39" s="575">
        <f t="shared" si="6"/>
        <v>127230617.56745179</v>
      </c>
      <c r="N39" s="577">
        <f t="shared" si="6"/>
        <v>146725190.81020713</v>
      </c>
      <c r="O39" s="578">
        <f t="shared" si="6"/>
        <v>0</v>
      </c>
      <c r="P39" s="579">
        <f t="shared" si="6"/>
        <v>1037030645</v>
      </c>
      <c r="Q39" s="580">
        <f t="shared" si="6"/>
        <v>728151750</v>
      </c>
      <c r="R39" s="577">
        <f t="shared" si="6"/>
        <v>641813437</v>
      </c>
      <c r="S39" s="128"/>
    </row>
    <row r="40" spans="1:20" ht="12.75" customHeight="1" x14ac:dyDescent="0.25">
      <c r="A40" s="583" t="s">
        <v>474</v>
      </c>
      <c r="B40" s="584">
        <v>2</v>
      </c>
      <c r="C40" s="116">
        <f>C21+C39</f>
        <v>23449713.353499997</v>
      </c>
      <c r="D40" s="117">
        <f t="shared" ref="D40:R40" si="7">D21+D39</f>
        <v>58840827.868799999</v>
      </c>
      <c r="E40" s="117">
        <f t="shared" si="7"/>
        <v>69126894.329999998</v>
      </c>
      <c r="F40" s="117">
        <f t="shared" si="7"/>
        <v>85314622.257499993</v>
      </c>
      <c r="G40" s="117">
        <f t="shared" si="7"/>
        <v>48292769.820000008</v>
      </c>
      <c r="H40" s="522">
        <f t="shared" si="7"/>
        <v>95953914.122500002</v>
      </c>
      <c r="I40" s="116">
        <f t="shared" si="7"/>
        <v>78780754.377229705</v>
      </c>
      <c r="J40" s="117">
        <f t="shared" si="7"/>
        <v>78780754.377229705</v>
      </c>
      <c r="K40" s="117">
        <f t="shared" si="7"/>
        <v>118994902.98235315</v>
      </c>
      <c r="L40" s="117">
        <f t="shared" si="7"/>
        <v>105539683.13322848</v>
      </c>
      <c r="M40" s="117">
        <f t="shared" si="7"/>
        <v>127230617.56745179</v>
      </c>
      <c r="N40" s="522">
        <f t="shared" si="7"/>
        <v>146725190.81020713</v>
      </c>
      <c r="O40" s="543">
        <f t="shared" si="7"/>
        <v>0</v>
      </c>
      <c r="P40" s="116">
        <f t="shared" si="7"/>
        <v>1037030645</v>
      </c>
      <c r="Q40" s="117">
        <f t="shared" si="7"/>
        <v>728151750</v>
      </c>
      <c r="R40" s="118">
        <f t="shared" si="7"/>
        <v>641813437</v>
      </c>
      <c r="S40" s="128"/>
    </row>
    <row r="41" spans="1:20" ht="12.75" customHeight="1" x14ac:dyDescent="0.25">
      <c r="A41" s="585" t="str">
        <f>head27a</f>
        <v>References</v>
      </c>
      <c r="B41" s="586"/>
      <c r="C41" s="545"/>
      <c r="D41" s="545"/>
      <c r="E41" s="545"/>
      <c r="F41" s="545"/>
      <c r="G41" s="545"/>
      <c r="H41" s="545"/>
      <c r="I41" s="545"/>
      <c r="J41" s="545"/>
      <c r="K41" s="545"/>
      <c r="L41" s="545"/>
      <c r="M41" s="545"/>
      <c r="N41" s="545"/>
      <c r="O41" s="545"/>
      <c r="P41" s="545"/>
      <c r="Q41" s="545"/>
      <c r="R41" s="338"/>
      <c r="S41" s="128"/>
      <c r="T41" s="128"/>
    </row>
    <row r="42" spans="1:20" ht="12.75" customHeight="1" x14ac:dyDescent="0.25">
      <c r="A42" s="99" t="s">
        <v>475</v>
      </c>
      <c r="B42" s="48"/>
      <c r="C42" s="545"/>
      <c r="D42" s="545"/>
      <c r="E42" s="545"/>
      <c r="F42" s="545"/>
      <c r="G42" s="545"/>
      <c r="H42" s="545"/>
      <c r="I42" s="545"/>
      <c r="J42" s="545"/>
      <c r="K42" s="545"/>
      <c r="L42" s="545"/>
      <c r="M42" s="545"/>
      <c r="N42" s="545"/>
      <c r="O42" s="545"/>
      <c r="P42" s="545"/>
      <c r="Q42" s="545"/>
      <c r="R42" s="338"/>
      <c r="S42" s="128"/>
      <c r="T42" s="128"/>
    </row>
    <row r="43" spans="1:20" ht="12.75" customHeight="1" x14ac:dyDescent="0.25">
      <c r="A43" s="99" t="s">
        <v>476</v>
      </c>
      <c r="B43" s="48"/>
      <c r="C43" s="48"/>
      <c r="D43" s="48"/>
      <c r="E43" s="48"/>
      <c r="F43" s="48"/>
      <c r="G43" s="48"/>
      <c r="H43" s="48"/>
      <c r="I43" s="48"/>
      <c r="J43" s="48"/>
      <c r="K43" s="48"/>
      <c r="L43" s="48"/>
      <c r="M43" s="48"/>
      <c r="N43" s="48"/>
      <c r="O43" s="48"/>
      <c r="P43" s="48"/>
      <c r="Q43" s="48"/>
      <c r="R43" s="48"/>
    </row>
    <row r="44" spans="1:20" ht="12.75" customHeight="1" x14ac:dyDescent="0.25">
      <c r="A44" s="48"/>
      <c r="B44" s="48"/>
      <c r="C44" s="48"/>
      <c r="D44" s="48"/>
      <c r="E44" s="48"/>
      <c r="F44" s="48"/>
      <c r="G44" s="48"/>
      <c r="H44" s="48"/>
      <c r="I44" s="48"/>
      <c r="J44" s="48"/>
      <c r="K44" s="48"/>
      <c r="L44" s="48"/>
      <c r="M44" s="48"/>
      <c r="N44" s="48"/>
      <c r="O44" s="48"/>
      <c r="P44" s="48"/>
      <c r="Q44" s="48"/>
      <c r="R44" s="48"/>
    </row>
    <row r="45" spans="1:20" x14ac:dyDescent="0.25">
      <c r="A45" s="311" t="s">
        <v>3</v>
      </c>
      <c r="B45" s="311"/>
      <c r="O45" s="167">
        <f>O40-'B5-Capex'!J42</f>
        <v>194111037</v>
      </c>
      <c r="P45" s="340">
        <f>P40-'B5-Capex'!K42</f>
        <v>0</v>
      </c>
      <c r="Q45" s="340">
        <f>Q40-'B5-Capex'!L42</f>
        <v>0</v>
      </c>
      <c r="R45" s="340">
        <f>R40-'B5-Capex'!M42</f>
        <v>0</v>
      </c>
    </row>
    <row r="56" spans="2:2" x14ac:dyDescent="0.25">
      <c r="B56" s="128"/>
    </row>
  </sheetData>
  <sheetProtection sheet="1" objects="1" scenarios="1"/>
  <mergeCells count="2">
    <mergeCell ref="A2:A3"/>
    <mergeCell ref="B2:B3"/>
  </mergeCells>
  <phoneticPr fontId="4" type="noConversion"/>
  <printOptions horizontalCentered="1"/>
  <pageMargins left="0.34" right="0.2" top="0.78" bottom="0.78" header="0.51181102362204722" footer="0.51181102362204722"/>
  <pageSetup paperSize="9" scale="85"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7">
    <tabColor indexed="42"/>
    <pageSetUpPr fitToPage="1"/>
  </sheetPr>
  <dimension ref="A1:T56"/>
  <sheetViews>
    <sheetView showGridLines="0" zoomScaleNormal="100" workbookViewId="0">
      <pane xSplit="2" ySplit="4" topLeftCell="C5" activePane="bottomRight" state="frozen"/>
      <selection activeCell="C6" sqref="C6"/>
      <selection pane="topRight" activeCell="C6" sqref="C6"/>
      <selection pane="bottomLeft" activeCell="C6" sqref="C6"/>
      <selection pane="bottomRight" activeCell="Q26" sqref="C6:Q26"/>
    </sheetView>
  </sheetViews>
  <sheetFormatPr defaultColWidth="9.140625" defaultRowHeight="12.75" x14ac:dyDescent="0.25"/>
  <cols>
    <col min="1" max="1" width="30.5703125" style="5" customWidth="1"/>
    <col min="2" max="2" width="3.140625" style="5" customWidth="1"/>
    <col min="3" max="18" width="8.7109375" style="5" customWidth="1"/>
    <col min="19" max="16384" width="9.140625" style="5"/>
  </cols>
  <sheetData>
    <row r="1" spans="1:18" ht="13.5" x14ac:dyDescent="0.25">
      <c r="A1" s="57" t="str">
        <f>muni&amp;" - "&amp;ADJB17&amp;" - "&amp;Date</f>
        <v>LIM354 Polokwane - Supporting Table SB17 Adjustments Budget - monthly capital expenditure (functional classification) - 2020</v>
      </c>
      <c r="B1" s="57"/>
      <c r="D1" s="58"/>
    </row>
    <row r="2" spans="1:18" ht="25.5" x14ac:dyDescent="0.25">
      <c r="A2" s="1409" t="str">
        <f>desc</f>
        <v>Description</v>
      </c>
      <c r="B2" s="1406" t="str">
        <f>head27</f>
        <v>Ref</v>
      </c>
      <c r="C2" s="1403" t="str">
        <f>Head2</f>
        <v>Budget Year 2020/21</v>
      </c>
      <c r="D2" s="1404"/>
      <c r="E2" s="1404"/>
      <c r="F2" s="1404"/>
      <c r="G2" s="1404"/>
      <c r="H2" s="1404"/>
      <c r="I2" s="1404"/>
      <c r="J2" s="1404"/>
      <c r="K2" s="1404"/>
      <c r="L2" s="1404"/>
      <c r="M2" s="1404"/>
      <c r="N2" s="1455"/>
      <c r="O2" s="587" t="str">
        <f>Head3a</f>
        <v>Medium Term Revenue and Expenditure Framework</v>
      </c>
      <c r="P2" s="450"/>
      <c r="Q2" s="170"/>
    </row>
    <row r="3" spans="1:18" ht="38.25" x14ac:dyDescent="0.25">
      <c r="A3" s="1410"/>
      <c r="B3" s="1407"/>
      <c r="C3" s="452" t="s">
        <v>224</v>
      </c>
      <c r="D3" s="320" t="s">
        <v>225</v>
      </c>
      <c r="E3" s="320" t="s">
        <v>226</v>
      </c>
      <c r="F3" s="320" t="s">
        <v>227</v>
      </c>
      <c r="G3" s="320" t="s">
        <v>228</v>
      </c>
      <c r="H3" s="321" t="s">
        <v>229</v>
      </c>
      <c r="I3" s="531" t="s">
        <v>230</v>
      </c>
      <c r="J3" s="532" t="s">
        <v>231</v>
      </c>
      <c r="K3" s="320" t="s">
        <v>232</v>
      </c>
      <c r="L3" s="320" t="s">
        <v>233</v>
      </c>
      <c r="M3" s="533" t="s">
        <v>234</v>
      </c>
      <c r="N3" s="532" t="s">
        <v>235</v>
      </c>
      <c r="O3" s="531" t="str">
        <f>Head9</f>
        <v>Budget Year 2020/21</v>
      </c>
      <c r="P3" s="532" t="str">
        <f>Head10</f>
        <v>Budget Year +1 2021/22</v>
      </c>
      <c r="Q3" s="322" t="str">
        <f>Head11</f>
        <v>Budget Year +2 2022/23</v>
      </c>
    </row>
    <row r="4" spans="1:18" ht="25.5" x14ac:dyDescent="0.25">
      <c r="A4" s="562" t="s">
        <v>603</v>
      </c>
      <c r="B4" s="104"/>
      <c r="C4" s="803" t="str">
        <f t="shared" ref="C4:H4" si="0">Head5A</f>
        <v>Outcome</v>
      </c>
      <c r="D4" s="804" t="str">
        <f t="shared" si="0"/>
        <v>Outcome</v>
      </c>
      <c r="E4" s="804" t="str">
        <f t="shared" si="0"/>
        <v>Outcome</v>
      </c>
      <c r="F4" s="804" t="str">
        <f t="shared" si="0"/>
        <v>Outcome</v>
      </c>
      <c r="G4" s="804" t="str">
        <f t="shared" si="0"/>
        <v>Outcome</v>
      </c>
      <c r="H4" s="805" t="str">
        <f t="shared" si="0"/>
        <v>Outcome</v>
      </c>
      <c r="I4" s="803" t="str">
        <f t="shared" ref="I4:Q4" si="1">Head7</f>
        <v>Adjusted Budget</v>
      </c>
      <c r="J4" s="805" t="str">
        <f t="shared" si="1"/>
        <v>Adjusted Budget</v>
      </c>
      <c r="K4" s="804" t="str">
        <f t="shared" si="1"/>
        <v>Adjusted Budget</v>
      </c>
      <c r="L4" s="804" t="str">
        <f t="shared" si="1"/>
        <v>Adjusted Budget</v>
      </c>
      <c r="M4" s="804" t="str">
        <f t="shared" si="1"/>
        <v>Adjusted Budget</v>
      </c>
      <c r="N4" s="805" t="str">
        <f t="shared" si="1"/>
        <v>Adjusted Budget</v>
      </c>
      <c r="O4" s="537" t="str">
        <f t="shared" si="1"/>
        <v>Adjusted Budget</v>
      </c>
      <c r="P4" s="538" t="str">
        <f t="shared" si="1"/>
        <v>Adjusted Budget</v>
      </c>
      <c r="Q4" s="539" t="str">
        <f t="shared" si="1"/>
        <v>Adjusted Budget</v>
      </c>
    </row>
    <row r="5" spans="1:18" ht="12.75" customHeight="1" x14ac:dyDescent="0.25">
      <c r="A5" s="507" t="s">
        <v>1480</v>
      </c>
      <c r="B5" s="129"/>
      <c r="C5" s="240"/>
      <c r="D5" s="75"/>
      <c r="E5" s="75"/>
      <c r="F5" s="75"/>
      <c r="G5" s="75"/>
      <c r="H5" s="508"/>
      <c r="I5" s="240"/>
      <c r="J5" s="75"/>
      <c r="K5" s="75"/>
      <c r="L5" s="75"/>
      <c r="M5" s="75"/>
      <c r="N5" s="508"/>
      <c r="O5" s="240"/>
      <c r="P5" s="75"/>
      <c r="Q5" s="76"/>
      <c r="R5" s="128"/>
    </row>
    <row r="6" spans="1:18" ht="12.75" customHeight="1" x14ac:dyDescent="0.25">
      <c r="A6" s="107" t="str">
        <f>'B2-FinPerf SC'!A7</f>
        <v>Governance and administration</v>
      </c>
      <c r="B6" s="129"/>
      <c r="C6" s="884">
        <f t="shared" ref="C6:M6" si="2">SUM(C7:C9)</f>
        <v>0</v>
      </c>
      <c r="D6" s="885">
        <f t="shared" si="2"/>
        <v>1318709.7955</v>
      </c>
      <c r="E6" s="885">
        <f t="shared" si="2"/>
        <v>937034.65</v>
      </c>
      <c r="F6" s="885">
        <f t="shared" si="2"/>
        <v>26005.111000000001</v>
      </c>
      <c r="G6" s="885">
        <f t="shared" si="2"/>
        <v>2138807.86</v>
      </c>
      <c r="H6" s="886">
        <f t="shared" si="2"/>
        <v>1777077.0485</v>
      </c>
      <c r="I6" s="884">
        <f t="shared" si="2"/>
        <v>713834.82683947438</v>
      </c>
      <c r="J6" s="885">
        <f t="shared" si="2"/>
        <v>713834.82683947438</v>
      </c>
      <c r="K6" s="885">
        <f t="shared" si="2"/>
        <v>1078216.4582793005</v>
      </c>
      <c r="L6" s="885">
        <f t="shared" si="2"/>
        <v>1228129.2176512876</v>
      </c>
      <c r="M6" s="885">
        <f t="shared" si="2"/>
        <v>21605892.05069204</v>
      </c>
      <c r="N6" s="887">
        <f t="shared" ref="N6:N25" si="3">O6-SUM(C6:M6)</f>
        <v>49641277.154698424</v>
      </c>
      <c r="O6" s="771">
        <f>'B5-Capex'!K45</f>
        <v>81178819</v>
      </c>
      <c r="P6" s="772">
        <f>'B5-Capex'!L45</f>
        <v>25207278</v>
      </c>
      <c r="Q6" s="774">
        <f>'B5-Capex'!M45</f>
        <v>21318920</v>
      </c>
      <c r="R6" s="128"/>
    </row>
    <row r="7" spans="1:18" ht="12.75" customHeight="1" x14ac:dyDescent="0.25">
      <c r="A7" s="108" t="str">
        <f>'B2-FinPerf SC'!A8</f>
        <v>Executive and council</v>
      </c>
      <c r="B7" s="129"/>
      <c r="C7" s="109">
        <v>0</v>
      </c>
      <c r="D7" s="109">
        <v>0</v>
      </c>
      <c r="E7" s="109">
        <v>0</v>
      </c>
      <c r="F7" s="109">
        <v>0</v>
      </c>
      <c r="G7" s="109">
        <v>0</v>
      </c>
      <c r="H7" s="381">
        <v>0</v>
      </c>
      <c r="I7" s="382">
        <v>0</v>
      </c>
      <c r="J7" s="109">
        <v>0</v>
      </c>
      <c r="K7" s="109">
        <v>0</v>
      </c>
      <c r="L7" s="109">
        <v>0</v>
      </c>
      <c r="M7" s="109">
        <v>0</v>
      </c>
      <c r="N7" s="508">
        <f t="shared" si="3"/>
        <v>0</v>
      </c>
      <c r="O7" s="240">
        <f>'B5-Capex'!K46</f>
        <v>0</v>
      </c>
      <c r="P7" s="75">
        <f>'B5-Capex'!L46</f>
        <v>0</v>
      </c>
      <c r="Q7" s="76">
        <f>'B5-Capex'!M46</f>
        <v>0</v>
      </c>
      <c r="R7" s="128"/>
    </row>
    <row r="8" spans="1:18" ht="12.75" customHeight="1" x14ac:dyDescent="0.25">
      <c r="A8" s="108" t="str">
        <f>'B2-FinPerf SC'!A9</f>
        <v>Finance and administration</v>
      </c>
      <c r="B8" s="129"/>
      <c r="C8" s="111">
        <v>0</v>
      </c>
      <c r="D8" s="111">
        <v>1318709.7955</v>
      </c>
      <c r="E8" s="111">
        <v>937034.65</v>
      </c>
      <c r="F8" s="111">
        <v>26005.111000000001</v>
      </c>
      <c r="G8" s="111">
        <v>2138807.86</v>
      </c>
      <c r="H8" s="556">
        <v>1777077.0485</v>
      </c>
      <c r="I8" s="557">
        <v>713834.82683947438</v>
      </c>
      <c r="J8" s="111">
        <v>713834.82683947438</v>
      </c>
      <c r="K8" s="111">
        <v>1078216.4582793005</v>
      </c>
      <c r="L8" s="111">
        <v>1228129.2176512876</v>
      </c>
      <c r="M8" s="111">
        <f>1605892.05069204+20000000</f>
        <v>21605892.05069204</v>
      </c>
      <c r="N8" s="508">
        <f t="shared" si="3"/>
        <v>49641277.154698424</v>
      </c>
      <c r="O8" s="240">
        <f>'B5-Capex'!K47</f>
        <v>81178819</v>
      </c>
      <c r="P8" s="75">
        <f>'B5-Capex'!L47</f>
        <v>25207278</v>
      </c>
      <c r="Q8" s="76">
        <f>'B5-Capex'!M47</f>
        <v>21318920</v>
      </c>
      <c r="R8" s="128"/>
    </row>
    <row r="9" spans="1:18" ht="12.75" customHeight="1" x14ac:dyDescent="0.25">
      <c r="A9" s="108" t="str">
        <f>'B2-FinPerf SC'!A10</f>
        <v>Internal audit</v>
      </c>
      <c r="B9" s="129"/>
      <c r="C9" s="109">
        <v>0</v>
      </c>
      <c r="D9" s="109">
        <v>0</v>
      </c>
      <c r="E9" s="109">
        <v>0</v>
      </c>
      <c r="F9" s="109">
        <v>0</v>
      </c>
      <c r="G9" s="109">
        <v>0</v>
      </c>
      <c r="H9" s="381">
        <v>0</v>
      </c>
      <c r="I9" s="382">
        <v>0</v>
      </c>
      <c r="J9" s="109">
        <v>0</v>
      </c>
      <c r="K9" s="109">
        <v>0</v>
      </c>
      <c r="L9" s="109">
        <v>0</v>
      </c>
      <c r="M9" s="109">
        <v>0</v>
      </c>
      <c r="N9" s="508">
        <f t="shared" si="3"/>
        <v>0</v>
      </c>
      <c r="O9" s="240">
        <f>'B5-Capex'!K48</f>
        <v>0</v>
      </c>
      <c r="P9" s="75">
        <f>'B5-Capex'!L48</f>
        <v>0</v>
      </c>
      <c r="Q9" s="76">
        <f>'B5-Capex'!M48</f>
        <v>0</v>
      </c>
      <c r="R9" s="128"/>
    </row>
    <row r="10" spans="1:18" ht="12.75" customHeight="1" x14ac:dyDescent="0.25">
      <c r="A10" s="107" t="str">
        <f>'B2-FinPerf SC'!A11</f>
        <v>Community and public safety</v>
      </c>
      <c r="B10" s="129"/>
      <c r="C10" s="884">
        <f t="shared" ref="C10:M10" si="4">SUM(C11:C15)</f>
        <v>0</v>
      </c>
      <c r="D10" s="885">
        <f t="shared" si="4"/>
        <v>3933951.9585000002</v>
      </c>
      <c r="E10" s="885">
        <f t="shared" si="4"/>
        <v>5705483.7400000002</v>
      </c>
      <c r="F10" s="885">
        <f t="shared" si="4"/>
        <v>894314.75</v>
      </c>
      <c r="G10" s="885">
        <f t="shared" si="4"/>
        <v>1227590.5</v>
      </c>
      <c r="H10" s="886">
        <f t="shared" si="4"/>
        <v>6585316.1734999996</v>
      </c>
      <c r="I10" s="884">
        <f t="shared" si="4"/>
        <v>3925822.4653674141</v>
      </c>
      <c r="J10" s="885">
        <f t="shared" si="4"/>
        <v>3925822.4653674141</v>
      </c>
      <c r="K10" s="885">
        <f t="shared" si="4"/>
        <v>5929784.083501501</v>
      </c>
      <c r="L10" s="885">
        <f t="shared" si="4"/>
        <v>6754247.7499683006</v>
      </c>
      <c r="M10" s="885">
        <f t="shared" si="4"/>
        <v>8831800.9328220636</v>
      </c>
      <c r="N10" s="887">
        <f t="shared" si="3"/>
        <v>12877593.180973306</v>
      </c>
      <c r="O10" s="771">
        <f>'B5-Capex'!K49</f>
        <v>60591728</v>
      </c>
      <c r="P10" s="772">
        <f>'B5-Capex'!L49</f>
        <v>53188812</v>
      </c>
      <c r="Q10" s="774">
        <f>'B5-Capex'!M49</f>
        <v>48262488</v>
      </c>
      <c r="R10" s="128"/>
    </row>
    <row r="11" spans="1:18" ht="12.75" customHeight="1" x14ac:dyDescent="0.25">
      <c r="A11" s="108" t="str">
        <f>'B2-FinPerf SC'!A12</f>
        <v>Community and social services</v>
      </c>
      <c r="B11" s="129"/>
      <c r="C11" s="109">
        <v>0</v>
      </c>
      <c r="D11" s="109">
        <v>0</v>
      </c>
      <c r="E11" s="109">
        <v>0</v>
      </c>
      <c r="F11" s="109">
        <v>894314.75</v>
      </c>
      <c r="G11" s="109">
        <v>0</v>
      </c>
      <c r="H11" s="381">
        <v>0</v>
      </c>
      <c r="I11" s="382">
        <v>149008.24461953691</v>
      </c>
      <c r="J11" s="109">
        <v>149008.24461953691</v>
      </c>
      <c r="K11" s="109">
        <v>225070.47250613099</v>
      </c>
      <c r="L11" s="109">
        <v>256363.75812374937</v>
      </c>
      <c r="M11" s="109">
        <v>335219.22232564323</v>
      </c>
      <c r="N11" s="508">
        <f t="shared" si="3"/>
        <v>3706690.3078054022</v>
      </c>
      <c r="O11" s="240">
        <f>'B5-Capex'!K50</f>
        <v>5715675</v>
      </c>
      <c r="P11" s="75">
        <f>'B5-Capex'!L50</f>
        <v>4868282</v>
      </c>
      <c r="Q11" s="76">
        <f>'B5-Capex'!M50</f>
        <v>8937030</v>
      </c>
      <c r="R11" s="128"/>
    </row>
    <row r="12" spans="1:18" ht="12.75" customHeight="1" x14ac:dyDescent="0.25">
      <c r="A12" s="108" t="str">
        <f>'B2-FinPerf SC'!A13</f>
        <v>Sport and recreation</v>
      </c>
      <c r="B12" s="129"/>
      <c r="C12" s="109">
        <v>0</v>
      </c>
      <c r="D12" s="109">
        <v>3933951.9585000002</v>
      </c>
      <c r="E12" s="109">
        <v>5705483.7400000002</v>
      </c>
      <c r="F12" s="109">
        <v>0</v>
      </c>
      <c r="G12" s="109">
        <v>1227590.5</v>
      </c>
      <c r="H12" s="381">
        <f>6549171.6735+36144.5</f>
        <v>6585316.1734999996</v>
      </c>
      <c r="I12" s="382">
        <v>3776814.2207478774</v>
      </c>
      <c r="J12" s="109">
        <v>3776814.2207478774</v>
      </c>
      <c r="K12" s="109">
        <v>5704713.61099537</v>
      </c>
      <c r="L12" s="109">
        <v>6497883.9918445516</v>
      </c>
      <c r="M12" s="109">
        <v>8496581.71049642</v>
      </c>
      <c r="N12" s="508">
        <f t="shared" si="3"/>
        <v>9170902.8731679022</v>
      </c>
      <c r="O12" s="240">
        <f>'B5-Capex'!K51</f>
        <v>54876053</v>
      </c>
      <c r="P12" s="75">
        <f>'B5-Capex'!L51</f>
        <v>48320530</v>
      </c>
      <c r="Q12" s="76">
        <f>'B5-Capex'!M51</f>
        <v>39325458</v>
      </c>
      <c r="R12" s="128"/>
    </row>
    <row r="13" spans="1:18" ht="12.75" customHeight="1" x14ac:dyDescent="0.25">
      <c r="A13" s="108" t="str">
        <f>'B2-FinPerf SC'!A14</f>
        <v>Public safety</v>
      </c>
      <c r="B13" s="129"/>
      <c r="C13" s="109">
        <v>0</v>
      </c>
      <c r="D13" s="109">
        <v>0</v>
      </c>
      <c r="E13" s="109">
        <v>0</v>
      </c>
      <c r="F13" s="109">
        <v>0</v>
      </c>
      <c r="G13" s="109">
        <v>0</v>
      </c>
      <c r="H13" s="381"/>
      <c r="I13" s="382">
        <v>0</v>
      </c>
      <c r="J13" s="109">
        <v>0</v>
      </c>
      <c r="K13" s="109">
        <v>0</v>
      </c>
      <c r="L13" s="109">
        <v>0</v>
      </c>
      <c r="M13" s="109">
        <v>0</v>
      </c>
      <c r="N13" s="508">
        <f t="shared" si="3"/>
        <v>0</v>
      </c>
      <c r="O13" s="240">
        <f>'B5-Capex'!K52</f>
        <v>0</v>
      </c>
      <c r="P13" s="75">
        <f>'B5-Capex'!L52</f>
        <v>0</v>
      </c>
      <c r="Q13" s="76">
        <f>'B5-Capex'!M52</f>
        <v>0</v>
      </c>
      <c r="R13" s="128"/>
    </row>
    <row r="14" spans="1:18" ht="12.75" customHeight="1" x14ac:dyDescent="0.25">
      <c r="A14" s="108" t="str">
        <f>'B2-FinPerf SC'!A15</f>
        <v>Housing</v>
      </c>
      <c r="B14" s="129"/>
      <c r="C14" s="109">
        <v>0</v>
      </c>
      <c r="D14" s="109">
        <v>0</v>
      </c>
      <c r="E14" s="109">
        <v>0</v>
      </c>
      <c r="F14" s="109">
        <v>0</v>
      </c>
      <c r="G14" s="109">
        <v>0</v>
      </c>
      <c r="H14" s="381">
        <v>0</v>
      </c>
      <c r="I14" s="382">
        <v>0</v>
      </c>
      <c r="J14" s="109">
        <v>0</v>
      </c>
      <c r="K14" s="109">
        <v>0</v>
      </c>
      <c r="L14" s="109">
        <v>0</v>
      </c>
      <c r="M14" s="109">
        <v>0</v>
      </c>
      <c r="N14" s="508">
        <f t="shared" si="3"/>
        <v>0</v>
      </c>
      <c r="O14" s="240">
        <f>'B5-Capex'!K53</f>
        <v>0</v>
      </c>
      <c r="P14" s="75">
        <f>'B5-Capex'!L53</f>
        <v>0</v>
      </c>
      <c r="Q14" s="76">
        <f>'B5-Capex'!M53</f>
        <v>0</v>
      </c>
      <c r="R14" s="128"/>
    </row>
    <row r="15" spans="1:18" ht="12.75" customHeight="1" x14ac:dyDescent="0.25">
      <c r="A15" s="108" t="str">
        <f>'B2-FinPerf SC'!A16</f>
        <v>Health</v>
      </c>
      <c r="B15" s="129"/>
      <c r="C15" s="111">
        <v>0</v>
      </c>
      <c r="D15" s="111">
        <v>0</v>
      </c>
      <c r="E15" s="111">
        <v>0</v>
      </c>
      <c r="F15" s="111">
        <v>0</v>
      </c>
      <c r="G15" s="111">
        <v>0</v>
      </c>
      <c r="H15" s="556">
        <v>0</v>
      </c>
      <c r="I15" s="557">
        <v>0</v>
      </c>
      <c r="J15" s="111">
        <v>0</v>
      </c>
      <c r="K15" s="111">
        <v>0</v>
      </c>
      <c r="L15" s="111">
        <v>0</v>
      </c>
      <c r="M15" s="111">
        <v>0</v>
      </c>
      <c r="N15" s="508">
        <f t="shared" si="3"/>
        <v>0</v>
      </c>
      <c r="O15" s="240">
        <f>'B5-Capex'!K54</f>
        <v>0</v>
      </c>
      <c r="P15" s="75">
        <f>'B5-Capex'!L54</f>
        <v>0</v>
      </c>
      <c r="Q15" s="76">
        <f>'B5-Capex'!M54</f>
        <v>0</v>
      </c>
      <c r="R15" s="128"/>
    </row>
    <row r="16" spans="1:18" ht="12.75" customHeight="1" x14ac:dyDescent="0.25">
      <c r="A16" s="107" t="str">
        <f>'B2-FinPerf SC'!A17</f>
        <v>Economic and environmental services</v>
      </c>
      <c r="B16" s="129"/>
      <c r="C16" s="884">
        <f t="shared" ref="C16:M16" si="5">SUM(C17:C19)</f>
        <v>1822670.1555000001</v>
      </c>
      <c r="D16" s="885">
        <f t="shared" si="5"/>
        <v>12876013.395300001</v>
      </c>
      <c r="E16" s="885">
        <f t="shared" si="5"/>
        <v>33430315.16</v>
      </c>
      <c r="F16" s="885">
        <f t="shared" si="5"/>
        <v>21152193.328499995</v>
      </c>
      <c r="G16" s="885">
        <f t="shared" si="5"/>
        <v>15923133.690000001</v>
      </c>
      <c r="H16" s="886">
        <f t="shared" si="5"/>
        <v>29612176.298000008</v>
      </c>
      <c r="I16" s="884">
        <f t="shared" si="5"/>
        <v>35038729.259555139</v>
      </c>
      <c r="J16" s="885">
        <f t="shared" si="5"/>
        <v>35038729.259555139</v>
      </c>
      <c r="K16" s="885">
        <f t="shared" si="5"/>
        <v>52924476.565698147</v>
      </c>
      <c r="L16" s="885">
        <f t="shared" si="5"/>
        <v>30282975.185672153</v>
      </c>
      <c r="M16" s="885">
        <f t="shared" si="5"/>
        <v>23825541.523940932</v>
      </c>
      <c r="N16" s="887">
        <f t="shared" si="3"/>
        <v>49296745.178278506</v>
      </c>
      <c r="O16" s="771">
        <f>'B5-Capex'!K55</f>
        <v>341223699</v>
      </c>
      <c r="P16" s="772">
        <f>'B5-Capex'!L55</f>
        <v>328925091</v>
      </c>
      <c r="Q16" s="774">
        <f>'B5-Capex'!M55</f>
        <v>339204266</v>
      </c>
      <c r="R16" s="128"/>
    </row>
    <row r="17" spans="1:20" ht="12.75" customHeight="1" x14ac:dyDescent="0.25">
      <c r="A17" s="108" t="str">
        <f>'B2-FinPerf SC'!A18</f>
        <v>Planning and development</v>
      </c>
      <c r="B17" s="129"/>
      <c r="C17" s="109">
        <v>0</v>
      </c>
      <c r="D17" s="109">
        <v>1051122.9654999999</v>
      </c>
      <c r="E17" s="109">
        <v>0</v>
      </c>
      <c r="F17" s="109">
        <v>161690</v>
      </c>
      <c r="G17" s="109">
        <v>462251.55</v>
      </c>
      <c r="H17" s="381">
        <v>0</v>
      </c>
      <c r="I17" s="382">
        <v>406632.07343009848</v>
      </c>
      <c r="J17" s="109">
        <v>406632.07343009848</v>
      </c>
      <c r="K17" s="109">
        <v>0</v>
      </c>
      <c r="L17" s="109">
        <v>0</v>
      </c>
      <c r="M17" s="109">
        <v>0</v>
      </c>
      <c r="N17" s="508">
        <f t="shared" si="3"/>
        <v>4948356.3376398031</v>
      </c>
      <c r="O17" s="240">
        <f>'B5-Capex'!K56</f>
        <v>7436685</v>
      </c>
      <c r="P17" s="75">
        <f>'B5-Capex'!L56</f>
        <v>7771868</v>
      </c>
      <c r="Q17" s="76">
        <f>'B5-Capex'!M56</f>
        <v>7657123</v>
      </c>
      <c r="R17" s="128"/>
    </row>
    <row r="18" spans="1:20" ht="12.75" customHeight="1" x14ac:dyDescent="0.25">
      <c r="A18" s="108" t="str">
        <f>'B2-FinPerf SC'!A19</f>
        <v>Road transport</v>
      </c>
      <c r="B18" s="129"/>
      <c r="C18" s="109">
        <v>1822670.1555000001</v>
      </c>
      <c r="D18" s="109">
        <v>11824890.4298</v>
      </c>
      <c r="E18" s="109">
        <v>33430315.16</v>
      </c>
      <c r="F18" s="109">
        <v>20990503.328499995</v>
      </c>
      <c r="G18" s="109">
        <v>15460882.140000001</v>
      </c>
      <c r="H18" s="381">
        <v>29612176.298000008</v>
      </c>
      <c r="I18" s="382">
        <v>34632097.18612504</v>
      </c>
      <c r="J18" s="109">
        <v>34632097.18612504</v>
      </c>
      <c r="K18" s="109">
        <f>52310276.5049113+614200.060786841</f>
        <v>52924476.565698147</v>
      </c>
      <c r="L18" s="109">
        <f>59583378.1480427-30000000+699597.03762945</f>
        <v>30282975.185672153</v>
      </c>
      <c r="M18" s="109">
        <f>77910753.9712391-30000000+15000000-20000000-20000000+914787.552701828</f>
        <v>23825541.523940932</v>
      </c>
      <c r="N18" s="508">
        <f t="shared" si="3"/>
        <v>44348388.840638697</v>
      </c>
      <c r="O18" s="240">
        <f>'B5-Capex'!K57</f>
        <v>333787014</v>
      </c>
      <c r="P18" s="75">
        <f>'B5-Capex'!L57</f>
        <v>321153223</v>
      </c>
      <c r="Q18" s="76">
        <f>'B5-Capex'!M57</f>
        <v>331547143</v>
      </c>
      <c r="R18" s="128"/>
    </row>
    <row r="19" spans="1:20" ht="12.75" customHeight="1" x14ac:dyDescent="0.25">
      <c r="A19" s="108" t="str">
        <f>'B2-FinPerf SC'!A20</f>
        <v>Environmental protection</v>
      </c>
      <c r="B19" s="129"/>
      <c r="C19" s="109">
        <v>0</v>
      </c>
      <c r="D19" s="109">
        <v>0</v>
      </c>
      <c r="E19" s="109">
        <v>0</v>
      </c>
      <c r="F19" s="109">
        <v>0</v>
      </c>
      <c r="G19" s="109">
        <v>0</v>
      </c>
      <c r="H19" s="381">
        <v>0</v>
      </c>
      <c r="I19" s="382">
        <v>0</v>
      </c>
      <c r="J19" s="109">
        <v>0</v>
      </c>
      <c r="K19" s="109">
        <v>0</v>
      </c>
      <c r="L19" s="109">
        <v>0</v>
      </c>
      <c r="M19" s="109">
        <v>0</v>
      </c>
      <c r="N19" s="508">
        <f t="shared" si="3"/>
        <v>0</v>
      </c>
      <c r="O19" s="240">
        <f>'B5-Capex'!K58</f>
        <v>0</v>
      </c>
      <c r="P19" s="75">
        <f>'B5-Capex'!L58</f>
        <v>0</v>
      </c>
      <c r="Q19" s="76">
        <f>'B5-Capex'!M58</f>
        <v>0</v>
      </c>
      <c r="R19" s="128"/>
    </row>
    <row r="20" spans="1:20" ht="12.75" customHeight="1" x14ac:dyDescent="0.25">
      <c r="A20" s="107" t="str">
        <f>'B2-FinPerf SC'!A21</f>
        <v>Trading services</v>
      </c>
      <c r="B20" s="129"/>
      <c r="C20" s="884">
        <f>SUM(C21:C24)</f>
        <v>21627043.197999999</v>
      </c>
      <c r="D20" s="885">
        <f t="shared" ref="D20:M20" si="6">SUM(D21:D24)</f>
        <v>40712152.719499998</v>
      </c>
      <c r="E20" s="885">
        <f t="shared" si="6"/>
        <v>29054060.780000001</v>
      </c>
      <c r="F20" s="885">
        <f t="shared" si="6"/>
        <v>63242109.067999996</v>
      </c>
      <c r="G20" s="885">
        <f t="shared" si="6"/>
        <v>29003237.759999998</v>
      </c>
      <c r="H20" s="886">
        <f t="shared" si="6"/>
        <v>57979344.782499999</v>
      </c>
      <c r="I20" s="884">
        <f t="shared" si="6"/>
        <v>39102367.825467668</v>
      </c>
      <c r="J20" s="885">
        <f t="shared" si="6"/>
        <v>39102367.825467668</v>
      </c>
      <c r="K20" s="885">
        <f t="shared" si="6"/>
        <v>59062425.874874227</v>
      </c>
      <c r="L20" s="885">
        <f t="shared" si="6"/>
        <v>67274330.979936808</v>
      </c>
      <c r="M20" s="885">
        <f t="shared" si="6"/>
        <v>72967383.059996814</v>
      </c>
      <c r="N20" s="887">
        <f t="shared" si="3"/>
        <v>34909575.126256824</v>
      </c>
      <c r="O20" s="771">
        <f>'B5-Capex'!K59</f>
        <v>554036399</v>
      </c>
      <c r="P20" s="772">
        <f>'B5-Capex'!L59</f>
        <v>320830569</v>
      </c>
      <c r="Q20" s="774">
        <f>'B5-Capex'!M59</f>
        <v>233027763</v>
      </c>
      <c r="R20" s="128"/>
    </row>
    <row r="21" spans="1:20" ht="12.75" customHeight="1" x14ac:dyDescent="0.25">
      <c r="A21" s="108" t="str">
        <f>'B2-FinPerf SC'!A22</f>
        <v>Energy sources</v>
      </c>
      <c r="B21" s="129"/>
      <c r="C21" s="109">
        <v>0</v>
      </c>
      <c r="D21" s="109">
        <v>0</v>
      </c>
      <c r="E21" s="109">
        <v>0</v>
      </c>
      <c r="F21" s="109">
        <v>8602910.2364999987</v>
      </c>
      <c r="G21" s="109">
        <v>5734443.9400000004</v>
      </c>
      <c r="H21" s="381">
        <v>0</v>
      </c>
      <c r="I21" s="382">
        <v>1414992.773171993</v>
      </c>
      <c r="J21" s="109">
        <v>1414992.773171993</v>
      </c>
      <c r="K21" s="109">
        <v>2137285.0399233946</v>
      </c>
      <c r="L21" s="109">
        <f>2434448.28153324+20000000</f>
        <v>22434448.281533241</v>
      </c>
      <c r="M21" s="109">
        <f>3183265.31683019+25000000</f>
        <v>28183265.316830188</v>
      </c>
      <c r="N21" s="508">
        <f t="shared" si="3"/>
        <v>16516299.638869196</v>
      </c>
      <c r="O21" s="240">
        <f>'B5-Capex'!K60</f>
        <v>86438638</v>
      </c>
      <c r="P21" s="75">
        <f>'B5-Capex'!L60</f>
        <v>28631053</v>
      </c>
      <c r="Q21" s="76">
        <f>'B5-Capex'!M60</f>
        <v>36942500</v>
      </c>
      <c r="R21" s="128"/>
    </row>
    <row r="22" spans="1:20" ht="12.75" customHeight="1" x14ac:dyDescent="0.25">
      <c r="A22" s="108" t="str">
        <f>'B2-FinPerf SC'!A23</f>
        <v>Water management</v>
      </c>
      <c r="B22" s="129"/>
      <c r="C22" s="109">
        <v>15131451.197499998</v>
      </c>
      <c r="D22" s="109">
        <v>30681351.859999999</v>
      </c>
      <c r="E22" s="109">
        <v>8888154.5299999993</v>
      </c>
      <c r="F22" s="109">
        <v>22715136.903999999</v>
      </c>
      <c r="G22" s="109">
        <v>3463776.78</v>
      </c>
      <c r="H22" s="381">
        <v>26829980.263000004</v>
      </c>
      <c r="I22" s="382">
        <v>19581018.4741918</v>
      </c>
      <c r="J22" s="109">
        <v>19581018.4741918</v>
      </c>
      <c r="K22" s="109">
        <v>29576276.744889393</v>
      </c>
      <c r="L22" s="109">
        <v>33688494.866520017</v>
      </c>
      <c r="M22" s="109">
        <f>24050809.4167696-15000000+20000000</f>
        <v>29050809.416769601</v>
      </c>
      <c r="N22" s="508">
        <f t="shared" si="3"/>
        <v>6338564.4889373779</v>
      </c>
      <c r="O22" s="240">
        <f>'B5-Capex'!K61</f>
        <v>245526034</v>
      </c>
      <c r="P22" s="75">
        <f>'B5-Capex'!L61</f>
        <v>226047583</v>
      </c>
      <c r="Q22" s="76">
        <f>'B5-Capex'!M61</f>
        <v>192611701</v>
      </c>
      <c r="R22" s="128"/>
    </row>
    <row r="23" spans="1:20" ht="12.75" customHeight="1" x14ac:dyDescent="0.25">
      <c r="A23" s="108" t="str">
        <f>'B2-FinPerf SC'!A24</f>
        <v>Waste water management</v>
      </c>
      <c r="B23" s="129"/>
      <c r="C23" s="111">
        <v>5195655.0005000001</v>
      </c>
      <c r="D23" s="111">
        <v>10030800.8595</v>
      </c>
      <c r="E23" s="111">
        <v>20165906.25</v>
      </c>
      <c r="F23" s="111">
        <v>31924061.927499998</v>
      </c>
      <c r="G23" s="111">
        <v>19805017.039999999</v>
      </c>
      <c r="H23" s="556">
        <v>31149364.519499999</v>
      </c>
      <c r="I23" s="557">
        <v>17807585.271652076</v>
      </c>
      <c r="J23" s="111">
        <v>17807585.271652076</v>
      </c>
      <c r="K23" s="111">
        <v>26897583.026479505</v>
      </c>
      <c r="L23" s="111">
        <f>30637361.6775785-20000000</f>
        <v>10637361.677578501</v>
      </c>
      <c r="M23" s="111">
        <f>40061171.7928937-25000000</f>
        <v>15061171.7928937</v>
      </c>
      <c r="N23" s="508">
        <f t="shared" si="3"/>
        <v>7044284.3627441227</v>
      </c>
      <c r="O23" s="240">
        <f>'B5-Capex'!K62</f>
        <v>213526377</v>
      </c>
      <c r="P23" s="75">
        <f>'B5-Capex'!L62</f>
        <v>62570202</v>
      </c>
      <c r="Q23" s="76">
        <f>'B5-Capex'!M62</f>
        <v>0</v>
      </c>
      <c r="R23" s="128"/>
    </row>
    <row r="24" spans="1:20" ht="12.75" customHeight="1" x14ac:dyDescent="0.25">
      <c r="A24" s="108" t="str">
        <f>'B2-FinPerf SC'!A25</f>
        <v>Waste management</v>
      </c>
      <c r="B24" s="129"/>
      <c r="C24" s="109">
        <v>1299937</v>
      </c>
      <c r="D24" s="109">
        <v>0</v>
      </c>
      <c r="E24" s="109">
        <v>0</v>
      </c>
      <c r="F24" s="109">
        <v>0</v>
      </c>
      <c r="G24" s="109">
        <v>0</v>
      </c>
      <c r="H24" s="381">
        <v>0</v>
      </c>
      <c r="I24" s="382">
        <v>298771.30645180529</v>
      </c>
      <c r="J24" s="109">
        <v>298771.30645180529</v>
      </c>
      <c r="K24" s="109">
        <v>451281.06358193693</v>
      </c>
      <c r="L24" s="109">
        <v>514026.15430505155</v>
      </c>
      <c r="M24" s="109">
        <v>672136.53350332286</v>
      </c>
      <c r="N24" s="508">
        <f t="shared" si="3"/>
        <v>5010426.6357060783</v>
      </c>
      <c r="O24" s="240">
        <f>'B5-Capex'!K63</f>
        <v>8545350</v>
      </c>
      <c r="P24" s="75">
        <f>'B5-Capex'!L63</f>
        <v>3581731</v>
      </c>
      <c r="Q24" s="76">
        <f>'B5-Capex'!M63</f>
        <v>3473562</v>
      </c>
      <c r="R24" s="128"/>
    </row>
    <row r="25" spans="1:20" ht="12.75" customHeight="1" x14ac:dyDescent="0.25">
      <c r="A25" s="107" t="str">
        <f>'B2-FinPerf SC'!A26</f>
        <v>Other</v>
      </c>
      <c r="B25" s="129"/>
      <c r="C25" s="810">
        <v>0</v>
      </c>
      <c r="D25" s="810">
        <v>0</v>
      </c>
      <c r="E25" s="810">
        <v>0</v>
      </c>
      <c r="F25" s="810">
        <v>0</v>
      </c>
      <c r="G25" s="810">
        <v>0</v>
      </c>
      <c r="H25" s="878">
        <v>0</v>
      </c>
      <c r="I25" s="879">
        <v>0</v>
      </c>
      <c r="J25" s="810">
        <v>0</v>
      </c>
      <c r="K25" s="810">
        <v>0</v>
      </c>
      <c r="L25" s="810">
        <v>0</v>
      </c>
      <c r="M25" s="810">
        <v>0</v>
      </c>
      <c r="N25" s="516">
        <f t="shared" si="3"/>
        <v>0</v>
      </c>
      <c r="O25" s="476">
        <f>'B5-Capex'!K64</f>
        <v>0</v>
      </c>
      <c r="P25" s="141">
        <f>'B5-Capex'!L64</f>
        <v>0</v>
      </c>
      <c r="Q25" s="142">
        <f>'B5-Capex'!M64</f>
        <v>0</v>
      </c>
      <c r="R25" s="128"/>
    </row>
    <row r="26" spans="1:20" ht="12.75" customHeight="1" x14ac:dyDescent="0.25">
      <c r="A26" s="583" t="s">
        <v>1485</v>
      </c>
      <c r="B26" s="584"/>
      <c r="C26" s="687">
        <f>C6+C10+C16+C20+C25</f>
        <v>23449713.353499997</v>
      </c>
      <c r="D26" s="687">
        <f t="shared" ref="D26:N26" si="7">D6+D10+D16+D20+D25</f>
        <v>58840827.868799999</v>
      </c>
      <c r="E26" s="687">
        <f t="shared" si="7"/>
        <v>69126894.329999998</v>
      </c>
      <c r="F26" s="687">
        <f t="shared" si="7"/>
        <v>85314622.257499993</v>
      </c>
      <c r="G26" s="687">
        <f t="shared" si="7"/>
        <v>48292769.810000002</v>
      </c>
      <c r="H26" s="688">
        <f t="shared" si="7"/>
        <v>95953914.30250001</v>
      </c>
      <c r="I26" s="689">
        <f t="shared" si="7"/>
        <v>78780754.377229691</v>
      </c>
      <c r="J26" s="687">
        <f t="shared" si="7"/>
        <v>78780754.377229691</v>
      </c>
      <c r="K26" s="687">
        <f t="shared" si="7"/>
        <v>118994902.98235318</v>
      </c>
      <c r="L26" s="687">
        <f t="shared" si="7"/>
        <v>105539683.13322854</v>
      </c>
      <c r="M26" s="687">
        <f t="shared" si="7"/>
        <v>127230617.56745185</v>
      </c>
      <c r="N26" s="690">
        <f t="shared" si="7"/>
        <v>146725190.64020705</v>
      </c>
      <c r="O26" s="689">
        <f>O6+O10+O16+O20+O25</f>
        <v>1037030645</v>
      </c>
      <c r="P26" s="691">
        <f>P6+P10+P16+P20+P25</f>
        <v>728151750</v>
      </c>
      <c r="Q26" s="692">
        <f>Q6+Q10+Q16+Q20+Q25</f>
        <v>641813437</v>
      </c>
      <c r="R26" s="128"/>
    </row>
    <row r="27" spans="1:20" ht="12.75" customHeight="1" x14ac:dyDescent="0.25">
      <c r="A27" s="585" t="str">
        <f>head27a</f>
        <v>References</v>
      </c>
      <c r="B27" s="586"/>
      <c r="C27" s="545"/>
      <c r="D27" s="545"/>
      <c r="E27" s="545"/>
      <c r="F27" s="545"/>
      <c r="G27" s="545"/>
      <c r="H27" s="545"/>
      <c r="I27" s="545"/>
      <c r="J27" s="545"/>
      <c r="K27" s="545"/>
      <c r="L27" s="545"/>
      <c r="M27" s="545"/>
      <c r="N27" s="545"/>
      <c r="O27" s="545"/>
      <c r="P27" s="545"/>
      <c r="Q27" s="545"/>
      <c r="R27" s="128"/>
      <c r="S27" s="128"/>
      <c r="T27" s="128"/>
    </row>
    <row r="28" spans="1:20" ht="12.75" customHeight="1" x14ac:dyDescent="0.25">
      <c r="A28" s="99" t="s">
        <v>475</v>
      </c>
      <c r="B28" s="48"/>
      <c r="C28" s="545"/>
      <c r="D28" s="545"/>
      <c r="E28" s="545"/>
      <c r="F28" s="545"/>
      <c r="G28" s="545"/>
      <c r="H28" s="545"/>
      <c r="I28" s="545"/>
      <c r="J28" s="545"/>
      <c r="K28" s="545"/>
      <c r="L28" s="545"/>
      <c r="M28" s="545"/>
      <c r="N28" s="545"/>
      <c r="O28" s="545"/>
      <c r="P28" s="545"/>
      <c r="Q28" s="545"/>
      <c r="R28" s="128"/>
      <c r="S28" s="128"/>
      <c r="T28" s="128"/>
    </row>
    <row r="29" spans="1:20" ht="12.75" customHeight="1" x14ac:dyDescent="0.25">
      <c r="A29" s="99" t="s">
        <v>477</v>
      </c>
      <c r="B29" s="48"/>
      <c r="C29" s="48"/>
      <c r="D29" s="48"/>
      <c r="E29" s="48"/>
      <c r="F29" s="48"/>
      <c r="G29" s="48"/>
      <c r="H29" s="48"/>
      <c r="I29" s="48"/>
      <c r="J29" s="48"/>
      <c r="K29" s="48"/>
      <c r="L29" s="48"/>
      <c r="M29" s="48"/>
      <c r="N29" s="48"/>
      <c r="O29" s="48"/>
      <c r="P29" s="48"/>
      <c r="Q29" s="48"/>
    </row>
    <row r="30" spans="1:20" ht="12.75" customHeight="1" x14ac:dyDescent="0.25">
      <c r="A30" s="48"/>
      <c r="B30" s="48"/>
      <c r="C30" s="48"/>
      <c r="D30" s="48"/>
      <c r="E30" s="48"/>
      <c r="F30" s="48"/>
      <c r="G30" s="48"/>
      <c r="H30" s="48"/>
      <c r="I30" s="48"/>
      <c r="J30" s="48"/>
      <c r="K30" s="48"/>
      <c r="L30" s="48"/>
      <c r="M30" s="48"/>
      <c r="N30" s="48"/>
      <c r="O30" s="48"/>
      <c r="P30" s="48"/>
      <c r="Q30" s="48"/>
    </row>
    <row r="31" spans="1:20" x14ac:dyDescent="0.25">
      <c r="A31" s="311" t="s">
        <v>3</v>
      </c>
      <c r="B31" s="311"/>
      <c r="O31" s="167">
        <f>O26-'B5-Capex'!K65</f>
        <v>0</v>
      </c>
      <c r="P31" s="167">
        <f>P26-'B5-Capex'!L65</f>
        <v>0</v>
      </c>
      <c r="Q31" s="167">
        <f>Q26-'B5-Capex'!M65</f>
        <v>0</v>
      </c>
    </row>
    <row r="56" spans="2:2" x14ac:dyDescent="0.25">
      <c r="B56" s="128"/>
    </row>
  </sheetData>
  <sheetProtection sheet="1" objects="1" scenarios="1"/>
  <mergeCells count="3">
    <mergeCell ref="A2:A3"/>
    <mergeCell ref="B2:B3"/>
    <mergeCell ref="C2:N2"/>
  </mergeCells>
  <phoneticPr fontId="4" type="noConversion"/>
  <printOptions horizontalCentered="1"/>
  <pageMargins left="0.35433070866141736" right="0.2" top="0.78740157480314965" bottom="0.59055118110236227" header="0.51181102362204722" footer="0.39370078740157483"/>
  <pageSetup paperSize="9" scale="88"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8">
    <tabColor indexed="42"/>
    <pageSetUpPr fitToPage="1"/>
  </sheetPr>
  <dimension ref="A1:N218"/>
  <sheetViews>
    <sheetView showGridLines="0" zoomScaleNormal="100" workbookViewId="0">
      <pane xSplit="2" ySplit="5" topLeftCell="C6" activePane="bottomRight" state="frozen"/>
      <selection activeCell="C6" sqref="C6"/>
      <selection pane="topRight" activeCell="C6" sqref="C6"/>
      <selection pane="bottomLeft" activeCell="C6" sqref="C6"/>
      <selection pane="bottomRight" activeCell="M169" sqref="C8:M169"/>
    </sheetView>
  </sheetViews>
  <sheetFormatPr defaultColWidth="9.140625" defaultRowHeight="12.75" x14ac:dyDescent="0.25"/>
  <cols>
    <col min="1" max="1" width="34.140625" style="5" bestFit="1" customWidth="1"/>
    <col min="2" max="2" width="3.140625" style="58" customWidth="1"/>
    <col min="3" max="13" width="9.140625" style="5"/>
    <col min="14" max="14" width="13.28515625" style="5" customWidth="1"/>
    <col min="15" max="15" width="9.5703125" style="5" customWidth="1"/>
    <col min="16" max="16" width="9.85546875" style="5" customWidth="1"/>
    <col min="17" max="19" width="9.5703125" style="5" customWidth="1"/>
    <col min="20" max="20" width="9.85546875" style="5" customWidth="1"/>
    <col min="21" max="23" width="9.5703125" style="5" customWidth="1"/>
    <col min="24" max="25" width="9.85546875" style="5" customWidth="1"/>
    <col min="26" max="16384" width="9.140625" style="5"/>
  </cols>
  <sheetData>
    <row r="1" spans="1:14" ht="13.5" x14ac:dyDescent="0.25">
      <c r="A1" s="57" t="str">
        <f>muni&amp;" - "&amp;ADJB18a&amp;" - "&amp;Date</f>
        <v>LIM354 Polokwane - Supporting Table SB18a Adjustments Budget - capital expenditure on new assets by asset class - 2020</v>
      </c>
      <c r="B1" s="5"/>
      <c r="C1" s="58"/>
    </row>
    <row r="2" spans="1:14" ht="25.5" x14ac:dyDescent="0.25">
      <c r="A2" s="1406" t="str">
        <f>desc</f>
        <v>Description</v>
      </c>
      <c r="B2" s="1406" t="str">
        <f>head27</f>
        <v>Ref</v>
      </c>
      <c r="C2" s="1403" t="str">
        <f>Head2</f>
        <v>Budget Year 2020/21</v>
      </c>
      <c r="D2" s="1404"/>
      <c r="E2" s="1404"/>
      <c r="F2" s="1404"/>
      <c r="G2" s="1404"/>
      <c r="H2" s="1404"/>
      <c r="I2" s="1404"/>
      <c r="J2" s="1404"/>
      <c r="K2" s="1405"/>
      <c r="L2" s="169" t="str">
        <f>Head10</f>
        <v>Budget Year +1 2021/22</v>
      </c>
      <c r="M2" s="170" t="str">
        <f>Head11</f>
        <v>Budget Year +2 2022/23</v>
      </c>
    </row>
    <row r="3" spans="1:14" ht="25.5" x14ac:dyDescent="0.25">
      <c r="A3" s="1407"/>
      <c r="B3" s="1407"/>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x14ac:dyDescent="0.25">
      <c r="A4" s="1407"/>
      <c r="B4" s="1407"/>
      <c r="C4" s="65"/>
      <c r="D4" s="15">
        <v>7</v>
      </c>
      <c r="E4" s="15">
        <v>8</v>
      </c>
      <c r="F4" s="15">
        <v>9</v>
      </c>
      <c r="G4" s="15">
        <v>10</v>
      </c>
      <c r="H4" s="15">
        <v>11</v>
      </c>
      <c r="I4" s="15">
        <v>12</v>
      </c>
      <c r="J4" s="15">
        <v>13</v>
      </c>
      <c r="K4" s="15">
        <v>14</v>
      </c>
      <c r="L4" s="15"/>
      <c r="M4" s="17"/>
    </row>
    <row r="5" spans="1:14" x14ac:dyDescent="0.25">
      <c r="A5" s="66" t="s">
        <v>603</v>
      </c>
      <c r="B5" s="104"/>
      <c r="C5" s="67" t="s">
        <v>547</v>
      </c>
      <c r="D5" s="68" t="s">
        <v>548</v>
      </c>
      <c r="E5" s="68" t="s">
        <v>549</v>
      </c>
      <c r="F5" s="69" t="s">
        <v>550</v>
      </c>
      <c r="G5" s="69" t="s">
        <v>551</v>
      </c>
      <c r="H5" s="69" t="s">
        <v>552</v>
      </c>
      <c r="I5" s="70" t="s">
        <v>553</v>
      </c>
      <c r="J5" s="70" t="s">
        <v>554</v>
      </c>
      <c r="K5" s="70" t="s">
        <v>555</v>
      </c>
      <c r="L5" s="70"/>
      <c r="M5" s="71"/>
    </row>
    <row r="6" spans="1:14" ht="12.75" customHeight="1" x14ac:dyDescent="0.25">
      <c r="A6" s="845" t="s">
        <v>1184</v>
      </c>
      <c r="B6" s="73"/>
      <c r="C6" s="74"/>
      <c r="D6" s="75"/>
      <c r="E6" s="75"/>
      <c r="F6" s="75"/>
      <c r="G6" s="75"/>
      <c r="H6" s="75"/>
      <c r="I6" s="75"/>
      <c r="J6" s="75"/>
      <c r="K6" s="75"/>
      <c r="L6" s="75"/>
      <c r="M6" s="76"/>
      <c r="N6" s="128"/>
    </row>
    <row r="7" spans="1:14" ht="5.0999999999999996" customHeight="1" x14ac:dyDescent="0.25">
      <c r="A7" s="126"/>
      <c r="B7" s="73"/>
      <c r="C7" s="74"/>
      <c r="D7" s="75"/>
      <c r="E7" s="75"/>
      <c r="F7" s="75"/>
      <c r="G7" s="75"/>
      <c r="H7" s="75"/>
      <c r="I7" s="75"/>
      <c r="J7" s="75"/>
      <c r="K7" s="75"/>
      <c r="L7" s="75"/>
      <c r="M7" s="76"/>
      <c r="N7" s="128"/>
    </row>
    <row r="8" spans="1:14" ht="12.75" customHeight="1" x14ac:dyDescent="0.25">
      <c r="A8" s="126" t="s">
        <v>764</v>
      </c>
      <c r="B8" s="73"/>
      <c r="C8" s="693">
        <f>C9+C14+C18+C28+C39+C46+C54+C64+C70</f>
        <v>654467641</v>
      </c>
      <c r="D8" s="693">
        <f t="shared" ref="D8:I8" si="0">D9+D14+D18+D28+D39+D46+D54+D64+D70</f>
        <v>632275631</v>
      </c>
      <c r="E8" s="693">
        <f t="shared" si="0"/>
        <v>0</v>
      </c>
      <c r="F8" s="693">
        <f t="shared" si="0"/>
        <v>0</v>
      </c>
      <c r="G8" s="693">
        <f t="shared" si="0"/>
        <v>0</v>
      </c>
      <c r="H8" s="693">
        <f t="shared" si="0"/>
        <v>46219954</v>
      </c>
      <c r="I8" s="693">
        <f t="shared" si="0"/>
        <v>-157283790</v>
      </c>
      <c r="J8" s="694">
        <f>SUM(E8:I8)</f>
        <v>-111063836</v>
      </c>
      <c r="K8" s="694">
        <f>IF(D8=0,C8+J8,D8+J8)</f>
        <v>521211795</v>
      </c>
      <c r="L8" s="693">
        <f>L9+L14+L18+L28+L39+L46+L54+L64+L70</f>
        <v>340016276</v>
      </c>
      <c r="M8" s="695">
        <f>M9+M14+M18+M28+M39+M46+M54+M64+M70</f>
        <v>302552460</v>
      </c>
      <c r="N8" s="839"/>
    </row>
    <row r="9" spans="1:14" ht="12.75" customHeight="1" x14ac:dyDescent="0.25">
      <c r="A9" s="588" t="s">
        <v>1569</v>
      </c>
      <c r="B9" s="73"/>
      <c r="C9" s="265">
        <f>SUM(C10:C13)</f>
        <v>263079442</v>
      </c>
      <c r="D9" s="265">
        <f t="shared" ref="D9:M9" si="1">SUM(D10:D13)</f>
        <v>224887432</v>
      </c>
      <c r="E9" s="265">
        <f t="shared" si="1"/>
        <v>0</v>
      </c>
      <c r="F9" s="265">
        <f t="shared" si="1"/>
        <v>0</v>
      </c>
      <c r="G9" s="265">
        <f t="shared" si="1"/>
        <v>0</v>
      </c>
      <c r="H9" s="265">
        <f t="shared" si="1"/>
        <v>15302117</v>
      </c>
      <c r="I9" s="265">
        <f t="shared" si="1"/>
        <v>-133390941</v>
      </c>
      <c r="J9" s="75">
        <f t="shared" ref="J9:J72" si="2">SUM(E9:I9)</f>
        <v>-118088824</v>
      </c>
      <c r="K9" s="75">
        <f t="shared" ref="K9:K72" si="3">IF(D9=0,C9+J9,D9+J9)</f>
        <v>106798608</v>
      </c>
      <c r="L9" s="265">
        <f t="shared" si="1"/>
        <v>56285249</v>
      </c>
      <c r="M9" s="266">
        <f t="shared" si="1"/>
        <v>64851714</v>
      </c>
      <c r="N9" s="128"/>
    </row>
    <row r="10" spans="1:14" ht="12.75" customHeight="1" x14ac:dyDescent="0.25">
      <c r="A10" s="589" t="s">
        <v>1000</v>
      </c>
      <c r="B10" s="73"/>
      <c r="C10" s="109">
        <v>263079442</v>
      </c>
      <c r="D10" s="109">
        <v>224887432</v>
      </c>
      <c r="E10" s="109">
        <v>0</v>
      </c>
      <c r="F10" s="109">
        <v>0</v>
      </c>
      <c r="G10" s="109">
        <v>0</v>
      </c>
      <c r="H10" s="109">
        <v>15302117</v>
      </c>
      <c r="I10" s="109">
        <v>-133390941</v>
      </c>
      <c r="J10" s="75">
        <f t="shared" si="2"/>
        <v>-118088824</v>
      </c>
      <c r="K10" s="75">
        <f t="shared" si="3"/>
        <v>106798608</v>
      </c>
      <c r="L10" s="109">
        <v>56285249</v>
      </c>
      <c r="M10" s="110">
        <v>64851714</v>
      </c>
      <c r="N10" s="839"/>
    </row>
    <row r="11" spans="1:14" ht="12.75" customHeight="1" x14ac:dyDescent="0.25">
      <c r="A11" s="589" t="s">
        <v>1570</v>
      </c>
      <c r="B11" s="73"/>
      <c r="C11" s="109">
        <v>0</v>
      </c>
      <c r="D11" s="109">
        <v>0</v>
      </c>
      <c r="E11" s="109">
        <v>0</v>
      </c>
      <c r="F11" s="109">
        <v>0</v>
      </c>
      <c r="G11" s="109">
        <v>0</v>
      </c>
      <c r="H11" s="109">
        <v>0</v>
      </c>
      <c r="I11" s="109">
        <v>0</v>
      </c>
      <c r="J11" s="75">
        <f t="shared" si="2"/>
        <v>0</v>
      </c>
      <c r="K11" s="75">
        <f t="shared" si="3"/>
        <v>0</v>
      </c>
      <c r="L11" s="109">
        <v>0</v>
      </c>
      <c r="M11" s="110">
        <v>0</v>
      </c>
      <c r="N11" s="844"/>
    </row>
    <row r="12" spans="1:14" ht="12.75" customHeight="1" x14ac:dyDescent="0.25">
      <c r="A12" s="589" t="s">
        <v>1571</v>
      </c>
      <c r="B12" s="73"/>
      <c r="C12" s="109">
        <v>0</v>
      </c>
      <c r="D12" s="109">
        <v>0</v>
      </c>
      <c r="E12" s="109">
        <v>0</v>
      </c>
      <c r="F12" s="109">
        <v>0</v>
      </c>
      <c r="G12" s="109">
        <v>0</v>
      </c>
      <c r="H12" s="109">
        <v>0</v>
      </c>
      <c r="I12" s="109">
        <v>0</v>
      </c>
      <c r="J12" s="75">
        <f t="shared" si="2"/>
        <v>0</v>
      </c>
      <c r="K12" s="75">
        <f t="shared" si="3"/>
        <v>0</v>
      </c>
      <c r="L12" s="109">
        <v>0</v>
      </c>
      <c r="M12" s="110">
        <v>0</v>
      </c>
      <c r="N12" s="839"/>
    </row>
    <row r="13" spans="1:14" ht="12.75" customHeight="1" x14ac:dyDescent="0.25">
      <c r="A13" s="589" t="s">
        <v>1572</v>
      </c>
      <c r="B13" s="73"/>
      <c r="C13" s="109">
        <v>0</v>
      </c>
      <c r="D13" s="109">
        <v>0</v>
      </c>
      <c r="E13" s="109">
        <v>0</v>
      </c>
      <c r="F13" s="109">
        <v>0</v>
      </c>
      <c r="G13" s="109">
        <v>0</v>
      </c>
      <c r="H13" s="109">
        <v>0</v>
      </c>
      <c r="I13" s="109">
        <v>0</v>
      </c>
      <c r="J13" s="75">
        <f t="shared" si="2"/>
        <v>0</v>
      </c>
      <c r="K13" s="75">
        <f t="shared" si="3"/>
        <v>0</v>
      </c>
      <c r="L13" s="109">
        <v>0</v>
      </c>
      <c r="M13" s="110">
        <v>0</v>
      </c>
      <c r="N13" s="844"/>
    </row>
    <row r="14" spans="1:14" ht="12.75" customHeight="1" x14ac:dyDescent="0.25">
      <c r="A14" s="588" t="s">
        <v>1573</v>
      </c>
      <c r="B14" s="73"/>
      <c r="C14" s="132">
        <f t="shared" ref="C14:I14" si="4">SUM(C15:C17)</f>
        <v>0</v>
      </c>
      <c r="D14" s="132">
        <f t="shared" si="4"/>
        <v>0</v>
      </c>
      <c r="E14" s="132">
        <f t="shared" si="4"/>
        <v>0</v>
      </c>
      <c r="F14" s="132">
        <f t="shared" si="4"/>
        <v>0</v>
      </c>
      <c r="G14" s="132">
        <f t="shared" si="4"/>
        <v>0</v>
      </c>
      <c r="H14" s="132">
        <f t="shared" si="4"/>
        <v>0</v>
      </c>
      <c r="I14" s="132">
        <f t="shared" si="4"/>
        <v>0</v>
      </c>
      <c r="J14" s="75">
        <f t="shared" si="2"/>
        <v>0</v>
      </c>
      <c r="K14" s="75">
        <f t="shared" si="3"/>
        <v>0</v>
      </c>
      <c r="L14" s="132">
        <f>SUM(L15:L17)</f>
        <v>8000000</v>
      </c>
      <c r="M14" s="133">
        <f>SUM(M15:M17)</f>
        <v>15000000</v>
      </c>
      <c r="N14" s="844"/>
    </row>
    <row r="15" spans="1:14" ht="12.75" customHeight="1" x14ac:dyDescent="0.25">
      <c r="A15" s="589" t="s">
        <v>1574</v>
      </c>
      <c r="B15" s="73"/>
      <c r="C15" s="109">
        <v>0</v>
      </c>
      <c r="D15" s="109">
        <v>0</v>
      </c>
      <c r="E15" s="109">
        <v>0</v>
      </c>
      <c r="F15" s="109">
        <v>0</v>
      </c>
      <c r="G15" s="109">
        <v>0</v>
      </c>
      <c r="H15" s="109">
        <v>0</v>
      </c>
      <c r="I15" s="109">
        <v>0</v>
      </c>
      <c r="J15" s="75">
        <f t="shared" si="2"/>
        <v>0</v>
      </c>
      <c r="K15" s="75">
        <f t="shared" si="3"/>
        <v>0</v>
      </c>
      <c r="L15" s="109">
        <v>8000000</v>
      </c>
      <c r="M15" s="110">
        <v>15000000</v>
      </c>
      <c r="N15" s="844"/>
    </row>
    <row r="16" spans="1:14" ht="12.75" customHeight="1" x14ac:dyDescent="0.25">
      <c r="A16" s="589" t="s">
        <v>1575</v>
      </c>
      <c r="B16" s="73"/>
      <c r="C16" s="109">
        <v>0</v>
      </c>
      <c r="D16" s="109">
        <v>0</v>
      </c>
      <c r="E16" s="109">
        <v>0</v>
      </c>
      <c r="F16" s="109">
        <v>0</v>
      </c>
      <c r="G16" s="109">
        <v>0</v>
      </c>
      <c r="H16" s="109">
        <v>0</v>
      </c>
      <c r="I16" s="109">
        <v>0</v>
      </c>
      <c r="J16" s="75">
        <f t="shared" si="2"/>
        <v>0</v>
      </c>
      <c r="K16" s="75">
        <f t="shared" si="3"/>
        <v>0</v>
      </c>
      <c r="L16" s="109">
        <v>0</v>
      </c>
      <c r="M16" s="110">
        <v>0</v>
      </c>
      <c r="N16" s="844"/>
    </row>
    <row r="17" spans="1:14" ht="12.75" customHeight="1" x14ac:dyDescent="0.25">
      <c r="A17" s="589" t="s">
        <v>1576</v>
      </c>
      <c r="B17" s="73"/>
      <c r="C17" s="109">
        <v>0</v>
      </c>
      <c r="D17" s="109">
        <v>0</v>
      </c>
      <c r="E17" s="109">
        <v>0</v>
      </c>
      <c r="F17" s="109">
        <v>0</v>
      </c>
      <c r="G17" s="109">
        <v>0</v>
      </c>
      <c r="H17" s="109">
        <v>0</v>
      </c>
      <c r="I17" s="109">
        <v>0</v>
      </c>
      <c r="J17" s="75">
        <f t="shared" si="2"/>
        <v>0</v>
      </c>
      <c r="K17" s="75">
        <f t="shared" si="3"/>
        <v>0</v>
      </c>
      <c r="L17" s="109">
        <v>0</v>
      </c>
      <c r="M17" s="110">
        <v>0</v>
      </c>
      <c r="N17" s="844"/>
    </row>
    <row r="18" spans="1:14" ht="12.75" customHeight="1" x14ac:dyDescent="0.25">
      <c r="A18" s="588" t="s">
        <v>1577</v>
      </c>
      <c r="B18" s="73"/>
      <c r="C18" s="132">
        <f t="shared" ref="C18:M18" si="5">SUM(C19:C27)</f>
        <v>20200867</v>
      </c>
      <c r="D18" s="132">
        <f t="shared" si="5"/>
        <v>71200867</v>
      </c>
      <c r="E18" s="132">
        <f t="shared" si="5"/>
        <v>0</v>
      </c>
      <c r="F18" s="132">
        <f t="shared" si="5"/>
        <v>0</v>
      </c>
      <c r="G18" s="132">
        <f t="shared" si="5"/>
        <v>0</v>
      </c>
      <c r="H18" s="132">
        <f t="shared" si="5"/>
        <v>7337771</v>
      </c>
      <c r="I18" s="132">
        <f t="shared" si="5"/>
        <v>-4000000</v>
      </c>
      <c r="J18" s="75">
        <f t="shared" si="2"/>
        <v>3337771</v>
      </c>
      <c r="K18" s="75">
        <f t="shared" si="3"/>
        <v>74538638</v>
      </c>
      <c r="L18" s="132">
        <f t="shared" si="5"/>
        <v>25591659</v>
      </c>
      <c r="M18" s="133">
        <f t="shared" si="5"/>
        <v>33286120</v>
      </c>
      <c r="N18" s="844"/>
    </row>
    <row r="19" spans="1:14" ht="12.75" customHeight="1" x14ac:dyDescent="0.25">
      <c r="A19" s="589" t="s">
        <v>1578</v>
      </c>
      <c r="B19" s="73"/>
      <c r="C19" s="109">
        <v>0</v>
      </c>
      <c r="D19" s="109">
        <v>0</v>
      </c>
      <c r="E19" s="109">
        <v>0</v>
      </c>
      <c r="F19" s="109">
        <v>0</v>
      </c>
      <c r="G19" s="109">
        <v>0</v>
      </c>
      <c r="H19" s="109">
        <v>0</v>
      </c>
      <c r="I19" s="109">
        <v>0</v>
      </c>
      <c r="J19" s="75">
        <f t="shared" si="2"/>
        <v>0</v>
      </c>
      <c r="K19" s="75">
        <f t="shared" si="3"/>
        <v>0</v>
      </c>
      <c r="L19" s="109">
        <v>0</v>
      </c>
      <c r="M19" s="110">
        <v>0</v>
      </c>
      <c r="N19" s="844"/>
    </row>
    <row r="20" spans="1:14" ht="12.6" customHeight="1" x14ac:dyDescent="0.25">
      <c r="A20" s="589" t="s">
        <v>1579</v>
      </c>
      <c r="B20" s="73"/>
      <c r="C20" s="109">
        <v>0</v>
      </c>
      <c r="D20" s="109">
        <v>0</v>
      </c>
      <c r="E20" s="109">
        <v>0</v>
      </c>
      <c r="F20" s="109">
        <v>0</v>
      </c>
      <c r="G20" s="109">
        <v>0</v>
      </c>
      <c r="H20" s="109">
        <v>0</v>
      </c>
      <c r="I20" s="109">
        <v>0</v>
      </c>
      <c r="J20" s="75">
        <f t="shared" si="2"/>
        <v>0</v>
      </c>
      <c r="K20" s="75">
        <f t="shared" si="3"/>
        <v>0</v>
      </c>
      <c r="L20" s="109">
        <v>0</v>
      </c>
      <c r="M20" s="110">
        <v>0</v>
      </c>
      <c r="N20" s="844"/>
    </row>
    <row r="21" spans="1:14" ht="12.75" customHeight="1" x14ac:dyDescent="0.25">
      <c r="A21" s="589" t="s">
        <v>1580</v>
      </c>
      <c r="B21" s="73"/>
      <c r="C21" s="109">
        <v>19900867</v>
      </c>
      <c r="D21" s="109">
        <v>19900867</v>
      </c>
      <c r="E21" s="109">
        <v>0</v>
      </c>
      <c r="F21" s="109">
        <v>0</v>
      </c>
      <c r="G21" s="109">
        <v>0</v>
      </c>
      <c r="H21" s="109">
        <v>0</v>
      </c>
      <c r="I21" s="109">
        <v>-19900867</v>
      </c>
      <c r="J21" s="75">
        <f t="shared" si="2"/>
        <v>-19900867</v>
      </c>
      <c r="K21" s="75">
        <f t="shared" si="3"/>
        <v>0</v>
      </c>
      <c r="L21" s="109">
        <v>16376207</v>
      </c>
      <c r="M21" s="110">
        <v>22003575</v>
      </c>
      <c r="N21" s="844"/>
    </row>
    <row r="22" spans="1:14" ht="12.75" customHeight="1" x14ac:dyDescent="0.25">
      <c r="A22" s="589" t="s">
        <v>1581</v>
      </c>
      <c r="B22" s="73"/>
      <c r="C22" s="109">
        <v>0</v>
      </c>
      <c r="D22" s="109">
        <v>51000000</v>
      </c>
      <c r="E22" s="109">
        <v>0</v>
      </c>
      <c r="F22" s="109">
        <v>0</v>
      </c>
      <c r="G22" s="109">
        <v>0</v>
      </c>
      <c r="H22" s="109">
        <v>7337771</v>
      </c>
      <c r="I22" s="109">
        <v>15900867</v>
      </c>
      <c r="J22" s="75">
        <f t="shared" si="2"/>
        <v>23238638</v>
      </c>
      <c r="K22" s="75">
        <f t="shared" si="3"/>
        <v>74238638</v>
      </c>
      <c r="L22" s="109">
        <v>0</v>
      </c>
      <c r="M22" s="109">
        <v>0</v>
      </c>
      <c r="N22" s="839"/>
    </row>
    <row r="23" spans="1:14" ht="12.75" customHeight="1" x14ac:dyDescent="0.25">
      <c r="A23" s="589" t="s">
        <v>1582</v>
      </c>
      <c r="B23" s="73"/>
      <c r="C23" s="109">
        <v>0</v>
      </c>
      <c r="D23" s="109">
        <v>0</v>
      </c>
      <c r="E23" s="109">
        <v>0</v>
      </c>
      <c r="F23" s="109">
        <v>0</v>
      </c>
      <c r="G23" s="109">
        <v>0</v>
      </c>
      <c r="H23" s="109">
        <v>0</v>
      </c>
      <c r="I23" s="109">
        <v>0</v>
      </c>
      <c r="J23" s="75">
        <f t="shared" si="2"/>
        <v>0</v>
      </c>
      <c r="K23" s="75">
        <f t="shared" si="3"/>
        <v>0</v>
      </c>
      <c r="L23" s="109">
        <v>0</v>
      </c>
      <c r="M23" s="110">
        <v>1567020</v>
      </c>
      <c r="N23" s="844"/>
    </row>
    <row r="24" spans="1:14" ht="12.75" customHeight="1" x14ac:dyDescent="0.25">
      <c r="A24" s="589" t="s">
        <v>1583</v>
      </c>
      <c r="B24" s="73"/>
      <c r="C24" s="109">
        <v>0</v>
      </c>
      <c r="D24" s="109">
        <v>0</v>
      </c>
      <c r="E24" s="109">
        <v>0</v>
      </c>
      <c r="F24" s="109">
        <v>0</v>
      </c>
      <c r="G24" s="109">
        <v>0</v>
      </c>
      <c r="H24" s="109">
        <v>0</v>
      </c>
      <c r="I24" s="109">
        <v>0</v>
      </c>
      <c r="J24" s="75">
        <f t="shared" si="2"/>
        <v>0</v>
      </c>
      <c r="K24" s="75">
        <f t="shared" si="3"/>
        <v>0</v>
      </c>
      <c r="L24" s="109">
        <v>0</v>
      </c>
      <c r="M24" s="110">
        <v>0</v>
      </c>
      <c r="N24" s="839"/>
    </row>
    <row r="25" spans="1:14" ht="12.75" customHeight="1" x14ac:dyDescent="0.25">
      <c r="A25" s="589" t="s">
        <v>1584</v>
      </c>
      <c r="B25" s="73"/>
      <c r="C25" s="109">
        <v>300000</v>
      </c>
      <c r="D25" s="109">
        <v>300000</v>
      </c>
      <c r="E25" s="109">
        <v>0</v>
      </c>
      <c r="F25" s="109">
        <v>0</v>
      </c>
      <c r="G25" s="109">
        <v>0</v>
      </c>
      <c r="H25" s="109">
        <v>0</v>
      </c>
      <c r="I25" s="109">
        <v>0</v>
      </c>
      <c r="J25" s="75">
        <f t="shared" si="2"/>
        <v>0</v>
      </c>
      <c r="K25" s="75">
        <f t="shared" si="3"/>
        <v>300000</v>
      </c>
      <c r="L25" s="109">
        <v>8268091</v>
      </c>
      <c r="M25" s="110">
        <v>8409675</v>
      </c>
      <c r="N25" s="844"/>
    </row>
    <row r="26" spans="1:14" ht="12.75" customHeight="1" x14ac:dyDescent="0.25">
      <c r="A26" s="589" t="s">
        <v>1585</v>
      </c>
      <c r="B26" s="73"/>
      <c r="C26" s="109">
        <v>0</v>
      </c>
      <c r="D26" s="109">
        <v>0</v>
      </c>
      <c r="E26" s="109">
        <v>0</v>
      </c>
      <c r="F26" s="109">
        <v>0</v>
      </c>
      <c r="G26" s="109">
        <v>0</v>
      </c>
      <c r="H26" s="109">
        <v>0</v>
      </c>
      <c r="I26" s="109">
        <v>0</v>
      </c>
      <c r="J26" s="75">
        <f t="shared" si="2"/>
        <v>0</v>
      </c>
      <c r="K26" s="75">
        <f t="shared" si="3"/>
        <v>0</v>
      </c>
      <c r="L26" s="109">
        <v>947361</v>
      </c>
      <c r="M26" s="110">
        <v>1305850</v>
      </c>
      <c r="N26" s="839"/>
    </row>
    <row r="27" spans="1:14" ht="12.75" customHeight="1" x14ac:dyDescent="0.25">
      <c r="A27" s="589" t="s">
        <v>1572</v>
      </c>
      <c r="B27" s="73"/>
      <c r="C27" s="109">
        <v>0</v>
      </c>
      <c r="D27" s="109">
        <v>0</v>
      </c>
      <c r="E27" s="109">
        <v>0</v>
      </c>
      <c r="F27" s="109">
        <v>0</v>
      </c>
      <c r="G27" s="109">
        <v>0</v>
      </c>
      <c r="H27" s="109">
        <v>0</v>
      </c>
      <c r="I27" s="109">
        <v>0</v>
      </c>
      <c r="J27" s="75">
        <f t="shared" si="2"/>
        <v>0</v>
      </c>
      <c r="K27" s="75">
        <f t="shared" si="3"/>
        <v>0</v>
      </c>
      <c r="L27" s="109">
        <v>0</v>
      </c>
      <c r="M27" s="110">
        <v>0</v>
      </c>
      <c r="N27" s="844"/>
    </row>
    <row r="28" spans="1:14" ht="12.75" customHeight="1" x14ac:dyDescent="0.25">
      <c r="A28" s="590" t="s">
        <v>1586</v>
      </c>
      <c r="B28" s="73"/>
      <c r="C28" s="132">
        <f t="shared" ref="C28:M28" si="6">SUM(C29:C38)</f>
        <v>230087332</v>
      </c>
      <c r="D28" s="132">
        <f t="shared" si="6"/>
        <v>235087332</v>
      </c>
      <c r="E28" s="132">
        <f t="shared" si="6"/>
        <v>0</v>
      </c>
      <c r="F28" s="132">
        <f t="shared" si="6"/>
        <v>0</v>
      </c>
      <c r="G28" s="132">
        <f t="shared" si="6"/>
        <v>0</v>
      </c>
      <c r="H28" s="132">
        <f t="shared" si="6"/>
        <v>23324013</v>
      </c>
      <c r="I28" s="132">
        <f t="shared" si="6"/>
        <v>-19259882</v>
      </c>
      <c r="J28" s="75">
        <f t="shared" si="2"/>
        <v>4064131</v>
      </c>
      <c r="K28" s="75">
        <f t="shared" si="3"/>
        <v>239151463</v>
      </c>
      <c r="L28" s="132">
        <f t="shared" si="6"/>
        <v>216047583</v>
      </c>
      <c r="M28" s="133">
        <f t="shared" si="6"/>
        <v>185611701</v>
      </c>
      <c r="N28" s="844"/>
    </row>
    <row r="29" spans="1:14" ht="12.75" customHeight="1" x14ac:dyDescent="0.25">
      <c r="A29" s="589" t="s">
        <v>1587</v>
      </c>
      <c r="B29" s="73"/>
      <c r="C29" s="109">
        <v>0</v>
      </c>
      <c r="D29" s="109">
        <v>0</v>
      </c>
      <c r="E29" s="109">
        <v>0</v>
      </c>
      <c r="F29" s="109">
        <v>0</v>
      </c>
      <c r="G29" s="109">
        <v>0</v>
      </c>
      <c r="H29" s="109">
        <v>0</v>
      </c>
      <c r="I29" s="109">
        <v>0</v>
      </c>
      <c r="J29" s="75">
        <f t="shared" si="2"/>
        <v>0</v>
      </c>
      <c r="K29" s="75">
        <f t="shared" si="3"/>
        <v>0</v>
      </c>
      <c r="L29" s="109">
        <v>0</v>
      </c>
      <c r="M29" s="110">
        <v>0</v>
      </c>
      <c r="N29" s="844"/>
    </row>
    <row r="30" spans="1:14" ht="12.6" customHeight="1" x14ac:dyDescent="0.25">
      <c r="A30" s="589" t="s">
        <v>1588</v>
      </c>
      <c r="B30" s="73"/>
      <c r="C30" s="109">
        <v>0</v>
      </c>
      <c r="D30" s="109">
        <v>0</v>
      </c>
      <c r="E30" s="109">
        <v>0</v>
      </c>
      <c r="F30" s="109">
        <v>0</v>
      </c>
      <c r="G30" s="109">
        <v>0</v>
      </c>
      <c r="H30" s="109">
        <v>0</v>
      </c>
      <c r="I30" s="109">
        <v>112307170</v>
      </c>
      <c r="J30" s="75">
        <f t="shared" si="2"/>
        <v>112307170</v>
      </c>
      <c r="K30" s="75">
        <f t="shared" si="3"/>
        <v>112307170</v>
      </c>
      <c r="L30" s="109">
        <v>0</v>
      </c>
      <c r="M30" s="110">
        <v>0</v>
      </c>
      <c r="N30" s="844"/>
    </row>
    <row r="31" spans="1:14" ht="12.75" customHeight="1" x14ac:dyDescent="0.25">
      <c r="A31" s="589" t="s">
        <v>1589</v>
      </c>
      <c r="B31" s="73"/>
      <c r="C31" s="109">
        <v>0</v>
      </c>
      <c r="D31" s="109">
        <v>0</v>
      </c>
      <c r="E31" s="109">
        <v>0</v>
      </c>
      <c r="F31" s="109">
        <v>0</v>
      </c>
      <c r="G31" s="109">
        <v>0</v>
      </c>
      <c r="H31" s="109">
        <v>0</v>
      </c>
      <c r="I31" s="109">
        <v>5000000</v>
      </c>
      <c r="J31" s="75">
        <f t="shared" si="2"/>
        <v>5000000</v>
      </c>
      <c r="K31" s="75">
        <f t="shared" si="3"/>
        <v>5000000</v>
      </c>
      <c r="L31" s="109">
        <v>4042873</v>
      </c>
      <c r="M31" s="110">
        <v>0</v>
      </c>
      <c r="N31" s="844"/>
    </row>
    <row r="32" spans="1:14" ht="12.75" customHeight="1" x14ac:dyDescent="0.25">
      <c r="A32" s="589" t="s">
        <v>1590</v>
      </c>
      <c r="B32" s="73"/>
      <c r="C32" s="109">
        <v>0</v>
      </c>
      <c r="D32" s="109">
        <v>0</v>
      </c>
      <c r="E32" s="109">
        <v>0</v>
      </c>
      <c r="F32" s="109">
        <v>0</v>
      </c>
      <c r="G32" s="109">
        <v>0</v>
      </c>
      <c r="H32" s="109">
        <v>0</v>
      </c>
      <c r="I32" s="109">
        <v>0</v>
      </c>
      <c r="J32" s="75">
        <f t="shared" si="2"/>
        <v>0</v>
      </c>
      <c r="K32" s="75">
        <f t="shared" si="3"/>
        <v>0</v>
      </c>
      <c r="L32" s="109">
        <v>0</v>
      </c>
      <c r="M32" s="110">
        <v>0</v>
      </c>
      <c r="N32" s="839"/>
    </row>
    <row r="33" spans="1:14" ht="12.75" customHeight="1" x14ac:dyDescent="0.25">
      <c r="A33" s="589" t="s">
        <v>1591</v>
      </c>
      <c r="B33" s="73"/>
      <c r="C33" s="109">
        <v>0</v>
      </c>
      <c r="D33" s="109">
        <v>0</v>
      </c>
      <c r="E33" s="109">
        <v>0</v>
      </c>
      <c r="F33" s="109">
        <v>0</v>
      </c>
      <c r="G33" s="109">
        <v>0</v>
      </c>
      <c r="H33" s="109">
        <v>0</v>
      </c>
      <c r="I33" s="109">
        <v>0</v>
      </c>
      <c r="J33" s="75">
        <f t="shared" si="2"/>
        <v>0</v>
      </c>
      <c r="K33" s="75">
        <f t="shared" si="3"/>
        <v>0</v>
      </c>
      <c r="L33" s="109">
        <v>0</v>
      </c>
      <c r="M33" s="110">
        <v>0</v>
      </c>
      <c r="N33" s="844"/>
    </row>
    <row r="34" spans="1:14" ht="12.75" customHeight="1" x14ac:dyDescent="0.25">
      <c r="A34" s="589" t="s">
        <v>1592</v>
      </c>
      <c r="B34" s="73"/>
      <c r="C34" s="109">
        <v>93600000</v>
      </c>
      <c r="D34" s="109">
        <v>93600000</v>
      </c>
      <c r="E34" s="109">
        <v>0</v>
      </c>
      <c r="F34" s="109">
        <v>0</v>
      </c>
      <c r="G34" s="109">
        <v>0</v>
      </c>
      <c r="H34" s="109">
        <v>0</v>
      </c>
      <c r="I34" s="109">
        <v>-10579504</v>
      </c>
      <c r="J34" s="75">
        <f t="shared" si="2"/>
        <v>-10579504</v>
      </c>
      <c r="K34" s="75">
        <f t="shared" si="3"/>
        <v>83020496</v>
      </c>
      <c r="L34" s="109">
        <v>102000000</v>
      </c>
      <c r="M34" s="110">
        <v>113000000</v>
      </c>
      <c r="N34" s="839"/>
    </row>
    <row r="35" spans="1:14" ht="12.75" customHeight="1" x14ac:dyDescent="0.25">
      <c r="A35" s="589" t="s">
        <v>1593</v>
      </c>
      <c r="B35" s="73"/>
      <c r="C35" s="109">
        <v>136487332</v>
      </c>
      <c r="D35" s="109">
        <v>141487332</v>
      </c>
      <c r="E35" s="109">
        <v>0</v>
      </c>
      <c r="F35" s="109">
        <v>0</v>
      </c>
      <c r="G35" s="109">
        <v>0</v>
      </c>
      <c r="H35" s="109">
        <v>23324013</v>
      </c>
      <c r="I35" s="109">
        <v>-125987548</v>
      </c>
      <c r="J35" s="75">
        <f t="shared" si="2"/>
        <v>-102663535</v>
      </c>
      <c r="K35" s="75">
        <f t="shared" si="3"/>
        <v>38823797</v>
      </c>
      <c r="L35" s="109">
        <v>110004710</v>
      </c>
      <c r="M35" s="110">
        <v>72611701</v>
      </c>
      <c r="N35" s="844"/>
    </row>
    <row r="36" spans="1:14" ht="12.75" customHeight="1" x14ac:dyDescent="0.25">
      <c r="A36" s="589" t="s">
        <v>1594</v>
      </c>
      <c r="B36" s="73"/>
      <c r="C36" s="109">
        <v>0</v>
      </c>
      <c r="D36" s="109">
        <v>0</v>
      </c>
      <c r="E36" s="109">
        <v>0</v>
      </c>
      <c r="F36" s="109">
        <v>0</v>
      </c>
      <c r="G36" s="109">
        <v>0</v>
      </c>
      <c r="H36" s="109">
        <v>0</v>
      </c>
      <c r="I36" s="109">
        <v>0</v>
      </c>
      <c r="J36" s="75">
        <f t="shared" si="2"/>
        <v>0</v>
      </c>
      <c r="K36" s="75">
        <f t="shared" si="3"/>
        <v>0</v>
      </c>
      <c r="L36" s="109">
        <v>0</v>
      </c>
      <c r="M36" s="110">
        <v>0</v>
      </c>
      <c r="N36" s="839"/>
    </row>
    <row r="37" spans="1:14" ht="12.75" customHeight="1" x14ac:dyDescent="0.25">
      <c r="A37" s="589" t="s">
        <v>1595</v>
      </c>
      <c r="B37" s="73"/>
      <c r="C37" s="109">
        <v>0</v>
      </c>
      <c r="D37" s="109">
        <v>0</v>
      </c>
      <c r="E37" s="109">
        <v>0</v>
      </c>
      <c r="F37" s="109">
        <v>0</v>
      </c>
      <c r="G37" s="109">
        <v>0</v>
      </c>
      <c r="H37" s="109">
        <v>0</v>
      </c>
      <c r="I37" s="109">
        <v>0</v>
      </c>
      <c r="J37" s="75">
        <f t="shared" si="2"/>
        <v>0</v>
      </c>
      <c r="K37" s="75">
        <f t="shared" si="3"/>
        <v>0</v>
      </c>
      <c r="L37" s="109">
        <v>0</v>
      </c>
      <c r="M37" s="110">
        <v>0</v>
      </c>
      <c r="N37" s="844"/>
    </row>
    <row r="38" spans="1:14" ht="12.75" customHeight="1" x14ac:dyDescent="0.25">
      <c r="A38" s="589" t="s">
        <v>1572</v>
      </c>
      <c r="B38" s="73"/>
      <c r="C38" s="109">
        <v>0</v>
      </c>
      <c r="D38" s="109">
        <v>0</v>
      </c>
      <c r="E38" s="109">
        <v>0</v>
      </c>
      <c r="F38" s="109">
        <v>0</v>
      </c>
      <c r="G38" s="109">
        <v>0</v>
      </c>
      <c r="H38" s="109">
        <v>0</v>
      </c>
      <c r="I38" s="109">
        <v>0</v>
      </c>
      <c r="J38" s="75">
        <f t="shared" si="2"/>
        <v>0</v>
      </c>
      <c r="K38" s="75">
        <f t="shared" si="3"/>
        <v>0</v>
      </c>
      <c r="L38" s="109">
        <v>0</v>
      </c>
      <c r="M38" s="110">
        <v>0</v>
      </c>
      <c r="N38" s="844"/>
    </row>
    <row r="39" spans="1:14" ht="12.75" customHeight="1" x14ac:dyDescent="0.25">
      <c r="A39" s="590" t="s">
        <v>1596</v>
      </c>
      <c r="B39" s="73"/>
      <c r="C39" s="1122">
        <f t="shared" ref="C39:M39" si="7">SUM(C40:C45)</f>
        <v>132000000</v>
      </c>
      <c r="D39" s="132">
        <f t="shared" si="7"/>
        <v>89000000</v>
      </c>
      <c r="E39" s="132">
        <f t="shared" si="7"/>
        <v>0</v>
      </c>
      <c r="F39" s="132">
        <f t="shared" si="7"/>
        <v>0</v>
      </c>
      <c r="G39" s="132">
        <f t="shared" si="7"/>
        <v>0</v>
      </c>
      <c r="H39" s="132">
        <f t="shared" si="7"/>
        <v>256053</v>
      </c>
      <c r="I39" s="132">
        <f t="shared" si="7"/>
        <v>3743947</v>
      </c>
      <c r="J39" s="75">
        <f t="shared" si="2"/>
        <v>4000000</v>
      </c>
      <c r="K39" s="75">
        <f t="shared" si="3"/>
        <v>93000000</v>
      </c>
      <c r="L39" s="132">
        <f t="shared" si="7"/>
        <v>30216582</v>
      </c>
      <c r="M39" s="133">
        <f t="shared" si="7"/>
        <v>0</v>
      </c>
      <c r="N39" s="128"/>
    </row>
    <row r="40" spans="1:14" ht="12.75" customHeight="1" x14ac:dyDescent="0.25">
      <c r="A40" s="589" t="s">
        <v>1597</v>
      </c>
      <c r="B40" s="73"/>
      <c r="C40" s="109">
        <v>0</v>
      </c>
      <c r="D40" s="109">
        <v>0</v>
      </c>
      <c r="E40" s="109">
        <v>0</v>
      </c>
      <c r="F40" s="109">
        <v>0</v>
      </c>
      <c r="G40" s="109">
        <v>0</v>
      </c>
      <c r="H40" s="109">
        <v>0</v>
      </c>
      <c r="I40" s="109">
        <v>0</v>
      </c>
      <c r="J40" s="75">
        <f t="shared" si="2"/>
        <v>0</v>
      </c>
      <c r="K40" s="75">
        <f t="shared" si="3"/>
        <v>0</v>
      </c>
      <c r="L40" s="109">
        <v>0</v>
      </c>
      <c r="M40" s="110">
        <v>0</v>
      </c>
      <c r="N40" s="839"/>
    </row>
    <row r="41" spans="1:14" ht="12.75" customHeight="1" x14ac:dyDescent="0.25">
      <c r="A41" s="589" t="s">
        <v>485</v>
      </c>
      <c r="B41" s="73"/>
      <c r="C41" s="109">
        <v>0</v>
      </c>
      <c r="D41" s="109">
        <v>0</v>
      </c>
      <c r="E41" s="109">
        <v>0</v>
      </c>
      <c r="F41" s="109">
        <v>0</v>
      </c>
      <c r="G41" s="109">
        <v>0</v>
      </c>
      <c r="H41" s="109">
        <v>0</v>
      </c>
      <c r="I41" s="109">
        <v>0</v>
      </c>
      <c r="J41" s="75">
        <f t="shared" si="2"/>
        <v>0</v>
      </c>
      <c r="K41" s="75">
        <f t="shared" si="3"/>
        <v>0</v>
      </c>
      <c r="L41" s="109">
        <v>0</v>
      </c>
      <c r="M41" s="110">
        <v>0</v>
      </c>
      <c r="N41" s="839"/>
    </row>
    <row r="42" spans="1:14" ht="12.75" customHeight="1" x14ac:dyDescent="0.25">
      <c r="A42" s="589" t="s">
        <v>1598</v>
      </c>
      <c r="B42" s="73"/>
      <c r="C42" s="109">
        <v>130000000</v>
      </c>
      <c r="D42" s="109">
        <v>87000000</v>
      </c>
      <c r="E42" s="109">
        <v>0</v>
      </c>
      <c r="F42" s="109">
        <v>0</v>
      </c>
      <c r="G42" s="109">
        <v>0</v>
      </c>
      <c r="H42" s="109">
        <v>0</v>
      </c>
      <c r="I42" s="109">
        <v>6000000</v>
      </c>
      <c r="J42" s="75">
        <f t="shared" si="2"/>
        <v>6000000</v>
      </c>
      <c r="K42" s="75">
        <f t="shared" si="3"/>
        <v>93000000</v>
      </c>
      <c r="L42" s="109">
        <v>30000000</v>
      </c>
      <c r="M42" s="110">
        <v>0</v>
      </c>
      <c r="N42" s="844"/>
    </row>
    <row r="43" spans="1:14" ht="12.75" customHeight="1" x14ac:dyDescent="0.25">
      <c r="A43" s="589" t="s">
        <v>1599</v>
      </c>
      <c r="B43" s="73"/>
      <c r="C43" s="109">
        <v>0</v>
      </c>
      <c r="D43" s="109">
        <v>0</v>
      </c>
      <c r="E43" s="109">
        <v>0</v>
      </c>
      <c r="F43" s="109">
        <v>0</v>
      </c>
      <c r="G43" s="109">
        <v>0</v>
      </c>
      <c r="H43" s="109">
        <v>0</v>
      </c>
      <c r="I43" s="109">
        <v>0</v>
      </c>
      <c r="J43" s="75">
        <f t="shared" si="2"/>
        <v>0</v>
      </c>
      <c r="K43" s="75">
        <f t="shared" si="3"/>
        <v>0</v>
      </c>
      <c r="L43" s="109">
        <v>0</v>
      </c>
      <c r="M43" s="110">
        <v>0</v>
      </c>
      <c r="N43" s="844"/>
    </row>
    <row r="44" spans="1:14" ht="12.75" customHeight="1" x14ac:dyDescent="0.25">
      <c r="A44" s="589" t="s">
        <v>1600</v>
      </c>
      <c r="B44" s="73"/>
      <c r="C44" s="109">
        <v>0</v>
      </c>
      <c r="D44" s="109">
        <v>0</v>
      </c>
      <c r="E44" s="109">
        <v>0</v>
      </c>
      <c r="F44" s="109">
        <v>0</v>
      </c>
      <c r="G44" s="109">
        <v>0</v>
      </c>
      <c r="H44" s="109">
        <v>0</v>
      </c>
      <c r="I44" s="109">
        <v>0</v>
      </c>
      <c r="J44" s="75">
        <f t="shared" si="2"/>
        <v>0</v>
      </c>
      <c r="K44" s="75">
        <f t="shared" si="3"/>
        <v>0</v>
      </c>
      <c r="L44" s="109">
        <v>0</v>
      </c>
      <c r="M44" s="110">
        <v>0</v>
      </c>
      <c r="N44" s="839"/>
    </row>
    <row r="45" spans="1:14" ht="12.75" customHeight="1" x14ac:dyDescent="0.25">
      <c r="A45" s="589" t="s">
        <v>1572</v>
      </c>
      <c r="B45" s="73"/>
      <c r="C45" s="109">
        <v>2000000</v>
      </c>
      <c r="D45" s="109">
        <v>2000000</v>
      </c>
      <c r="E45" s="109">
        <v>0</v>
      </c>
      <c r="F45" s="109">
        <v>0</v>
      </c>
      <c r="G45" s="109">
        <v>0</v>
      </c>
      <c r="H45" s="109">
        <v>256053</v>
      </c>
      <c r="I45" s="109">
        <v>-2256053</v>
      </c>
      <c r="J45" s="75">
        <f t="shared" si="2"/>
        <v>-2000000</v>
      </c>
      <c r="K45" s="75">
        <f t="shared" si="3"/>
        <v>0</v>
      </c>
      <c r="L45" s="109">
        <v>216582</v>
      </c>
      <c r="M45" s="110">
        <v>0</v>
      </c>
      <c r="N45" s="844"/>
    </row>
    <row r="46" spans="1:14" ht="12.75" customHeight="1" x14ac:dyDescent="0.25">
      <c r="A46" s="590" t="s">
        <v>1601</v>
      </c>
      <c r="B46" s="73"/>
      <c r="C46" s="1122">
        <f t="shared" ref="C46:M46" si="8">SUM(C47:C53)</f>
        <v>7600000</v>
      </c>
      <c r="D46" s="132">
        <f t="shared" si="8"/>
        <v>10600000</v>
      </c>
      <c r="E46" s="132">
        <f t="shared" si="8"/>
        <v>0</v>
      </c>
      <c r="F46" s="132">
        <f t="shared" si="8"/>
        <v>0</v>
      </c>
      <c r="G46" s="132">
        <f t="shared" si="8"/>
        <v>0</v>
      </c>
      <c r="H46" s="132">
        <f t="shared" si="8"/>
        <v>0</v>
      </c>
      <c r="I46" s="132">
        <f t="shared" si="8"/>
        <v>-4376914</v>
      </c>
      <c r="J46" s="75">
        <f t="shared" si="2"/>
        <v>-4376914</v>
      </c>
      <c r="K46" s="75">
        <f t="shared" si="3"/>
        <v>6223086</v>
      </c>
      <c r="L46" s="132">
        <f t="shared" si="8"/>
        <v>3581731</v>
      </c>
      <c r="M46" s="133">
        <f t="shared" si="8"/>
        <v>3150000</v>
      </c>
      <c r="N46" s="128"/>
    </row>
    <row r="47" spans="1:14" ht="12.75" customHeight="1" x14ac:dyDescent="0.25">
      <c r="A47" s="589" t="s">
        <v>1602</v>
      </c>
      <c r="B47" s="73"/>
      <c r="C47" s="109">
        <v>2000000</v>
      </c>
      <c r="D47" s="109">
        <v>5000000</v>
      </c>
      <c r="E47" s="109">
        <v>0</v>
      </c>
      <c r="F47" s="109">
        <v>0</v>
      </c>
      <c r="G47" s="109">
        <v>0</v>
      </c>
      <c r="H47" s="109">
        <v>0</v>
      </c>
      <c r="I47" s="109">
        <v>-1800000</v>
      </c>
      <c r="J47" s="75">
        <f t="shared" si="2"/>
        <v>-1800000</v>
      </c>
      <c r="K47" s="75">
        <f t="shared" si="3"/>
        <v>3200000</v>
      </c>
      <c r="L47" s="109">
        <v>3000000</v>
      </c>
      <c r="M47" s="110">
        <v>3000000</v>
      </c>
      <c r="N47" s="839"/>
    </row>
    <row r="48" spans="1:14" ht="12.75" customHeight="1" x14ac:dyDescent="0.25">
      <c r="A48" s="589" t="s">
        <v>1603</v>
      </c>
      <c r="B48" s="73"/>
      <c r="C48" s="109">
        <v>4000000</v>
      </c>
      <c r="D48" s="109">
        <v>4000000</v>
      </c>
      <c r="E48" s="109">
        <v>0</v>
      </c>
      <c r="F48" s="109">
        <v>0</v>
      </c>
      <c r="G48" s="109">
        <v>0</v>
      </c>
      <c r="H48" s="109">
        <v>0</v>
      </c>
      <c r="I48" s="109">
        <v>-2406914</v>
      </c>
      <c r="J48" s="75">
        <f t="shared" si="2"/>
        <v>-2406914</v>
      </c>
      <c r="K48" s="75">
        <f t="shared" si="3"/>
        <v>1593086</v>
      </c>
      <c r="L48" s="109">
        <v>100000</v>
      </c>
      <c r="M48" s="110">
        <v>150000</v>
      </c>
      <c r="N48" s="839"/>
    </row>
    <row r="49" spans="1:14" ht="12.75" customHeight="1" x14ac:dyDescent="0.25">
      <c r="A49" s="589" t="s">
        <v>1604</v>
      </c>
      <c r="B49" s="73"/>
      <c r="C49" s="109"/>
      <c r="D49" s="109">
        <v>0</v>
      </c>
      <c r="E49" s="109">
        <v>0</v>
      </c>
      <c r="F49" s="109">
        <v>0</v>
      </c>
      <c r="G49" s="109">
        <v>0</v>
      </c>
      <c r="H49" s="109">
        <v>0</v>
      </c>
      <c r="I49" s="109">
        <v>0</v>
      </c>
      <c r="J49" s="75">
        <f t="shared" si="2"/>
        <v>0</v>
      </c>
      <c r="K49" s="75">
        <f t="shared" si="3"/>
        <v>0</v>
      </c>
      <c r="L49" s="109">
        <v>0</v>
      </c>
      <c r="M49" s="110">
        <v>0</v>
      </c>
      <c r="N49" s="844"/>
    </row>
    <row r="50" spans="1:14" ht="12.75" customHeight="1" x14ac:dyDescent="0.25">
      <c r="A50" s="589" t="s">
        <v>1605</v>
      </c>
      <c r="B50" s="73"/>
      <c r="C50" s="109"/>
      <c r="D50" s="109">
        <v>0</v>
      </c>
      <c r="E50" s="109">
        <v>0</v>
      </c>
      <c r="F50" s="109">
        <v>0</v>
      </c>
      <c r="G50" s="109">
        <v>0</v>
      </c>
      <c r="H50" s="109">
        <v>0</v>
      </c>
      <c r="I50" s="109">
        <v>0</v>
      </c>
      <c r="J50" s="75">
        <f t="shared" si="2"/>
        <v>0</v>
      </c>
      <c r="K50" s="75">
        <f t="shared" si="3"/>
        <v>0</v>
      </c>
      <c r="L50" s="109">
        <v>0</v>
      </c>
      <c r="M50" s="110">
        <v>0</v>
      </c>
      <c r="N50" s="844"/>
    </row>
    <row r="51" spans="1:14" ht="12.75" customHeight="1" x14ac:dyDescent="0.25">
      <c r="A51" s="589" t="s">
        <v>1606</v>
      </c>
      <c r="B51" s="73"/>
      <c r="C51" s="109"/>
      <c r="D51" s="109">
        <v>0</v>
      </c>
      <c r="E51" s="109">
        <v>0</v>
      </c>
      <c r="F51" s="109">
        <v>0</v>
      </c>
      <c r="G51" s="109">
        <v>0</v>
      </c>
      <c r="H51" s="109">
        <v>0</v>
      </c>
      <c r="I51" s="109">
        <v>0</v>
      </c>
      <c r="J51" s="75">
        <f t="shared" si="2"/>
        <v>0</v>
      </c>
      <c r="K51" s="75">
        <f t="shared" si="3"/>
        <v>0</v>
      </c>
      <c r="L51" s="109">
        <v>0</v>
      </c>
      <c r="M51" s="110">
        <v>0</v>
      </c>
      <c r="N51" s="844"/>
    </row>
    <row r="52" spans="1:14" ht="12.75" customHeight="1" x14ac:dyDescent="0.25">
      <c r="A52" s="589" t="s">
        <v>1607</v>
      </c>
      <c r="B52" s="73"/>
      <c r="C52" s="109"/>
      <c r="D52" s="109">
        <v>0</v>
      </c>
      <c r="E52" s="109">
        <v>0</v>
      </c>
      <c r="F52" s="109">
        <v>0</v>
      </c>
      <c r="G52" s="109">
        <v>0</v>
      </c>
      <c r="H52" s="109">
        <v>0</v>
      </c>
      <c r="I52" s="109">
        <v>0</v>
      </c>
      <c r="J52" s="75">
        <f t="shared" si="2"/>
        <v>0</v>
      </c>
      <c r="K52" s="75">
        <f t="shared" si="3"/>
        <v>0</v>
      </c>
      <c r="L52" s="109">
        <v>0</v>
      </c>
      <c r="M52" s="110">
        <v>0</v>
      </c>
      <c r="N52" s="839"/>
    </row>
    <row r="53" spans="1:14" ht="12.75" customHeight="1" x14ac:dyDescent="0.25">
      <c r="A53" s="589" t="s">
        <v>1572</v>
      </c>
      <c r="B53" s="73"/>
      <c r="C53" s="109">
        <v>1600000</v>
      </c>
      <c r="D53" s="109">
        <v>1600000</v>
      </c>
      <c r="E53" s="109">
        <v>0</v>
      </c>
      <c r="F53" s="109">
        <v>0</v>
      </c>
      <c r="G53" s="109">
        <v>0</v>
      </c>
      <c r="H53" s="109">
        <v>0</v>
      </c>
      <c r="I53" s="109">
        <v>-170000</v>
      </c>
      <c r="J53" s="75">
        <f t="shared" si="2"/>
        <v>-170000</v>
      </c>
      <c r="K53" s="75">
        <f t="shared" si="3"/>
        <v>1430000</v>
      </c>
      <c r="L53" s="109">
        <v>481731</v>
      </c>
      <c r="M53" s="110">
        <v>0</v>
      </c>
      <c r="N53" s="844"/>
    </row>
    <row r="54" spans="1:14" ht="12.75" customHeight="1" x14ac:dyDescent="0.25">
      <c r="A54" s="588" t="s">
        <v>1608</v>
      </c>
      <c r="B54" s="73"/>
      <c r="C54" s="1122">
        <f t="shared" ref="C54:M54" si="9">SUM(C55:C63)</f>
        <v>0</v>
      </c>
      <c r="D54" s="132">
        <f t="shared" si="9"/>
        <v>0</v>
      </c>
      <c r="E54" s="132">
        <f t="shared" si="9"/>
        <v>0</v>
      </c>
      <c r="F54" s="132">
        <f t="shared" si="9"/>
        <v>0</v>
      </c>
      <c r="G54" s="132">
        <f t="shared" si="9"/>
        <v>0</v>
      </c>
      <c r="H54" s="132">
        <f t="shared" si="9"/>
        <v>0</v>
      </c>
      <c r="I54" s="132">
        <f t="shared" si="9"/>
        <v>0</v>
      </c>
      <c r="J54" s="75">
        <f t="shared" si="2"/>
        <v>0</v>
      </c>
      <c r="K54" s="75">
        <f t="shared" si="3"/>
        <v>0</v>
      </c>
      <c r="L54" s="132">
        <f t="shared" si="9"/>
        <v>0</v>
      </c>
      <c r="M54" s="133">
        <f t="shared" si="9"/>
        <v>0</v>
      </c>
      <c r="N54" s="128"/>
    </row>
    <row r="55" spans="1:14" ht="12.75" customHeight="1" x14ac:dyDescent="0.25">
      <c r="A55" s="589" t="s">
        <v>1609</v>
      </c>
      <c r="B55" s="73"/>
      <c r="C55" s="109">
        <v>0</v>
      </c>
      <c r="D55" s="109">
        <v>0</v>
      </c>
      <c r="E55" s="109">
        <v>0</v>
      </c>
      <c r="F55" s="109">
        <v>0</v>
      </c>
      <c r="G55" s="109">
        <v>0</v>
      </c>
      <c r="H55" s="109">
        <v>0</v>
      </c>
      <c r="I55" s="109">
        <v>0</v>
      </c>
      <c r="J55" s="75">
        <f t="shared" si="2"/>
        <v>0</v>
      </c>
      <c r="K55" s="75">
        <f t="shared" si="3"/>
        <v>0</v>
      </c>
      <c r="L55" s="109">
        <v>0</v>
      </c>
      <c r="M55" s="110">
        <v>0</v>
      </c>
      <c r="N55" s="839"/>
    </row>
    <row r="56" spans="1:14" ht="12.75" customHeight="1" x14ac:dyDescent="0.25">
      <c r="A56" s="589" t="s">
        <v>1610</v>
      </c>
      <c r="B56" s="73"/>
      <c r="C56" s="109">
        <v>0</v>
      </c>
      <c r="D56" s="109">
        <v>0</v>
      </c>
      <c r="E56" s="109">
        <v>0</v>
      </c>
      <c r="F56" s="109">
        <v>0</v>
      </c>
      <c r="G56" s="109">
        <v>0</v>
      </c>
      <c r="H56" s="109">
        <v>0</v>
      </c>
      <c r="I56" s="109">
        <v>0</v>
      </c>
      <c r="J56" s="75">
        <f t="shared" si="2"/>
        <v>0</v>
      </c>
      <c r="K56" s="75">
        <f t="shared" si="3"/>
        <v>0</v>
      </c>
      <c r="L56" s="109">
        <v>0</v>
      </c>
      <c r="M56" s="110">
        <v>0</v>
      </c>
      <c r="N56" s="839"/>
    </row>
    <row r="57" spans="1:14" ht="12.75" customHeight="1" x14ac:dyDescent="0.25">
      <c r="A57" s="589" t="s">
        <v>1611</v>
      </c>
      <c r="B57" s="73"/>
      <c r="C57" s="109">
        <v>0</v>
      </c>
      <c r="D57" s="109">
        <v>0</v>
      </c>
      <c r="E57" s="109">
        <v>0</v>
      </c>
      <c r="F57" s="109">
        <v>0</v>
      </c>
      <c r="G57" s="109">
        <v>0</v>
      </c>
      <c r="H57" s="109">
        <v>0</v>
      </c>
      <c r="I57" s="109">
        <v>0</v>
      </c>
      <c r="J57" s="75">
        <f t="shared" si="2"/>
        <v>0</v>
      </c>
      <c r="K57" s="75">
        <f t="shared" si="3"/>
        <v>0</v>
      </c>
      <c r="L57" s="109">
        <v>0</v>
      </c>
      <c r="M57" s="110">
        <v>0</v>
      </c>
      <c r="N57" s="844"/>
    </row>
    <row r="58" spans="1:14" ht="12.75" customHeight="1" x14ac:dyDescent="0.25">
      <c r="A58" s="589" t="s">
        <v>1574</v>
      </c>
      <c r="B58" s="73"/>
      <c r="C58" s="109">
        <v>0</v>
      </c>
      <c r="D58" s="109">
        <v>0</v>
      </c>
      <c r="E58" s="109">
        <v>0</v>
      </c>
      <c r="F58" s="109">
        <v>0</v>
      </c>
      <c r="G58" s="109">
        <v>0</v>
      </c>
      <c r="H58" s="109">
        <v>0</v>
      </c>
      <c r="I58" s="109">
        <v>0</v>
      </c>
      <c r="J58" s="75">
        <f t="shared" si="2"/>
        <v>0</v>
      </c>
      <c r="K58" s="75">
        <f t="shared" si="3"/>
        <v>0</v>
      </c>
      <c r="L58" s="109">
        <v>0</v>
      </c>
      <c r="M58" s="110">
        <v>0</v>
      </c>
      <c r="N58" s="844"/>
    </row>
    <row r="59" spans="1:14" ht="12.75" customHeight="1" x14ac:dyDescent="0.25">
      <c r="A59" s="589" t="s">
        <v>1575</v>
      </c>
      <c r="B59" s="73"/>
      <c r="C59" s="109">
        <v>0</v>
      </c>
      <c r="D59" s="109">
        <v>0</v>
      </c>
      <c r="E59" s="109">
        <v>0</v>
      </c>
      <c r="F59" s="109">
        <v>0</v>
      </c>
      <c r="G59" s="109">
        <v>0</v>
      </c>
      <c r="H59" s="109">
        <v>0</v>
      </c>
      <c r="I59" s="109">
        <v>0</v>
      </c>
      <c r="J59" s="75">
        <f t="shared" si="2"/>
        <v>0</v>
      </c>
      <c r="K59" s="75">
        <f t="shared" si="3"/>
        <v>0</v>
      </c>
      <c r="L59" s="109">
        <v>0</v>
      </c>
      <c r="M59" s="110">
        <v>0</v>
      </c>
      <c r="N59" s="844"/>
    </row>
    <row r="60" spans="1:14" ht="12.75" customHeight="1" x14ac:dyDescent="0.25">
      <c r="A60" s="589" t="s">
        <v>1576</v>
      </c>
      <c r="B60" s="73"/>
      <c r="C60" s="109">
        <v>0</v>
      </c>
      <c r="D60" s="109">
        <v>0</v>
      </c>
      <c r="E60" s="109">
        <v>0</v>
      </c>
      <c r="F60" s="109">
        <v>0</v>
      </c>
      <c r="G60" s="109">
        <v>0</v>
      </c>
      <c r="H60" s="109">
        <v>0</v>
      </c>
      <c r="I60" s="109">
        <v>0</v>
      </c>
      <c r="J60" s="75">
        <f t="shared" si="2"/>
        <v>0</v>
      </c>
      <c r="K60" s="75">
        <f t="shared" si="3"/>
        <v>0</v>
      </c>
      <c r="L60" s="109">
        <v>0</v>
      </c>
      <c r="M60" s="110">
        <v>0</v>
      </c>
      <c r="N60" s="844"/>
    </row>
    <row r="61" spans="1:14" ht="12.75" customHeight="1" x14ac:dyDescent="0.25">
      <c r="A61" s="589" t="s">
        <v>1582</v>
      </c>
      <c r="B61" s="73"/>
      <c r="C61" s="109">
        <v>0</v>
      </c>
      <c r="D61" s="109">
        <v>0</v>
      </c>
      <c r="E61" s="109">
        <v>0</v>
      </c>
      <c r="F61" s="109">
        <v>0</v>
      </c>
      <c r="G61" s="109">
        <v>0</v>
      </c>
      <c r="H61" s="109">
        <v>0</v>
      </c>
      <c r="I61" s="109">
        <v>0</v>
      </c>
      <c r="J61" s="75">
        <f t="shared" si="2"/>
        <v>0</v>
      </c>
      <c r="K61" s="75">
        <f t="shared" si="3"/>
        <v>0</v>
      </c>
      <c r="L61" s="109">
        <v>0</v>
      </c>
      <c r="M61" s="110">
        <v>0</v>
      </c>
      <c r="N61" s="844"/>
    </row>
    <row r="62" spans="1:14" ht="12.75" customHeight="1" x14ac:dyDescent="0.25">
      <c r="A62" s="589" t="s">
        <v>1585</v>
      </c>
      <c r="B62" s="73"/>
      <c r="C62" s="109">
        <v>0</v>
      </c>
      <c r="D62" s="109">
        <v>0</v>
      </c>
      <c r="E62" s="109">
        <v>0</v>
      </c>
      <c r="F62" s="109">
        <v>0</v>
      </c>
      <c r="G62" s="109">
        <v>0</v>
      </c>
      <c r="H62" s="109">
        <v>0</v>
      </c>
      <c r="I62" s="109">
        <v>0</v>
      </c>
      <c r="J62" s="75">
        <f t="shared" si="2"/>
        <v>0</v>
      </c>
      <c r="K62" s="75">
        <f t="shared" si="3"/>
        <v>0</v>
      </c>
      <c r="L62" s="109">
        <v>0</v>
      </c>
      <c r="M62" s="110">
        <v>0</v>
      </c>
      <c r="N62" s="839"/>
    </row>
    <row r="63" spans="1:14" ht="12.75" customHeight="1" x14ac:dyDescent="0.25">
      <c r="A63" s="589" t="s">
        <v>1572</v>
      </c>
      <c r="B63" s="73"/>
      <c r="C63" s="109">
        <v>0</v>
      </c>
      <c r="D63" s="109">
        <v>0</v>
      </c>
      <c r="E63" s="109">
        <v>0</v>
      </c>
      <c r="F63" s="109">
        <v>0</v>
      </c>
      <c r="G63" s="109">
        <v>0</v>
      </c>
      <c r="H63" s="109">
        <v>0</v>
      </c>
      <c r="I63" s="109">
        <v>0</v>
      </c>
      <c r="J63" s="75">
        <f t="shared" si="2"/>
        <v>0</v>
      </c>
      <c r="K63" s="75">
        <f t="shared" si="3"/>
        <v>0</v>
      </c>
      <c r="L63" s="109">
        <v>0</v>
      </c>
      <c r="M63" s="110">
        <v>0</v>
      </c>
      <c r="N63" s="844"/>
    </row>
    <row r="64" spans="1:14" ht="12.75" customHeight="1" x14ac:dyDescent="0.25">
      <c r="A64" s="590" t="s">
        <v>1612</v>
      </c>
      <c r="B64" s="73"/>
      <c r="C64" s="1122">
        <f t="shared" ref="C64:M64" si="10">SUM(C65:C69)</f>
        <v>0</v>
      </c>
      <c r="D64" s="132">
        <f t="shared" si="10"/>
        <v>0</v>
      </c>
      <c r="E64" s="132">
        <f t="shared" si="10"/>
        <v>0</v>
      </c>
      <c r="F64" s="132">
        <f t="shared" si="10"/>
        <v>0</v>
      </c>
      <c r="G64" s="132">
        <f t="shared" si="10"/>
        <v>0</v>
      </c>
      <c r="H64" s="132">
        <f t="shared" si="10"/>
        <v>0</v>
      </c>
      <c r="I64" s="132">
        <f t="shared" si="10"/>
        <v>0</v>
      </c>
      <c r="J64" s="75">
        <f t="shared" si="2"/>
        <v>0</v>
      </c>
      <c r="K64" s="75">
        <f t="shared" si="3"/>
        <v>0</v>
      </c>
      <c r="L64" s="132">
        <f t="shared" si="10"/>
        <v>0</v>
      </c>
      <c r="M64" s="133">
        <f t="shared" si="10"/>
        <v>0</v>
      </c>
      <c r="N64" s="128"/>
    </row>
    <row r="65" spans="1:14" ht="12.75" customHeight="1" x14ac:dyDescent="0.25">
      <c r="A65" s="589" t="s">
        <v>1613</v>
      </c>
      <c r="B65" s="73"/>
      <c r="C65" s="109">
        <v>0</v>
      </c>
      <c r="D65" s="109">
        <v>0</v>
      </c>
      <c r="E65" s="109">
        <v>0</v>
      </c>
      <c r="F65" s="109">
        <v>0</v>
      </c>
      <c r="G65" s="109">
        <v>0</v>
      </c>
      <c r="H65" s="109">
        <v>0</v>
      </c>
      <c r="I65" s="109">
        <v>0</v>
      </c>
      <c r="J65" s="75">
        <f t="shared" si="2"/>
        <v>0</v>
      </c>
      <c r="K65" s="75">
        <f t="shared" si="3"/>
        <v>0</v>
      </c>
      <c r="L65" s="109">
        <v>0</v>
      </c>
      <c r="M65" s="110">
        <v>0</v>
      </c>
      <c r="N65" s="839"/>
    </row>
    <row r="66" spans="1:14" ht="12.75" customHeight="1" x14ac:dyDescent="0.25">
      <c r="A66" s="589" t="s">
        <v>1614</v>
      </c>
      <c r="B66" s="73"/>
      <c r="C66" s="109">
        <v>0</v>
      </c>
      <c r="D66" s="109">
        <v>0</v>
      </c>
      <c r="E66" s="109">
        <v>0</v>
      </c>
      <c r="F66" s="109">
        <v>0</v>
      </c>
      <c r="G66" s="109">
        <v>0</v>
      </c>
      <c r="H66" s="109">
        <v>0</v>
      </c>
      <c r="I66" s="109">
        <v>0</v>
      </c>
      <c r="J66" s="75">
        <f t="shared" si="2"/>
        <v>0</v>
      </c>
      <c r="K66" s="75">
        <f t="shared" si="3"/>
        <v>0</v>
      </c>
      <c r="L66" s="109">
        <v>0</v>
      </c>
      <c r="M66" s="110">
        <v>0</v>
      </c>
      <c r="N66" s="839"/>
    </row>
    <row r="67" spans="1:14" ht="12.75" customHeight="1" x14ac:dyDescent="0.25">
      <c r="A67" s="589" t="s">
        <v>1615</v>
      </c>
      <c r="B67" s="73"/>
      <c r="C67" s="109">
        <v>0</v>
      </c>
      <c r="D67" s="109">
        <v>0</v>
      </c>
      <c r="E67" s="109">
        <v>0</v>
      </c>
      <c r="F67" s="109">
        <v>0</v>
      </c>
      <c r="G67" s="109">
        <v>0</v>
      </c>
      <c r="H67" s="109">
        <v>0</v>
      </c>
      <c r="I67" s="109">
        <v>0</v>
      </c>
      <c r="J67" s="75">
        <f t="shared" si="2"/>
        <v>0</v>
      </c>
      <c r="K67" s="75">
        <f t="shared" si="3"/>
        <v>0</v>
      </c>
      <c r="L67" s="109">
        <v>0</v>
      </c>
      <c r="M67" s="110">
        <v>0</v>
      </c>
      <c r="N67" s="844"/>
    </row>
    <row r="68" spans="1:14" ht="12.75" customHeight="1" x14ac:dyDescent="0.25">
      <c r="A68" s="589" t="s">
        <v>1616</v>
      </c>
      <c r="B68" s="73"/>
      <c r="C68" s="109">
        <v>0</v>
      </c>
      <c r="D68" s="109">
        <v>0</v>
      </c>
      <c r="E68" s="109">
        <v>0</v>
      </c>
      <c r="F68" s="109">
        <v>0</v>
      </c>
      <c r="G68" s="109">
        <v>0</v>
      </c>
      <c r="H68" s="109">
        <v>0</v>
      </c>
      <c r="I68" s="109">
        <v>0</v>
      </c>
      <c r="J68" s="75">
        <f t="shared" si="2"/>
        <v>0</v>
      </c>
      <c r="K68" s="75">
        <f t="shared" si="3"/>
        <v>0</v>
      </c>
      <c r="L68" s="109">
        <v>0</v>
      </c>
      <c r="M68" s="110">
        <v>0</v>
      </c>
      <c r="N68" s="839"/>
    </row>
    <row r="69" spans="1:14" ht="12.75" customHeight="1" x14ac:dyDescent="0.25">
      <c r="A69" s="589" t="s">
        <v>1572</v>
      </c>
      <c r="B69" s="73"/>
      <c r="C69" s="109">
        <v>0</v>
      </c>
      <c r="D69" s="109">
        <v>0</v>
      </c>
      <c r="E69" s="109">
        <v>0</v>
      </c>
      <c r="F69" s="109">
        <v>0</v>
      </c>
      <c r="G69" s="109">
        <v>0</v>
      </c>
      <c r="H69" s="109">
        <v>0</v>
      </c>
      <c r="I69" s="109">
        <v>0</v>
      </c>
      <c r="J69" s="75">
        <f t="shared" si="2"/>
        <v>0</v>
      </c>
      <c r="K69" s="75">
        <f t="shared" si="3"/>
        <v>0</v>
      </c>
      <c r="L69" s="109">
        <v>0</v>
      </c>
      <c r="M69" s="110">
        <v>0</v>
      </c>
      <c r="N69" s="844"/>
    </row>
    <row r="70" spans="1:14" ht="12.75" customHeight="1" x14ac:dyDescent="0.25">
      <c r="A70" s="588" t="s">
        <v>1617</v>
      </c>
      <c r="B70" s="73"/>
      <c r="C70" s="132">
        <f t="shared" ref="C70:M70" si="11">SUM(C71:C74)</f>
        <v>1500000</v>
      </c>
      <c r="D70" s="132">
        <f t="shared" si="11"/>
        <v>1500000</v>
      </c>
      <c r="E70" s="132">
        <f t="shared" si="11"/>
        <v>0</v>
      </c>
      <c r="F70" s="132">
        <f t="shared" si="11"/>
        <v>0</v>
      </c>
      <c r="G70" s="132">
        <f t="shared" si="11"/>
        <v>0</v>
      </c>
      <c r="H70" s="132">
        <f t="shared" si="11"/>
        <v>0</v>
      </c>
      <c r="I70" s="132">
        <f t="shared" si="11"/>
        <v>0</v>
      </c>
      <c r="J70" s="75">
        <f t="shared" si="2"/>
        <v>0</v>
      </c>
      <c r="K70" s="75">
        <f t="shared" si="3"/>
        <v>1500000</v>
      </c>
      <c r="L70" s="132">
        <f t="shared" si="11"/>
        <v>293472</v>
      </c>
      <c r="M70" s="133">
        <f t="shared" si="11"/>
        <v>652925</v>
      </c>
      <c r="N70" s="844"/>
    </row>
    <row r="71" spans="1:14" ht="12.75" customHeight="1" x14ac:dyDescent="0.25">
      <c r="A71" s="589" t="s">
        <v>1618</v>
      </c>
      <c r="B71" s="73"/>
      <c r="C71" s="109">
        <v>1500000</v>
      </c>
      <c r="D71" s="109">
        <v>1500000</v>
      </c>
      <c r="E71" s="109">
        <v>0</v>
      </c>
      <c r="F71" s="109">
        <v>0</v>
      </c>
      <c r="G71" s="109">
        <v>0</v>
      </c>
      <c r="H71" s="109">
        <v>0</v>
      </c>
      <c r="I71" s="109">
        <v>0</v>
      </c>
      <c r="J71" s="75">
        <f t="shared" si="2"/>
        <v>0</v>
      </c>
      <c r="K71" s="75">
        <f t="shared" si="3"/>
        <v>1500000</v>
      </c>
      <c r="L71" s="109">
        <v>293472</v>
      </c>
      <c r="M71" s="110">
        <v>652925</v>
      </c>
      <c r="N71" s="844"/>
    </row>
    <row r="72" spans="1:14" ht="12.75" customHeight="1" x14ac:dyDescent="0.25">
      <c r="A72" s="589" t="s">
        <v>1619</v>
      </c>
      <c r="B72" s="73"/>
      <c r="C72" s="109">
        <v>0</v>
      </c>
      <c r="D72" s="109">
        <v>0</v>
      </c>
      <c r="E72" s="109">
        <v>0</v>
      </c>
      <c r="F72" s="109">
        <v>0</v>
      </c>
      <c r="G72" s="109">
        <v>0</v>
      </c>
      <c r="H72" s="109">
        <v>0</v>
      </c>
      <c r="I72" s="109">
        <v>0</v>
      </c>
      <c r="J72" s="75">
        <f t="shared" si="2"/>
        <v>0</v>
      </c>
      <c r="K72" s="75">
        <f t="shared" si="3"/>
        <v>0</v>
      </c>
      <c r="L72" s="109">
        <v>0</v>
      </c>
      <c r="M72" s="110">
        <v>0</v>
      </c>
      <c r="N72" s="844"/>
    </row>
    <row r="73" spans="1:14" ht="12.75" customHeight="1" x14ac:dyDescent="0.25">
      <c r="A73" s="589" t="s">
        <v>1620</v>
      </c>
      <c r="B73" s="73"/>
      <c r="C73" s="109">
        <v>0</v>
      </c>
      <c r="D73" s="109">
        <v>0</v>
      </c>
      <c r="E73" s="109">
        <v>0</v>
      </c>
      <c r="F73" s="109">
        <v>0</v>
      </c>
      <c r="G73" s="109">
        <v>0</v>
      </c>
      <c r="H73" s="109">
        <v>0</v>
      </c>
      <c r="I73" s="109">
        <v>0</v>
      </c>
      <c r="J73" s="75">
        <f t="shared" ref="J73:J136" si="12">SUM(E73:I73)</f>
        <v>0</v>
      </c>
      <c r="K73" s="75">
        <f t="shared" ref="K73:K136" si="13">IF(D73=0,C73+J73,D73+J73)</f>
        <v>0</v>
      </c>
      <c r="L73" s="109">
        <v>0</v>
      </c>
      <c r="M73" s="110">
        <v>0</v>
      </c>
      <c r="N73" s="844"/>
    </row>
    <row r="74" spans="1:14" ht="12.75" customHeight="1" x14ac:dyDescent="0.25">
      <c r="A74" s="589" t="s">
        <v>1572</v>
      </c>
      <c r="B74" s="73"/>
      <c r="C74" s="109">
        <v>0</v>
      </c>
      <c r="D74" s="109">
        <v>0</v>
      </c>
      <c r="E74" s="109">
        <v>0</v>
      </c>
      <c r="F74" s="109">
        <v>0</v>
      </c>
      <c r="G74" s="109">
        <v>0</v>
      </c>
      <c r="H74" s="109">
        <v>0</v>
      </c>
      <c r="I74" s="109">
        <v>0</v>
      </c>
      <c r="J74" s="75">
        <f t="shared" si="12"/>
        <v>0</v>
      </c>
      <c r="K74" s="75">
        <f t="shared" si="13"/>
        <v>0</v>
      </c>
      <c r="L74" s="109">
        <v>0</v>
      </c>
      <c r="M74" s="110">
        <v>0</v>
      </c>
      <c r="N74" s="844"/>
    </row>
    <row r="75" spans="1:14" ht="5.0999999999999996" customHeight="1" x14ac:dyDescent="0.25">
      <c r="A75" s="136"/>
      <c r="B75" s="73"/>
      <c r="C75" s="74"/>
      <c r="D75" s="75"/>
      <c r="E75" s="75"/>
      <c r="F75" s="75"/>
      <c r="G75" s="75"/>
      <c r="H75" s="75"/>
      <c r="I75" s="75"/>
      <c r="J75" s="75"/>
      <c r="K75" s="75"/>
      <c r="L75" s="75"/>
      <c r="M75" s="76"/>
      <c r="N75" s="128"/>
    </row>
    <row r="76" spans="1:14" ht="12.75" customHeight="1" x14ac:dyDescent="0.25">
      <c r="A76" s="486" t="s">
        <v>1621</v>
      </c>
      <c r="B76" s="73"/>
      <c r="C76" s="236">
        <f>+C77+C100</f>
        <v>158596190</v>
      </c>
      <c r="D76" s="237">
        <f>+D77+D100</f>
        <v>132446190</v>
      </c>
      <c r="E76" s="237">
        <f t="shared" ref="E76:M76" si="14">+E77+E100</f>
        <v>0</v>
      </c>
      <c r="F76" s="237">
        <f t="shared" si="14"/>
        <v>0</v>
      </c>
      <c r="G76" s="237">
        <f t="shared" si="14"/>
        <v>0</v>
      </c>
      <c r="H76" s="237">
        <f t="shared" si="14"/>
        <v>0</v>
      </c>
      <c r="I76" s="237">
        <f t="shared" si="14"/>
        <v>-19948265</v>
      </c>
      <c r="J76" s="145">
        <f t="shared" si="12"/>
        <v>-19948265</v>
      </c>
      <c r="K76" s="145">
        <f t="shared" si="13"/>
        <v>112497925</v>
      </c>
      <c r="L76" s="237">
        <f t="shared" si="14"/>
        <v>82660060</v>
      </c>
      <c r="M76" s="238">
        <f t="shared" si="14"/>
        <v>50214720</v>
      </c>
      <c r="N76" s="128"/>
    </row>
    <row r="77" spans="1:14" ht="12.75" customHeight="1" x14ac:dyDescent="0.25">
      <c r="A77" s="588" t="s">
        <v>1622</v>
      </c>
      <c r="B77" s="73"/>
      <c r="C77" s="132">
        <f>SUM(C78:C99)</f>
        <v>113596190</v>
      </c>
      <c r="D77" s="132">
        <f>SUM(D78:D99)</f>
        <v>87446190</v>
      </c>
      <c r="E77" s="132">
        <f t="shared" ref="E77:M77" si="15">SUM(E78:E99)</f>
        <v>0</v>
      </c>
      <c r="F77" s="132">
        <f t="shared" si="15"/>
        <v>0</v>
      </c>
      <c r="G77" s="132">
        <f t="shared" si="15"/>
        <v>0</v>
      </c>
      <c r="H77" s="132">
        <f t="shared" si="15"/>
        <v>0</v>
      </c>
      <c r="I77" s="132">
        <f t="shared" si="15"/>
        <v>-4288901</v>
      </c>
      <c r="J77" s="75">
        <f t="shared" si="12"/>
        <v>-4288901</v>
      </c>
      <c r="K77" s="75">
        <f t="shared" si="13"/>
        <v>83157289</v>
      </c>
      <c r="L77" s="132">
        <f t="shared" si="15"/>
        <v>42660060</v>
      </c>
      <c r="M77" s="133">
        <f t="shared" si="15"/>
        <v>29855270</v>
      </c>
      <c r="N77" s="844"/>
    </row>
    <row r="78" spans="1:14" ht="12.75" customHeight="1" x14ac:dyDescent="0.25">
      <c r="A78" s="589" t="s">
        <v>1623</v>
      </c>
      <c r="B78" s="73"/>
      <c r="C78" s="130">
        <v>0</v>
      </c>
      <c r="D78" s="109">
        <v>0</v>
      </c>
      <c r="E78" s="109">
        <v>0</v>
      </c>
      <c r="F78" s="109">
        <v>0</v>
      </c>
      <c r="G78" s="109">
        <v>0</v>
      </c>
      <c r="H78" s="109">
        <v>0</v>
      </c>
      <c r="I78" s="109">
        <v>0</v>
      </c>
      <c r="J78" s="75">
        <f t="shared" si="12"/>
        <v>0</v>
      </c>
      <c r="K78" s="75">
        <f t="shared" si="13"/>
        <v>0</v>
      </c>
      <c r="L78" s="109">
        <v>1000000</v>
      </c>
      <c r="M78" s="110">
        <v>2000000</v>
      </c>
      <c r="N78" s="128"/>
    </row>
    <row r="79" spans="1:14" ht="12.75" customHeight="1" x14ac:dyDescent="0.25">
      <c r="A79" s="589" t="s">
        <v>1624</v>
      </c>
      <c r="B79" s="73"/>
      <c r="C79" s="130">
        <v>2578065</v>
      </c>
      <c r="D79" s="109">
        <v>2578065</v>
      </c>
      <c r="E79" s="109">
        <v>0</v>
      </c>
      <c r="F79" s="109">
        <v>0</v>
      </c>
      <c r="G79" s="109">
        <v>0</v>
      </c>
      <c r="H79" s="109">
        <v>0</v>
      </c>
      <c r="I79" s="109">
        <v>-1000000</v>
      </c>
      <c r="J79" s="75">
        <f t="shared" si="12"/>
        <v>-1000000</v>
      </c>
      <c r="K79" s="75">
        <f t="shared" si="13"/>
        <v>1578065</v>
      </c>
      <c r="L79" s="109">
        <v>7477703</v>
      </c>
      <c r="M79" s="110">
        <v>3503455</v>
      </c>
      <c r="N79" s="128"/>
    </row>
    <row r="80" spans="1:14" ht="12.75" customHeight="1" x14ac:dyDescent="0.25">
      <c r="A80" s="589" t="s">
        <v>1625</v>
      </c>
      <c r="B80" s="73"/>
      <c r="C80" s="130">
        <v>0</v>
      </c>
      <c r="D80" s="109">
        <v>0</v>
      </c>
      <c r="E80" s="109">
        <v>0</v>
      </c>
      <c r="F80" s="109">
        <v>0</v>
      </c>
      <c r="G80" s="109">
        <v>0</v>
      </c>
      <c r="H80" s="109">
        <v>0</v>
      </c>
      <c r="I80" s="109">
        <v>0</v>
      </c>
      <c r="J80" s="75">
        <f t="shared" si="12"/>
        <v>0</v>
      </c>
      <c r="K80" s="75">
        <f t="shared" si="13"/>
        <v>0</v>
      </c>
      <c r="L80" s="109">
        <v>0</v>
      </c>
      <c r="M80" s="110">
        <v>0</v>
      </c>
      <c r="N80" s="128"/>
    </row>
    <row r="81" spans="1:14" ht="12.75" customHeight="1" x14ac:dyDescent="0.25">
      <c r="A81" s="589" t="s">
        <v>1626</v>
      </c>
      <c r="B81" s="73"/>
      <c r="C81" s="130">
        <v>0</v>
      </c>
      <c r="D81" s="109">
        <v>0</v>
      </c>
      <c r="E81" s="109">
        <v>0</v>
      </c>
      <c r="F81" s="109">
        <v>0</v>
      </c>
      <c r="G81" s="109">
        <v>0</v>
      </c>
      <c r="H81" s="109">
        <v>0</v>
      </c>
      <c r="I81" s="109">
        <v>0</v>
      </c>
      <c r="J81" s="75">
        <f t="shared" si="12"/>
        <v>0</v>
      </c>
      <c r="K81" s="75">
        <f t="shared" si="13"/>
        <v>0</v>
      </c>
      <c r="L81" s="109">
        <v>0</v>
      </c>
      <c r="M81" s="110">
        <v>0</v>
      </c>
      <c r="N81" s="128"/>
    </row>
    <row r="82" spans="1:14" ht="12.75" customHeight="1" x14ac:dyDescent="0.25">
      <c r="A82" s="589" t="s">
        <v>1627</v>
      </c>
      <c r="B82" s="73"/>
      <c r="C82" s="130">
        <v>168035</v>
      </c>
      <c r="D82" s="109">
        <v>168035</v>
      </c>
      <c r="E82" s="109">
        <v>0</v>
      </c>
      <c r="F82" s="109">
        <v>0</v>
      </c>
      <c r="G82" s="109">
        <v>0</v>
      </c>
      <c r="H82" s="109">
        <v>0</v>
      </c>
      <c r="I82" s="109">
        <v>-168035</v>
      </c>
      <c r="J82" s="75">
        <f t="shared" si="12"/>
        <v>-168035</v>
      </c>
      <c r="K82" s="75">
        <f t="shared" si="13"/>
        <v>0</v>
      </c>
      <c r="L82" s="109">
        <v>729295</v>
      </c>
      <c r="M82" s="110">
        <v>1606196</v>
      </c>
      <c r="N82" s="128"/>
    </row>
    <row r="83" spans="1:14" ht="12.75" customHeight="1" x14ac:dyDescent="0.25">
      <c r="A83" s="589" t="s">
        <v>1628</v>
      </c>
      <c r="B83" s="73"/>
      <c r="C83" s="130">
        <v>3150000</v>
      </c>
      <c r="D83" s="109">
        <v>23650000</v>
      </c>
      <c r="E83" s="109">
        <v>0</v>
      </c>
      <c r="F83" s="109">
        <v>0</v>
      </c>
      <c r="G83" s="109">
        <v>0</v>
      </c>
      <c r="H83" s="109">
        <v>0</v>
      </c>
      <c r="I83" s="109">
        <v>-10685000</v>
      </c>
      <c r="J83" s="75">
        <f t="shared" si="12"/>
        <v>-10685000</v>
      </c>
      <c r="K83" s="75">
        <f t="shared" si="13"/>
        <v>12965000</v>
      </c>
      <c r="L83" s="109">
        <v>0</v>
      </c>
      <c r="M83" s="110">
        <v>1567020</v>
      </c>
      <c r="N83" s="128"/>
    </row>
    <row r="84" spans="1:14" ht="12.75" customHeight="1" x14ac:dyDescent="0.25">
      <c r="A84" s="589" t="s">
        <v>1629</v>
      </c>
      <c r="B84" s="73"/>
      <c r="C84" s="130">
        <v>156000</v>
      </c>
      <c r="D84" s="109">
        <v>156000</v>
      </c>
      <c r="E84" s="109">
        <v>0</v>
      </c>
      <c r="F84" s="109">
        <v>0</v>
      </c>
      <c r="G84" s="109">
        <v>0</v>
      </c>
      <c r="H84" s="109">
        <v>0</v>
      </c>
      <c r="I84" s="109">
        <v>-56000</v>
      </c>
      <c r="J84" s="75">
        <f t="shared" si="12"/>
        <v>-56000</v>
      </c>
      <c r="K84" s="75">
        <f t="shared" si="13"/>
        <v>100000</v>
      </c>
      <c r="L84" s="109">
        <v>168386</v>
      </c>
      <c r="M84" s="110">
        <v>700000</v>
      </c>
      <c r="N84" s="128"/>
    </row>
    <row r="85" spans="1:14" ht="12.75" customHeight="1" x14ac:dyDescent="0.25">
      <c r="A85" s="589" t="s">
        <v>1630</v>
      </c>
      <c r="B85" s="73"/>
      <c r="C85" s="130">
        <v>0</v>
      </c>
      <c r="D85" s="109">
        <v>0</v>
      </c>
      <c r="E85" s="109">
        <v>0</v>
      </c>
      <c r="F85" s="109">
        <v>0</v>
      </c>
      <c r="G85" s="109">
        <v>0</v>
      </c>
      <c r="H85" s="109">
        <v>0</v>
      </c>
      <c r="I85" s="109">
        <v>0</v>
      </c>
      <c r="J85" s="75">
        <f t="shared" si="12"/>
        <v>0</v>
      </c>
      <c r="K85" s="75">
        <f t="shared" si="13"/>
        <v>0</v>
      </c>
      <c r="L85" s="109">
        <v>0</v>
      </c>
      <c r="M85" s="110">
        <v>0</v>
      </c>
      <c r="N85" s="128"/>
    </row>
    <row r="86" spans="1:14" ht="12.75" customHeight="1" x14ac:dyDescent="0.25">
      <c r="A86" s="589" t="s">
        <v>1512</v>
      </c>
      <c r="B86" s="73"/>
      <c r="C86" s="130">
        <v>0</v>
      </c>
      <c r="D86" s="109">
        <v>0</v>
      </c>
      <c r="E86" s="109">
        <v>0</v>
      </c>
      <c r="F86" s="109">
        <v>0</v>
      </c>
      <c r="G86" s="109">
        <v>0</v>
      </c>
      <c r="H86" s="109">
        <v>0</v>
      </c>
      <c r="I86" s="109">
        <v>0</v>
      </c>
      <c r="J86" s="75">
        <f t="shared" si="12"/>
        <v>0</v>
      </c>
      <c r="K86" s="75">
        <f t="shared" si="13"/>
        <v>0</v>
      </c>
      <c r="L86" s="109">
        <v>0</v>
      </c>
      <c r="M86" s="110">
        <v>0</v>
      </c>
      <c r="N86" s="128"/>
    </row>
    <row r="87" spans="1:14" ht="12.75" customHeight="1" x14ac:dyDescent="0.25">
      <c r="A87" s="589" t="s">
        <v>492</v>
      </c>
      <c r="B87" s="73"/>
      <c r="C87" s="130">
        <v>100000</v>
      </c>
      <c r="D87" s="109">
        <v>100000</v>
      </c>
      <c r="E87" s="109">
        <v>0</v>
      </c>
      <c r="F87" s="109">
        <v>0</v>
      </c>
      <c r="G87" s="109">
        <v>0</v>
      </c>
      <c r="H87" s="109">
        <v>0</v>
      </c>
      <c r="I87" s="109"/>
      <c r="J87" s="75">
        <f t="shared" si="12"/>
        <v>0</v>
      </c>
      <c r="K87" s="75">
        <f t="shared" si="13"/>
        <v>100000</v>
      </c>
      <c r="L87" s="109">
        <v>200000</v>
      </c>
      <c r="M87" s="110">
        <v>719949</v>
      </c>
      <c r="N87" s="128"/>
    </row>
    <row r="88" spans="1:14" ht="12.75" customHeight="1" x14ac:dyDescent="0.25">
      <c r="A88" s="589" t="s">
        <v>1631</v>
      </c>
      <c r="B88" s="73"/>
      <c r="C88" s="130">
        <v>0</v>
      </c>
      <c r="D88" s="109">
        <v>0</v>
      </c>
      <c r="E88" s="109">
        <v>0</v>
      </c>
      <c r="F88" s="109">
        <v>0</v>
      </c>
      <c r="G88" s="109">
        <v>0</v>
      </c>
      <c r="H88" s="109">
        <v>0</v>
      </c>
      <c r="I88" s="109">
        <v>0</v>
      </c>
      <c r="J88" s="75">
        <f t="shared" si="12"/>
        <v>0</v>
      </c>
      <c r="K88" s="75">
        <f t="shared" si="13"/>
        <v>0</v>
      </c>
      <c r="L88" s="109">
        <v>0</v>
      </c>
      <c r="M88" s="110">
        <v>0</v>
      </c>
      <c r="N88" s="128"/>
    </row>
    <row r="89" spans="1:14" ht="12.75" customHeight="1" x14ac:dyDescent="0.25">
      <c r="A89" s="589" t="s">
        <v>1632</v>
      </c>
      <c r="B89" s="73"/>
      <c r="C89" s="130">
        <v>872803</v>
      </c>
      <c r="D89" s="109">
        <v>872803</v>
      </c>
      <c r="E89" s="109">
        <v>0</v>
      </c>
      <c r="F89" s="109">
        <v>0</v>
      </c>
      <c r="G89" s="109">
        <v>0</v>
      </c>
      <c r="H89" s="109">
        <v>0</v>
      </c>
      <c r="I89" s="109">
        <v>-825309</v>
      </c>
      <c r="J89" s="75">
        <f t="shared" si="12"/>
        <v>-825309</v>
      </c>
      <c r="K89" s="75">
        <f t="shared" si="13"/>
        <v>47494</v>
      </c>
      <c r="L89" s="109">
        <v>739384</v>
      </c>
      <c r="M89" s="110">
        <v>6533138</v>
      </c>
      <c r="N89" s="128"/>
    </row>
    <row r="90" spans="1:14" ht="12.75" customHeight="1" x14ac:dyDescent="0.25">
      <c r="A90" s="589" t="s">
        <v>1633</v>
      </c>
      <c r="B90" s="73"/>
      <c r="C90" s="130">
        <v>0</v>
      </c>
      <c r="D90" s="109">
        <v>0</v>
      </c>
      <c r="E90" s="109">
        <v>0</v>
      </c>
      <c r="F90" s="109">
        <v>0</v>
      </c>
      <c r="G90" s="109">
        <v>0</v>
      </c>
      <c r="H90" s="109">
        <v>0</v>
      </c>
      <c r="I90" s="109">
        <v>0</v>
      </c>
      <c r="J90" s="75">
        <f t="shared" si="12"/>
        <v>0</v>
      </c>
      <c r="K90" s="75">
        <f t="shared" si="13"/>
        <v>0</v>
      </c>
      <c r="L90" s="109">
        <v>0</v>
      </c>
      <c r="M90" s="110">
        <v>0</v>
      </c>
      <c r="N90" s="128"/>
    </row>
    <row r="91" spans="1:14" ht="12.75" customHeight="1" x14ac:dyDescent="0.25">
      <c r="A91" s="589" t="s">
        <v>1634</v>
      </c>
      <c r="B91" s="73"/>
      <c r="C91" s="130">
        <v>0</v>
      </c>
      <c r="D91" s="109">
        <v>0</v>
      </c>
      <c r="E91" s="109">
        <v>0</v>
      </c>
      <c r="F91" s="109">
        <v>0</v>
      </c>
      <c r="G91" s="109">
        <v>0</v>
      </c>
      <c r="H91" s="109">
        <v>0</v>
      </c>
      <c r="I91" s="109">
        <v>0</v>
      </c>
      <c r="J91" s="75">
        <f t="shared" si="12"/>
        <v>0</v>
      </c>
      <c r="K91" s="75">
        <f t="shared" si="13"/>
        <v>0</v>
      </c>
      <c r="L91" s="109">
        <v>531292</v>
      </c>
      <c r="M91" s="110">
        <v>1000000</v>
      </c>
      <c r="N91" s="128"/>
    </row>
    <row r="92" spans="1:14" ht="12.75" customHeight="1" x14ac:dyDescent="0.25">
      <c r="A92" s="589" t="s">
        <v>1635</v>
      </c>
      <c r="B92" s="73"/>
      <c r="C92" s="130">
        <v>0</v>
      </c>
      <c r="D92" s="109">
        <v>0</v>
      </c>
      <c r="E92" s="109">
        <v>0</v>
      </c>
      <c r="F92" s="109">
        <v>0</v>
      </c>
      <c r="G92" s="109">
        <v>0</v>
      </c>
      <c r="H92" s="109">
        <v>0</v>
      </c>
      <c r="I92" s="109">
        <v>0</v>
      </c>
      <c r="J92" s="75">
        <f t="shared" si="12"/>
        <v>0</v>
      </c>
      <c r="K92" s="75">
        <f t="shared" si="13"/>
        <v>0</v>
      </c>
      <c r="L92" s="109">
        <v>0</v>
      </c>
      <c r="M92" s="110">
        <v>0</v>
      </c>
      <c r="N92" s="128"/>
    </row>
    <row r="93" spans="1:14" ht="12.75" customHeight="1" x14ac:dyDescent="0.25">
      <c r="A93" s="589" t="s">
        <v>1636</v>
      </c>
      <c r="B93" s="73"/>
      <c r="C93" s="130">
        <v>320309</v>
      </c>
      <c r="D93" s="109">
        <v>320309</v>
      </c>
      <c r="E93" s="109">
        <v>0</v>
      </c>
      <c r="F93" s="109">
        <v>0</v>
      </c>
      <c r="G93" s="109">
        <v>0</v>
      </c>
      <c r="H93" s="109">
        <v>0</v>
      </c>
      <c r="I93" s="109">
        <v>0</v>
      </c>
      <c r="J93" s="75">
        <f t="shared" si="12"/>
        <v>0</v>
      </c>
      <c r="K93" s="75">
        <f t="shared" si="13"/>
        <v>320309</v>
      </c>
      <c r="L93" s="109">
        <v>0</v>
      </c>
      <c r="M93" s="110">
        <v>200000</v>
      </c>
      <c r="N93" s="128"/>
    </row>
    <row r="94" spans="1:14" ht="12.75" customHeight="1" x14ac:dyDescent="0.25">
      <c r="A94" s="589" t="s">
        <v>508</v>
      </c>
      <c r="B94" s="73"/>
      <c r="C94" s="130">
        <v>0</v>
      </c>
      <c r="D94" s="109">
        <v>0</v>
      </c>
      <c r="E94" s="109">
        <v>0</v>
      </c>
      <c r="F94" s="109">
        <v>0</v>
      </c>
      <c r="G94" s="109">
        <v>0</v>
      </c>
      <c r="H94" s="109">
        <v>0</v>
      </c>
      <c r="I94" s="109">
        <v>0</v>
      </c>
      <c r="J94" s="75">
        <f t="shared" si="12"/>
        <v>0</v>
      </c>
      <c r="K94" s="75">
        <f t="shared" si="13"/>
        <v>0</v>
      </c>
      <c r="L94" s="109">
        <v>1000000</v>
      </c>
      <c r="M94" s="110">
        <v>2000000</v>
      </c>
      <c r="N94" s="128"/>
    </row>
    <row r="95" spans="1:14" ht="12.75" customHeight="1" x14ac:dyDescent="0.25">
      <c r="A95" s="589" t="s">
        <v>1637</v>
      </c>
      <c r="B95" s="73"/>
      <c r="C95" s="130">
        <v>0</v>
      </c>
      <c r="D95" s="109">
        <v>0</v>
      </c>
      <c r="E95" s="109">
        <v>0</v>
      </c>
      <c r="F95" s="109">
        <v>0</v>
      </c>
      <c r="G95" s="109">
        <v>0</v>
      </c>
      <c r="H95" s="109">
        <v>0</v>
      </c>
      <c r="I95" s="109">
        <v>0</v>
      </c>
      <c r="J95" s="75">
        <f t="shared" si="12"/>
        <v>0</v>
      </c>
      <c r="K95" s="75">
        <f t="shared" si="13"/>
        <v>0</v>
      </c>
      <c r="L95" s="109">
        <v>0</v>
      </c>
      <c r="M95" s="110">
        <v>0</v>
      </c>
      <c r="N95" s="128"/>
    </row>
    <row r="96" spans="1:14" ht="12.75" customHeight="1" x14ac:dyDescent="0.25">
      <c r="A96" s="589" t="s">
        <v>507</v>
      </c>
      <c r="B96" s="73"/>
      <c r="C96" s="130">
        <v>0</v>
      </c>
      <c r="D96" s="109">
        <v>0</v>
      </c>
      <c r="E96" s="109">
        <v>0</v>
      </c>
      <c r="F96" s="109">
        <v>0</v>
      </c>
      <c r="G96" s="109">
        <v>0</v>
      </c>
      <c r="H96" s="109">
        <v>0</v>
      </c>
      <c r="I96" s="109">
        <v>0</v>
      </c>
      <c r="J96" s="75">
        <f t="shared" si="12"/>
        <v>0</v>
      </c>
      <c r="K96" s="75">
        <f t="shared" si="13"/>
        <v>0</v>
      </c>
      <c r="L96" s="109">
        <v>0</v>
      </c>
      <c r="M96" s="110">
        <v>0</v>
      </c>
      <c r="N96" s="844"/>
    </row>
    <row r="97" spans="1:14" ht="12.75" customHeight="1" x14ac:dyDescent="0.25">
      <c r="A97" s="589" t="s">
        <v>1638</v>
      </c>
      <c r="B97" s="73"/>
      <c r="C97" s="130">
        <v>0</v>
      </c>
      <c r="D97" s="109">
        <v>0</v>
      </c>
      <c r="E97" s="109">
        <v>0</v>
      </c>
      <c r="F97" s="109">
        <v>0</v>
      </c>
      <c r="G97" s="109">
        <v>0</v>
      </c>
      <c r="H97" s="109">
        <v>0</v>
      </c>
      <c r="I97" s="109">
        <v>0</v>
      </c>
      <c r="J97" s="75">
        <f t="shared" si="12"/>
        <v>0</v>
      </c>
      <c r="K97" s="75">
        <f t="shared" si="13"/>
        <v>0</v>
      </c>
      <c r="L97" s="109">
        <v>0</v>
      </c>
      <c r="M97" s="110">
        <v>0</v>
      </c>
      <c r="N97" s="128"/>
    </row>
    <row r="98" spans="1:14" ht="12.75" customHeight="1" x14ac:dyDescent="0.25">
      <c r="A98" s="589" t="s">
        <v>1639</v>
      </c>
      <c r="B98" s="73"/>
      <c r="C98" s="130">
        <v>106000000</v>
      </c>
      <c r="D98" s="109">
        <v>59350000</v>
      </c>
      <c r="E98" s="109">
        <v>0</v>
      </c>
      <c r="F98" s="109">
        <v>0</v>
      </c>
      <c r="G98" s="109">
        <v>0</v>
      </c>
      <c r="H98" s="109">
        <v>0</v>
      </c>
      <c r="I98" s="109">
        <v>8495443</v>
      </c>
      <c r="J98" s="75">
        <f t="shared" si="12"/>
        <v>8495443</v>
      </c>
      <c r="K98" s="75">
        <f t="shared" si="13"/>
        <v>67845443</v>
      </c>
      <c r="L98" s="109">
        <v>30814000</v>
      </c>
      <c r="M98" s="110">
        <v>10000000</v>
      </c>
      <c r="N98" s="128"/>
    </row>
    <row r="99" spans="1:14" ht="12.75" customHeight="1" x14ac:dyDescent="0.25">
      <c r="A99" s="589" t="s">
        <v>1572</v>
      </c>
      <c r="B99" s="73"/>
      <c r="C99" s="130">
        <v>250978</v>
      </c>
      <c r="D99" s="109">
        <v>250978</v>
      </c>
      <c r="E99" s="109">
        <v>0</v>
      </c>
      <c r="F99" s="109">
        <v>0</v>
      </c>
      <c r="G99" s="109">
        <v>0</v>
      </c>
      <c r="H99" s="109">
        <v>0</v>
      </c>
      <c r="I99" s="109">
        <v>-50000</v>
      </c>
      <c r="J99" s="75">
        <f t="shared" si="12"/>
        <v>-50000</v>
      </c>
      <c r="K99" s="75">
        <f t="shared" si="13"/>
        <v>200978</v>
      </c>
      <c r="L99" s="109">
        <v>0</v>
      </c>
      <c r="M99" s="110">
        <v>25512</v>
      </c>
      <c r="N99" s="128"/>
    </row>
    <row r="100" spans="1:14" ht="10.15" customHeight="1" x14ac:dyDescent="0.25">
      <c r="A100" s="588" t="s">
        <v>1640</v>
      </c>
      <c r="B100" s="73"/>
      <c r="C100" s="140">
        <f>SUM(C101:C103)</f>
        <v>45000000</v>
      </c>
      <c r="D100" s="141">
        <f t="shared" ref="D100:M100" si="16">SUM(D101:D103)</f>
        <v>45000000</v>
      </c>
      <c r="E100" s="141">
        <f t="shared" si="16"/>
        <v>0</v>
      </c>
      <c r="F100" s="141">
        <f t="shared" si="16"/>
        <v>0</v>
      </c>
      <c r="G100" s="141">
        <f t="shared" si="16"/>
        <v>0</v>
      </c>
      <c r="H100" s="141">
        <f t="shared" si="16"/>
        <v>0</v>
      </c>
      <c r="I100" s="141">
        <f t="shared" si="16"/>
        <v>-15659364</v>
      </c>
      <c r="J100" s="141">
        <f t="shared" si="12"/>
        <v>-15659364</v>
      </c>
      <c r="K100" s="141">
        <f t="shared" si="13"/>
        <v>29340636</v>
      </c>
      <c r="L100" s="141">
        <f t="shared" si="16"/>
        <v>40000000</v>
      </c>
      <c r="M100" s="142">
        <f t="shared" si="16"/>
        <v>20359450</v>
      </c>
      <c r="N100" s="128"/>
    </row>
    <row r="101" spans="1:14" ht="12.75" customHeight="1" x14ac:dyDescent="0.25">
      <c r="A101" s="589" t="s">
        <v>1641</v>
      </c>
      <c r="B101" s="73"/>
      <c r="C101" s="130">
        <v>0</v>
      </c>
      <c r="D101" s="109">
        <v>0</v>
      </c>
      <c r="E101" s="109">
        <v>0</v>
      </c>
      <c r="F101" s="109">
        <v>0</v>
      </c>
      <c r="G101" s="109">
        <v>0</v>
      </c>
      <c r="H101" s="109">
        <v>0</v>
      </c>
      <c r="I101" s="109">
        <v>0</v>
      </c>
      <c r="J101" s="75">
        <f t="shared" si="12"/>
        <v>0</v>
      </c>
      <c r="K101" s="75">
        <f t="shared" si="13"/>
        <v>0</v>
      </c>
      <c r="L101" s="109">
        <v>0</v>
      </c>
      <c r="M101" s="110">
        <v>0</v>
      </c>
      <c r="N101" s="128"/>
    </row>
    <row r="102" spans="1:14" ht="12.75" customHeight="1" x14ac:dyDescent="0.25">
      <c r="A102" s="589" t="s">
        <v>1642</v>
      </c>
      <c r="B102" s="73"/>
      <c r="C102" s="130">
        <v>45000000</v>
      </c>
      <c r="D102" s="109">
        <v>45000000</v>
      </c>
      <c r="E102" s="109">
        <v>0</v>
      </c>
      <c r="F102" s="109">
        <v>0</v>
      </c>
      <c r="G102" s="109">
        <v>0</v>
      </c>
      <c r="H102" s="109">
        <v>0</v>
      </c>
      <c r="I102" s="109">
        <v>-15659364</v>
      </c>
      <c r="J102" s="75">
        <f t="shared" si="12"/>
        <v>-15659364</v>
      </c>
      <c r="K102" s="75">
        <f t="shared" si="13"/>
        <v>29340636</v>
      </c>
      <c r="L102" s="109">
        <v>40000000</v>
      </c>
      <c r="M102" s="110">
        <v>20359450</v>
      </c>
      <c r="N102" s="128"/>
    </row>
    <row r="103" spans="1:14" ht="12.75" customHeight="1" x14ac:dyDescent="0.25">
      <c r="A103" s="589" t="s">
        <v>1572</v>
      </c>
      <c r="B103" s="73"/>
      <c r="C103" s="130">
        <v>0</v>
      </c>
      <c r="D103" s="109">
        <v>0</v>
      </c>
      <c r="E103" s="109">
        <v>0</v>
      </c>
      <c r="F103" s="109">
        <v>0</v>
      </c>
      <c r="G103" s="109">
        <v>0</v>
      </c>
      <c r="H103" s="109">
        <v>0</v>
      </c>
      <c r="I103" s="109">
        <v>0</v>
      </c>
      <c r="J103" s="75">
        <f t="shared" si="12"/>
        <v>0</v>
      </c>
      <c r="K103" s="75">
        <f t="shared" si="13"/>
        <v>0</v>
      </c>
      <c r="L103" s="109">
        <v>0</v>
      </c>
      <c r="M103" s="110">
        <v>0</v>
      </c>
      <c r="N103" s="128"/>
    </row>
    <row r="104" spans="1:14" ht="5.0999999999999996" customHeight="1" x14ac:dyDescent="0.25">
      <c r="A104" s="136"/>
      <c r="B104" s="73"/>
      <c r="C104" s="619"/>
      <c r="D104" s="171"/>
      <c r="E104" s="171"/>
      <c r="F104" s="171"/>
      <c r="G104" s="171"/>
      <c r="H104" s="171"/>
      <c r="I104" s="171"/>
      <c r="J104" s="75"/>
      <c r="K104" s="75"/>
      <c r="L104" s="75"/>
      <c r="M104" s="76"/>
      <c r="N104" s="128"/>
    </row>
    <row r="105" spans="1:14" ht="12.75" customHeight="1" x14ac:dyDescent="0.25">
      <c r="A105" s="486" t="s">
        <v>765</v>
      </c>
      <c r="B105" s="73"/>
      <c r="C105" s="236">
        <f t="shared" ref="C105:M105" si="17">SUM(C106:C110)</f>
        <v>0</v>
      </c>
      <c r="D105" s="237">
        <f t="shared" si="17"/>
        <v>0</v>
      </c>
      <c r="E105" s="237">
        <f t="shared" si="17"/>
        <v>0</v>
      </c>
      <c r="F105" s="237">
        <f t="shared" si="17"/>
        <v>0</v>
      </c>
      <c r="G105" s="237">
        <f t="shared" si="17"/>
        <v>0</v>
      </c>
      <c r="H105" s="237">
        <f t="shared" si="17"/>
        <v>0</v>
      </c>
      <c r="I105" s="237">
        <f t="shared" si="17"/>
        <v>0</v>
      </c>
      <c r="J105" s="237">
        <f t="shared" si="12"/>
        <v>0</v>
      </c>
      <c r="K105" s="237">
        <f t="shared" si="13"/>
        <v>0</v>
      </c>
      <c r="L105" s="237">
        <f t="shared" si="17"/>
        <v>0</v>
      </c>
      <c r="M105" s="238">
        <f t="shared" si="17"/>
        <v>0</v>
      </c>
      <c r="N105" s="128"/>
    </row>
    <row r="106" spans="1:14" ht="12.75" customHeight="1" x14ac:dyDescent="0.25">
      <c r="A106" s="588" t="s">
        <v>1643</v>
      </c>
      <c r="B106" s="73"/>
      <c r="C106" s="130">
        <v>0</v>
      </c>
      <c r="D106" s="109">
        <v>0</v>
      </c>
      <c r="E106" s="109">
        <v>0</v>
      </c>
      <c r="F106" s="109">
        <v>0</v>
      </c>
      <c r="G106" s="109">
        <v>0</v>
      </c>
      <c r="H106" s="109">
        <v>0</v>
      </c>
      <c r="I106" s="109">
        <v>0</v>
      </c>
      <c r="J106" s="75">
        <f t="shared" si="12"/>
        <v>0</v>
      </c>
      <c r="K106" s="75">
        <f t="shared" si="13"/>
        <v>0</v>
      </c>
      <c r="L106" s="109">
        <v>0</v>
      </c>
      <c r="M106" s="110">
        <v>0</v>
      </c>
      <c r="N106" s="128"/>
    </row>
    <row r="107" spans="1:14" ht="12.75" customHeight="1" x14ac:dyDescent="0.25">
      <c r="A107" s="590" t="s">
        <v>1644</v>
      </c>
      <c r="B107" s="73"/>
      <c r="C107" s="130">
        <v>0</v>
      </c>
      <c r="D107" s="109">
        <v>0</v>
      </c>
      <c r="E107" s="109">
        <v>0</v>
      </c>
      <c r="F107" s="109">
        <v>0</v>
      </c>
      <c r="G107" s="109">
        <v>0</v>
      </c>
      <c r="H107" s="109">
        <v>0</v>
      </c>
      <c r="I107" s="109">
        <v>0</v>
      </c>
      <c r="J107" s="75">
        <f t="shared" si="12"/>
        <v>0</v>
      </c>
      <c r="K107" s="75">
        <f t="shared" si="13"/>
        <v>0</v>
      </c>
      <c r="L107" s="109">
        <v>0</v>
      </c>
      <c r="M107" s="110">
        <v>0</v>
      </c>
      <c r="N107" s="128"/>
    </row>
    <row r="108" spans="1:14" ht="12.75" customHeight="1" x14ac:dyDescent="0.25">
      <c r="A108" s="588" t="s">
        <v>1645</v>
      </c>
      <c r="B108" s="73"/>
      <c r="C108" s="130">
        <v>0</v>
      </c>
      <c r="D108" s="109">
        <v>0</v>
      </c>
      <c r="E108" s="109">
        <v>0</v>
      </c>
      <c r="F108" s="109">
        <v>0</v>
      </c>
      <c r="G108" s="109">
        <v>0</v>
      </c>
      <c r="H108" s="109">
        <v>0</v>
      </c>
      <c r="I108" s="109">
        <v>0</v>
      </c>
      <c r="J108" s="75">
        <f t="shared" si="12"/>
        <v>0</v>
      </c>
      <c r="K108" s="75">
        <f t="shared" si="13"/>
        <v>0</v>
      </c>
      <c r="L108" s="109">
        <v>0</v>
      </c>
      <c r="M108" s="110">
        <v>0</v>
      </c>
      <c r="N108" s="128"/>
    </row>
    <row r="109" spans="1:14" ht="12.75" customHeight="1" x14ac:dyDescent="0.25">
      <c r="A109" s="588" t="s">
        <v>1646</v>
      </c>
      <c r="B109" s="73"/>
      <c r="C109" s="130">
        <v>0</v>
      </c>
      <c r="D109" s="109">
        <v>0</v>
      </c>
      <c r="E109" s="109">
        <v>0</v>
      </c>
      <c r="F109" s="109">
        <v>0</v>
      </c>
      <c r="G109" s="109">
        <v>0</v>
      </c>
      <c r="H109" s="109">
        <v>0</v>
      </c>
      <c r="I109" s="109">
        <v>0</v>
      </c>
      <c r="J109" s="75">
        <f t="shared" si="12"/>
        <v>0</v>
      </c>
      <c r="K109" s="75">
        <f t="shared" si="13"/>
        <v>0</v>
      </c>
      <c r="L109" s="109">
        <v>0</v>
      </c>
      <c r="M109" s="110">
        <v>0</v>
      </c>
      <c r="N109" s="128"/>
    </row>
    <row r="110" spans="1:14" ht="12.75" customHeight="1" x14ac:dyDescent="0.25">
      <c r="A110" s="590" t="s">
        <v>1647</v>
      </c>
      <c r="B110" s="73"/>
      <c r="C110" s="130">
        <v>0</v>
      </c>
      <c r="D110" s="109">
        <v>0</v>
      </c>
      <c r="E110" s="109">
        <v>0</v>
      </c>
      <c r="F110" s="109">
        <v>0</v>
      </c>
      <c r="G110" s="109">
        <v>0</v>
      </c>
      <c r="H110" s="109">
        <v>0</v>
      </c>
      <c r="I110" s="109">
        <v>0</v>
      </c>
      <c r="J110" s="75">
        <f t="shared" si="12"/>
        <v>0</v>
      </c>
      <c r="K110" s="75">
        <f t="shared" si="13"/>
        <v>0</v>
      </c>
      <c r="L110" s="109">
        <v>0</v>
      </c>
      <c r="M110" s="110">
        <v>0</v>
      </c>
      <c r="N110" s="128"/>
    </row>
    <row r="111" spans="1:14" ht="5.0999999999999996" customHeight="1" x14ac:dyDescent="0.25">
      <c r="A111" s="1226"/>
      <c r="B111" s="73"/>
      <c r="C111" s="74"/>
      <c r="D111" s="75"/>
      <c r="E111" s="75"/>
      <c r="F111" s="75"/>
      <c r="G111" s="75"/>
      <c r="H111" s="75"/>
      <c r="I111" s="75"/>
      <c r="J111" s="75"/>
      <c r="K111" s="75"/>
      <c r="L111" s="75"/>
      <c r="M111" s="76"/>
      <c r="N111" s="128"/>
    </row>
    <row r="112" spans="1:14" ht="12.75" customHeight="1" x14ac:dyDescent="0.25">
      <c r="A112" s="1227" t="s">
        <v>766</v>
      </c>
      <c r="B112" s="73"/>
      <c r="C112" s="236">
        <f t="shared" ref="C112:I112" si="18">+C113+C116</f>
        <v>5201619</v>
      </c>
      <c r="D112" s="237">
        <f t="shared" si="18"/>
        <v>5201619</v>
      </c>
      <c r="E112" s="237">
        <f t="shared" si="18"/>
        <v>0</v>
      </c>
      <c r="F112" s="237">
        <f t="shared" si="18"/>
        <v>0</v>
      </c>
      <c r="G112" s="237">
        <f t="shared" si="18"/>
        <v>0</v>
      </c>
      <c r="H112" s="237">
        <f t="shared" si="18"/>
        <v>0</v>
      </c>
      <c r="I112" s="237">
        <f t="shared" si="18"/>
        <v>-1108106</v>
      </c>
      <c r="J112" s="237">
        <f t="shared" si="12"/>
        <v>-1108106</v>
      </c>
      <c r="K112" s="145">
        <f t="shared" si="13"/>
        <v>4093513</v>
      </c>
      <c r="L112" s="237">
        <f>+L113+L116</f>
        <v>6443472</v>
      </c>
      <c r="M112" s="238">
        <f>+M113+M116</f>
        <v>6900000</v>
      </c>
      <c r="N112" s="128"/>
    </row>
    <row r="113" spans="1:14" ht="10.15" customHeight="1" x14ac:dyDescent="0.25">
      <c r="A113" s="588" t="s">
        <v>1648</v>
      </c>
      <c r="B113" s="73"/>
      <c r="C113" s="140">
        <f>SUM(C114:C115)</f>
        <v>5201619</v>
      </c>
      <c r="D113" s="141">
        <f>SUM(D114:D115)</f>
        <v>5201619</v>
      </c>
      <c r="E113" s="141">
        <f t="shared" ref="E113:M113" si="19">SUM(E114:E115)</f>
        <v>0</v>
      </c>
      <c r="F113" s="141">
        <f t="shared" si="19"/>
        <v>0</v>
      </c>
      <c r="G113" s="141">
        <f t="shared" si="19"/>
        <v>0</v>
      </c>
      <c r="H113" s="141">
        <f t="shared" si="19"/>
        <v>0</v>
      </c>
      <c r="I113" s="141">
        <f t="shared" si="19"/>
        <v>-1108106</v>
      </c>
      <c r="J113" s="141">
        <f t="shared" si="12"/>
        <v>-1108106</v>
      </c>
      <c r="K113" s="75">
        <f t="shared" si="13"/>
        <v>4093513</v>
      </c>
      <c r="L113" s="141">
        <f t="shared" si="19"/>
        <v>6443472</v>
      </c>
      <c r="M113" s="142">
        <f t="shared" si="19"/>
        <v>6900000</v>
      </c>
      <c r="N113" s="128"/>
    </row>
    <row r="114" spans="1:14" ht="12.75" customHeight="1" x14ac:dyDescent="0.25">
      <c r="A114" s="589" t="s">
        <v>1649</v>
      </c>
      <c r="B114" s="73"/>
      <c r="C114" s="130">
        <v>0</v>
      </c>
      <c r="D114" s="109">
        <v>0</v>
      </c>
      <c r="E114" s="109">
        <v>0</v>
      </c>
      <c r="F114" s="109">
        <v>0</v>
      </c>
      <c r="G114" s="109">
        <v>0</v>
      </c>
      <c r="H114" s="109">
        <v>0</v>
      </c>
      <c r="I114" s="109">
        <v>0</v>
      </c>
      <c r="J114" s="75">
        <f t="shared" si="12"/>
        <v>0</v>
      </c>
      <c r="K114" s="75">
        <f t="shared" si="13"/>
        <v>0</v>
      </c>
      <c r="L114" s="109">
        <v>0</v>
      </c>
      <c r="M114" s="110">
        <v>0</v>
      </c>
      <c r="N114" s="128"/>
    </row>
    <row r="115" spans="1:14" ht="12.75" customHeight="1" x14ac:dyDescent="0.25">
      <c r="A115" s="589" t="s">
        <v>1650</v>
      </c>
      <c r="B115" s="73"/>
      <c r="C115" s="130">
        <v>5201619</v>
      </c>
      <c r="D115" s="109">
        <v>5201619</v>
      </c>
      <c r="E115" s="109">
        <v>0</v>
      </c>
      <c r="F115" s="109">
        <v>0</v>
      </c>
      <c r="G115" s="109">
        <v>0</v>
      </c>
      <c r="H115" s="109">
        <v>0</v>
      </c>
      <c r="I115" s="109">
        <v>-1108106</v>
      </c>
      <c r="J115" s="75">
        <f t="shared" si="12"/>
        <v>-1108106</v>
      </c>
      <c r="K115" s="75">
        <f t="shared" si="13"/>
        <v>4093513</v>
      </c>
      <c r="L115" s="109">
        <v>6443472</v>
      </c>
      <c r="M115" s="110">
        <v>6900000</v>
      </c>
      <c r="N115" s="128"/>
    </row>
    <row r="116" spans="1:14" ht="10.15" customHeight="1" x14ac:dyDescent="0.25">
      <c r="A116" s="588" t="s">
        <v>1651</v>
      </c>
      <c r="B116" s="73"/>
      <c r="C116" s="140">
        <f>SUM(C117:C118)</f>
        <v>0</v>
      </c>
      <c r="D116" s="141">
        <f>SUM(D117:D118)</f>
        <v>0</v>
      </c>
      <c r="E116" s="141">
        <f t="shared" ref="E116:M116" si="20">SUM(E117:E118)</f>
        <v>0</v>
      </c>
      <c r="F116" s="141">
        <f t="shared" si="20"/>
        <v>0</v>
      </c>
      <c r="G116" s="141">
        <f t="shared" si="20"/>
        <v>0</v>
      </c>
      <c r="H116" s="141">
        <f t="shared" si="20"/>
        <v>0</v>
      </c>
      <c r="I116" s="141">
        <f t="shared" si="20"/>
        <v>0</v>
      </c>
      <c r="J116" s="141">
        <f t="shared" si="12"/>
        <v>0</v>
      </c>
      <c r="K116" s="141">
        <f t="shared" si="13"/>
        <v>0</v>
      </c>
      <c r="L116" s="141">
        <f t="shared" si="20"/>
        <v>0</v>
      </c>
      <c r="M116" s="142">
        <f t="shared" si="20"/>
        <v>0</v>
      </c>
      <c r="N116" s="128"/>
    </row>
    <row r="117" spans="1:14" ht="12.75" customHeight="1" x14ac:dyDescent="0.25">
      <c r="A117" s="589" t="s">
        <v>1649</v>
      </c>
      <c r="B117" s="73"/>
      <c r="C117" s="130">
        <v>0</v>
      </c>
      <c r="D117" s="109">
        <v>0</v>
      </c>
      <c r="E117" s="109">
        <v>0</v>
      </c>
      <c r="F117" s="109">
        <v>0</v>
      </c>
      <c r="G117" s="109">
        <v>0</v>
      </c>
      <c r="H117" s="109">
        <v>0</v>
      </c>
      <c r="I117" s="109">
        <v>0</v>
      </c>
      <c r="J117" s="75">
        <f t="shared" si="12"/>
        <v>0</v>
      </c>
      <c r="K117" s="75">
        <f t="shared" si="13"/>
        <v>0</v>
      </c>
      <c r="L117" s="109">
        <v>0</v>
      </c>
      <c r="M117" s="110">
        <v>0</v>
      </c>
      <c r="N117" s="128"/>
    </row>
    <row r="118" spans="1:14" ht="12.75" customHeight="1" x14ac:dyDescent="0.25">
      <c r="A118" s="589" t="s">
        <v>1650</v>
      </c>
      <c r="B118" s="73"/>
      <c r="C118" s="130">
        <v>0</v>
      </c>
      <c r="D118" s="109">
        <v>0</v>
      </c>
      <c r="E118" s="109">
        <v>0</v>
      </c>
      <c r="F118" s="109">
        <v>0</v>
      </c>
      <c r="G118" s="109">
        <v>0</v>
      </c>
      <c r="H118" s="109">
        <v>0</v>
      </c>
      <c r="I118" s="109">
        <v>0</v>
      </c>
      <c r="J118" s="75">
        <f t="shared" si="12"/>
        <v>0</v>
      </c>
      <c r="K118" s="75">
        <f t="shared" si="13"/>
        <v>0</v>
      </c>
      <c r="L118" s="109">
        <v>0</v>
      </c>
      <c r="M118" s="110">
        <v>0</v>
      </c>
      <c r="N118" s="128"/>
    </row>
    <row r="119" spans="1:14" ht="5.0999999999999996" customHeight="1" x14ac:dyDescent="0.25">
      <c r="A119" s="136"/>
      <c r="B119" s="73"/>
      <c r="C119" s="74"/>
      <c r="D119" s="75"/>
      <c r="E119" s="75"/>
      <c r="F119" s="75"/>
      <c r="G119" s="75"/>
      <c r="H119" s="75"/>
      <c r="I119" s="75"/>
      <c r="J119" s="75"/>
      <c r="K119" s="75"/>
      <c r="L119" s="75"/>
      <c r="M119" s="76"/>
      <c r="N119" s="128"/>
    </row>
    <row r="120" spans="1:14" ht="12.75" customHeight="1" x14ac:dyDescent="0.25">
      <c r="A120" s="1227" t="s">
        <v>767</v>
      </c>
      <c r="B120" s="73"/>
      <c r="C120" s="236">
        <f>+C121+C133</f>
        <v>1300398</v>
      </c>
      <c r="D120" s="237">
        <f t="shared" ref="D120:I120" si="21">+D121+D133</f>
        <v>1300398</v>
      </c>
      <c r="E120" s="237">
        <f t="shared" si="21"/>
        <v>0</v>
      </c>
      <c r="F120" s="237">
        <f t="shared" si="21"/>
        <v>0</v>
      </c>
      <c r="G120" s="237">
        <f t="shared" si="21"/>
        <v>0</v>
      </c>
      <c r="H120" s="237">
        <f t="shared" si="21"/>
        <v>0</v>
      </c>
      <c r="I120" s="237">
        <f t="shared" si="21"/>
        <v>3250106</v>
      </c>
      <c r="J120" s="237">
        <f t="shared" si="12"/>
        <v>3250106</v>
      </c>
      <c r="K120" s="145">
        <f t="shared" si="13"/>
        <v>4550504</v>
      </c>
      <c r="L120" s="237">
        <f>+L121+L133</f>
        <v>5491810</v>
      </c>
      <c r="M120" s="238">
        <f>+M121+M133</f>
        <v>3000000</v>
      </c>
      <c r="N120" s="128"/>
    </row>
    <row r="121" spans="1:14" ht="10.15" customHeight="1" x14ac:dyDescent="0.25">
      <c r="A121" s="588" t="s">
        <v>1652</v>
      </c>
      <c r="B121" s="73"/>
      <c r="C121" s="140">
        <f>SUM(C122:C132)</f>
        <v>1300398</v>
      </c>
      <c r="D121" s="141">
        <f t="shared" ref="D121:I121" si="22">SUM(D122:D132)</f>
        <v>1300398</v>
      </c>
      <c r="E121" s="141">
        <f t="shared" si="22"/>
        <v>0</v>
      </c>
      <c r="F121" s="141">
        <f t="shared" si="22"/>
        <v>0</v>
      </c>
      <c r="G121" s="141">
        <f t="shared" si="22"/>
        <v>0</v>
      </c>
      <c r="H121" s="141">
        <f t="shared" si="22"/>
        <v>0</v>
      </c>
      <c r="I121" s="141">
        <f t="shared" si="22"/>
        <v>3250106</v>
      </c>
      <c r="J121" s="141">
        <f t="shared" si="12"/>
        <v>3250106</v>
      </c>
      <c r="K121" s="141">
        <f t="shared" si="13"/>
        <v>4550504</v>
      </c>
      <c r="L121" s="141">
        <f>SUM(L122:L132)</f>
        <v>5491810</v>
      </c>
      <c r="M121" s="142">
        <f>SUM(M122:M132)</f>
        <v>3000000</v>
      </c>
      <c r="N121" s="128"/>
    </row>
    <row r="122" spans="1:14" ht="12.75" customHeight="1" x14ac:dyDescent="0.25">
      <c r="A122" s="589" t="s">
        <v>1653</v>
      </c>
      <c r="B122" s="73"/>
      <c r="C122" s="130">
        <v>0</v>
      </c>
      <c r="D122" s="109">
        <v>0</v>
      </c>
      <c r="E122" s="109">
        <v>0</v>
      </c>
      <c r="F122" s="109">
        <v>0</v>
      </c>
      <c r="G122" s="109">
        <v>0</v>
      </c>
      <c r="H122" s="109">
        <v>0</v>
      </c>
      <c r="I122" s="109">
        <v>0</v>
      </c>
      <c r="J122" s="75">
        <f t="shared" si="12"/>
        <v>0</v>
      </c>
      <c r="K122" s="75">
        <f t="shared" si="13"/>
        <v>0</v>
      </c>
      <c r="L122" s="109">
        <v>5491810</v>
      </c>
      <c r="M122" s="110">
        <v>3000000</v>
      </c>
      <c r="N122" s="128"/>
    </row>
    <row r="123" spans="1:14" ht="12.75" customHeight="1" x14ac:dyDescent="0.25">
      <c r="A123" s="589" t="s">
        <v>1654</v>
      </c>
      <c r="B123" s="137"/>
      <c r="C123" s="130">
        <v>0</v>
      </c>
      <c r="D123" s="109">
        <v>0</v>
      </c>
      <c r="E123" s="109">
        <v>0</v>
      </c>
      <c r="F123" s="109">
        <v>0</v>
      </c>
      <c r="G123" s="109">
        <v>0</v>
      </c>
      <c r="H123" s="109">
        <v>0</v>
      </c>
      <c r="I123" s="109">
        <v>0</v>
      </c>
      <c r="J123" s="75">
        <f t="shared" si="12"/>
        <v>0</v>
      </c>
      <c r="K123" s="75">
        <f t="shared" si="13"/>
        <v>0</v>
      </c>
      <c r="L123" s="109">
        <v>0</v>
      </c>
      <c r="M123" s="110">
        <v>0</v>
      </c>
      <c r="N123" s="128"/>
    </row>
    <row r="124" spans="1:14" ht="12.75" customHeight="1" x14ac:dyDescent="0.25">
      <c r="A124" s="589" t="s">
        <v>1655</v>
      </c>
      <c r="B124" s="73"/>
      <c r="C124" s="130">
        <v>300000</v>
      </c>
      <c r="D124" s="109">
        <v>300000</v>
      </c>
      <c r="E124" s="109">
        <v>0</v>
      </c>
      <c r="F124" s="109">
        <v>0</v>
      </c>
      <c r="G124" s="109">
        <v>0</v>
      </c>
      <c r="H124" s="109">
        <v>0</v>
      </c>
      <c r="I124" s="109">
        <v>0</v>
      </c>
      <c r="J124" s="75">
        <f t="shared" si="12"/>
        <v>0</v>
      </c>
      <c r="K124" s="75">
        <f t="shared" si="13"/>
        <v>300000</v>
      </c>
      <c r="L124" s="109">
        <v>0</v>
      </c>
      <c r="M124" s="110">
        <v>0</v>
      </c>
      <c r="N124" s="128"/>
    </row>
    <row r="125" spans="1:14" ht="12.75" customHeight="1" x14ac:dyDescent="0.25">
      <c r="A125" s="589" t="s">
        <v>1656</v>
      </c>
      <c r="B125" s="73"/>
      <c r="C125" s="130">
        <v>0</v>
      </c>
      <c r="D125" s="109">
        <v>0</v>
      </c>
      <c r="E125" s="109">
        <v>0</v>
      </c>
      <c r="F125" s="109">
        <v>0</v>
      </c>
      <c r="G125" s="109">
        <v>0</v>
      </c>
      <c r="H125" s="109">
        <v>0</v>
      </c>
      <c r="I125" s="109">
        <v>0</v>
      </c>
      <c r="J125" s="75">
        <f t="shared" si="12"/>
        <v>0</v>
      </c>
      <c r="K125" s="75">
        <f t="shared" si="13"/>
        <v>0</v>
      </c>
      <c r="L125" s="109">
        <v>0</v>
      </c>
      <c r="M125" s="110">
        <v>0</v>
      </c>
      <c r="N125" s="128"/>
    </row>
    <row r="126" spans="1:14" ht="12.75" customHeight="1" x14ac:dyDescent="0.25">
      <c r="A126" s="589" t="s">
        <v>1657</v>
      </c>
      <c r="B126" s="73"/>
      <c r="C126" s="130">
        <v>0</v>
      </c>
      <c r="D126" s="109">
        <v>0</v>
      </c>
      <c r="E126" s="109">
        <v>0</v>
      </c>
      <c r="F126" s="109">
        <v>0</v>
      </c>
      <c r="G126" s="109">
        <v>0</v>
      </c>
      <c r="H126" s="109">
        <v>0</v>
      </c>
      <c r="I126" s="109">
        <v>0</v>
      </c>
      <c r="J126" s="75">
        <f t="shared" si="12"/>
        <v>0</v>
      </c>
      <c r="K126" s="75">
        <f t="shared" si="13"/>
        <v>0</v>
      </c>
      <c r="L126" s="109">
        <v>0</v>
      </c>
      <c r="M126" s="110">
        <v>0</v>
      </c>
      <c r="N126" s="128"/>
    </row>
    <row r="127" spans="1:14" ht="12.75" customHeight="1" x14ac:dyDescent="0.25">
      <c r="A127" s="589" t="s">
        <v>1658</v>
      </c>
      <c r="B127" s="73"/>
      <c r="C127" s="130">
        <v>1000398</v>
      </c>
      <c r="D127" s="109">
        <v>1000398</v>
      </c>
      <c r="E127" s="109">
        <v>0</v>
      </c>
      <c r="F127" s="109">
        <v>0</v>
      </c>
      <c r="G127" s="109">
        <v>0</v>
      </c>
      <c r="H127" s="109">
        <v>0</v>
      </c>
      <c r="I127" s="109">
        <v>684686</v>
      </c>
      <c r="J127" s="75">
        <f t="shared" si="12"/>
        <v>684686</v>
      </c>
      <c r="K127" s="75">
        <f t="shared" si="13"/>
        <v>1685084</v>
      </c>
      <c r="L127" s="109">
        <v>0</v>
      </c>
      <c r="M127" s="110">
        <v>0</v>
      </c>
      <c r="N127" s="128"/>
    </row>
    <row r="128" spans="1:14" ht="12.75" customHeight="1" x14ac:dyDescent="0.25">
      <c r="A128" s="589" t="s">
        <v>1659</v>
      </c>
      <c r="B128" s="73"/>
      <c r="C128" s="130">
        <v>0</v>
      </c>
      <c r="D128" s="109">
        <v>0</v>
      </c>
      <c r="E128" s="109">
        <v>0</v>
      </c>
      <c r="F128" s="109">
        <v>0</v>
      </c>
      <c r="G128" s="109">
        <v>0</v>
      </c>
      <c r="H128" s="109">
        <v>0</v>
      </c>
      <c r="I128" s="109">
        <v>0</v>
      </c>
      <c r="J128" s="75">
        <f t="shared" si="12"/>
        <v>0</v>
      </c>
      <c r="K128" s="75">
        <f t="shared" si="13"/>
        <v>0</v>
      </c>
      <c r="L128" s="109">
        <v>0</v>
      </c>
      <c r="M128" s="110">
        <v>0</v>
      </c>
      <c r="N128" s="128"/>
    </row>
    <row r="129" spans="1:14" ht="12.75" customHeight="1" x14ac:dyDescent="0.25">
      <c r="A129" s="589" t="s">
        <v>1660</v>
      </c>
      <c r="B129" s="137"/>
      <c r="C129" s="130">
        <v>0</v>
      </c>
      <c r="D129" s="109">
        <v>0</v>
      </c>
      <c r="E129" s="109">
        <v>0</v>
      </c>
      <c r="F129" s="109">
        <v>0</v>
      </c>
      <c r="G129" s="109">
        <v>0</v>
      </c>
      <c r="H129" s="109">
        <v>0</v>
      </c>
      <c r="I129" s="109">
        <v>0</v>
      </c>
      <c r="J129" s="75">
        <f t="shared" si="12"/>
        <v>0</v>
      </c>
      <c r="K129" s="75">
        <f t="shared" si="13"/>
        <v>0</v>
      </c>
      <c r="L129" s="109">
        <v>0</v>
      </c>
      <c r="M129" s="110">
        <v>0</v>
      </c>
      <c r="N129" s="128"/>
    </row>
    <row r="130" spans="1:14" ht="12.75" customHeight="1" x14ac:dyDescent="0.25">
      <c r="A130" s="589" t="s">
        <v>1661</v>
      </c>
      <c r="B130" s="73"/>
      <c r="C130" s="130">
        <v>0</v>
      </c>
      <c r="D130" s="109">
        <v>0</v>
      </c>
      <c r="E130" s="109">
        <v>0</v>
      </c>
      <c r="F130" s="109">
        <v>0</v>
      </c>
      <c r="G130" s="109">
        <v>0</v>
      </c>
      <c r="H130" s="109">
        <v>0</v>
      </c>
      <c r="I130" s="109">
        <v>0</v>
      </c>
      <c r="J130" s="75">
        <f t="shared" si="12"/>
        <v>0</v>
      </c>
      <c r="K130" s="75">
        <f t="shared" si="13"/>
        <v>0</v>
      </c>
      <c r="L130" s="109">
        <v>0</v>
      </c>
      <c r="M130" s="110">
        <v>0</v>
      </c>
      <c r="N130" s="128"/>
    </row>
    <row r="131" spans="1:14" ht="12.75" customHeight="1" x14ac:dyDescent="0.25">
      <c r="A131" s="589" t="s">
        <v>1662</v>
      </c>
      <c r="B131" s="73"/>
      <c r="C131" s="130">
        <v>0</v>
      </c>
      <c r="D131" s="109">
        <v>0</v>
      </c>
      <c r="E131" s="109">
        <v>0</v>
      </c>
      <c r="F131" s="109">
        <v>0</v>
      </c>
      <c r="G131" s="109">
        <v>0</v>
      </c>
      <c r="H131" s="109">
        <v>0</v>
      </c>
      <c r="I131" s="109">
        <v>2565420</v>
      </c>
      <c r="J131" s="75">
        <f t="shared" si="12"/>
        <v>2565420</v>
      </c>
      <c r="K131" s="75">
        <f t="shared" si="13"/>
        <v>2565420</v>
      </c>
      <c r="L131" s="109">
        <v>0</v>
      </c>
      <c r="M131" s="110">
        <v>0</v>
      </c>
      <c r="N131" s="128"/>
    </row>
    <row r="132" spans="1:14" ht="12.75" customHeight="1" x14ac:dyDescent="0.25">
      <c r="A132" s="589" t="s">
        <v>1572</v>
      </c>
      <c r="B132" s="73"/>
      <c r="C132" s="130">
        <v>0</v>
      </c>
      <c r="D132" s="109">
        <v>0</v>
      </c>
      <c r="E132" s="109">
        <v>0</v>
      </c>
      <c r="F132" s="109">
        <v>0</v>
      </c>
      <c r="G132" s="109">
        <v>0</v>
      </c>
      <c r="H132" s="109">
        <v>0</v>
      </c>
      <c r="I132" s="109">
        <v>0</v>
      </c>
      <c r="J132" s="75">
        <f t="shared" si="12"/>
        <v>0</v>
      </c>
      <c r="K132" s="75">
        <f t="shared" si="13"/>
        <v>0</v>
      </c>
      <c r="L132" s="109">
        <v>0</v>
      </c>
      <c r="M132" s="110">
        <v>0</v>
      </c>
      <c r="N132" s="128"/>
    </row>
    <row r="133" spans="1:14" ht="10.15" customHeight="1" x14ac:dyDescent="0.25">
      <c r="A133" s="588" t="s">
        <v>619</v>
      </c>
      <c r="B133" s="73"/>
      <c r="C133" s="140">
        <f>SUM(C134:C136)</f>
        <v>0</v>
      </c>
      <c r="D133" s="141">
        <f>SUM(D134:D136)</f>
        <v>0</v>
      </c>
      <c r="E133" s="141">
        <f t="shared" ref="E133:M133" si="23">SUM(E134:E136)</f>
        <v>0</v>
      </c>
      <c r="F133" s="141">
        <f t="shared" si="23"/>
        <v>0</v>
      </c>
      <c r="G133" s="141">
        <f t="shared" si="23"/>
        <v>0</v>
      </c>
      <c r="H133" s="141">
        <f t="shared" si="23"/>
        <v>0</v>
      </c>
      <c r="I133" s="141">
        <f t="shared" si="23"/>
        <v>0</v>
      </c>
      <c r="J133" s="141">
        <f t="shared" si="12"/>
        <v>0</v>
      </c>
      <c r="K133" s="141">
        <f t="shared" si="13"/>
        <v>0</v>
      </c>
      <c r="L133" s="141">
        <f t="shared" si="23"/>
        <v>0</v>
      </c>
      <c r="M133" s="142">
        <f t="shared" si="23"/>
        <v>0</v>
      </c>
      <c r="N133" s="128"/>
    </row>
    <row r="134" spans="1:14" s="1234" customFormat="1" ht="12.75" customHeight="1" x14ac:dyDescent="0.25">
      <c r="A134" s="589" t="s">
        <v>1663</v>
      </c>
      <c r="B134" s="1228"/>
      <c r="C134" s="1229">
        <v>0</v>
      </c>
      <c r="D134" s="1230">
        <v>0</v>
      </c>
      <c r="E134" s="1230">
        <v>0</v>
      </c>
      <c r="F134" s="1230">
        <v>0</v>
      </c>
      <c r="G134" s="1230">
        <v>0</v>
      </c>
      <c r="H134" s="1230">
        <v>0</v>
      </c>
      <c r="I134" s="1230">
        <v>0</v>
      </c>
      <c r="J134" s="1231">
        <f t="shared" si="12"/>
        <v>0</v>
      </c>
      <c r="K134" s="1231">
        <f t="shared" si="13"/>
        <v>0</v>
      </c>
      <c r="L134" s="1230">
        <v>0</v>
      </c>
      <c r="M134" s="1232">
        <v>0</v>
      </c>
      <c r="N134" s="1233"/>
    </row>
    <row r="135" spans="1:14" ht="12.75" customHeight="1" x14ac:dyDescent="0.25">
      <c r="A135" s="589" t="s">
        <v>1664</v>
      </c>
      <c r="B135" s="73"/>
      <c r="C135" s="130">
        <v>0</v>
      </c>
      <c r="D135" s="109">
        <v>0</v>
      </c>
      <c r="E135" s="109">
        <v>0</v>
      </c>
      <c r="F135" s="109">
        <v>0</v>
      </c>
      <c r="G135" s="109">
        <v>0</v>
      </c>
      <c r="H135" s="109">
        <v>0</v>
      </c>
      <c r="I135" s="109">
        <v>0</v>
      </c>
      <c r="J135" s="75">
        <f t="shared" si="12"/>
        <v>0</v>
      </c>
      <c r="K135" s="75">
        <f t="shared" si="13"/>
        <v>0</v>
      </c>
      <c r="L135" s="109">
        <v>0</v>
      </c>
      <c r="M135" s="110">
        <v>0</v>
      </c>
      <c r="N135" s="128"/>
    </row>
    <row r="136" spans="1:14" ht="12.75" customHeight="1" x14ac:dyDescent="0.25">
      <c r="A136" s="589" t="s">
        <v>1572</v>
      </c>
      <c r="B136" s="73"/>
      <c r="C136" s="130">
        <v>0</v>
      </c>
      <c r="D136" s="109">
        <v>0</v>
      </c>
      <c r="E136" s="109">
        <v>0</v>
      </c>
      <c r="F136" s="109">
        <v>0</v>
      </c>
      <c r="G136" s="109">
        <v>0</v>
      </c>
      <c r="H136" s="109">
        <v>0</v>
      </c>
      <c r="I136" s="109">
        <v>0</v>
      </c>
      <c r="J136" s="75">
        <f t="shared" si="12"/>
        <v>0</v>
      </c>
      <c r="K136" s="75">
        <f t="shared" si="13"/>
        <v>0</v>
      </c>
      <c r="L136" s="109">
        <v>0</v>
      </c>
      <c r="M136" s="110">
        <v>0</v>
      </c>
      <c r="N136" s="128"/>
    </row>
    <row r="137" spans="1:14" ht="5.0999999999999996" customHeight="1" x14ac:dyDescent="0.25">
      <c r="A137" s="136"/>
      <c r="B137" s="73"/>
      <c r="C137" s="74"/>
      <c r="D137" s="75"/>
      <c r="E137" s="75"/>
      <c r="F137" s="75"/>
      <c r="G137" s="75"/>
      <c r="H137" s="75"/>
      <c r="I137" s="75"/>
      <c r="J137" s="75"/>
      <c r="K137" s="75"/>
      <c r="L137" s="75"/>
      <c r="M137" s="76"/>
      <c r="N137" s="128"/>
    </row>
    <row r="138" spans="1:14" ht="12.75" customHeight="1" x14ac:dyDescent="0.25">
      <c r="A138" s="486" t="s">
        <v>1665</v>
      </c>
      <c r="B138" s="73"/>
      <c r="C138" s="236">
        <f t="shared" ref="C138:M138" si="24">SUM(C139:C139)</f>
        <v>0</v>
      </c>
      <c r="D138" s="237">
        <f t="shared" si="24"/>
        <v>0</v>
      </c>
      <c r="E138" s="237">
        <f t="shared" si="24"/>
        <v>0</v>
      </c>
      <c r="F138" s="237">
        <f t="shared" si="24"/>
        <v>0</v>
      </c>
      <c r="G138" s="237">
        <f t="shared" si="24"/>
        <v>0</v>
      </c>
      <c r="H138" s="237">
        <f t="shared" si="24"/>
        <v>0</v>
      </c>
      <c r="I138" s="237">
        <f t="shared" si="24"/>
        <v>0</v>
      </c>
      <c r="J138" s="237">
        <f t="shared" ref="J138:J169" si="25">SUM(E138:I138)</f>
        <v>0</v>
      </c>
      <c r="K138" s="237">
        <f t="shared" ref="K138:K169" si="26">IF(D138=0,C138+J138,D138+J138)</f>
        <v>0</v>
      </c>
      <c r="L138" s="237">
        <f t="shared" si="24"/>
        <v>0</v>
      </c>
      <c r="M138" s="238">
        <f t="shared" si="24"/>
        <v>0</v>
      </c>
      <c r="N138" s="128"/>
    </row>
    <row r="139" spans="1:14" ht="12.75" customHeight="1" x14ac:dyDescent="0.25">
      <c r="A139" s="588" t="s">
        <v>1665</v>
      </c>
      <c r="B139" s="73"/>
      <c r="C139" s="130"/>
      <c r="D139" s="109"/>
      <c r="E139" s="109"/>
      <c r="F139" s="109"/>
      <c r="G139" s="109"/>
      <c r="H139" s="109"/>
      <c r="I139" s="109"/>
      <c r="J139" s="75">
        <f t="shared" si="25"/>
        <v>0</v>
      </c>
      <c r="K139" s="75">
        <f t="shared" si="26"/>
        <v>0</v>
      </c>
      <c r="L139" s="109"/>
      <c r="M139" s="110"/>
      <c r="N139" s="128"/>
    </row>
    <row r="140" spans="1:14" ht="5.0999999999999996" customHeight="1" x14ac:dyDescent="0.25">
      <c r="A140" s="1235"/>
      <c r="B140" s="73"/>
      <c r="C140" s="74"/>
      <c r="D140" s="75"/>
      <c r="E140" s="75"/>
      <c r="F140" s="75"/>
      <c r="G140" s="75"/>
      <c r="H140" s="75"/>
      <c r="I140" s="75"/>
      <c r="J140" s="75"/>
      <c r="K140" s="75"/>
      <c r="L140" s="75"/>
      <c r="M140" s="76"/>
      <c r="N140" s="128"/>
    </row>
    <row r="141" spans="1:14" ht="12.75" customHeight="1" x14ac:dyDescent="0.25">
      <c r="A141" s="486" t="s">
        <v>1666</v>
      </c>
      <c r="B141" s="73"/>
      <c r="C141" s="236">
        <f>SUM(C142:C143)</f>
        <v>303584</v>
      </c>
      <c r="D141" s="237">
        <f t="shared" ref="D141:I141" si="27">SUM(D142:D143)</f>
        <v>303584</v>
      </c>
      <c r="E141" s="237">
        <f t="shared" si="27"/>
        <v>0</v>
      </c>
      <c r="F141" s="237">
        <f t="shared" si="27"/>
        <v>0</v>
      </c>
      <c r="G141" s="237">
        <f t="shared" si="27"/>
        <v>0</v>
      </c>
      <c r="H141" s="237">
        <f t="shared" si="27"/>
        <v>0</v>
      </c>
      <c r="I141" s="237">
        <f t="shared" si="27"/>
        <v>-141894</v>
      </c>
      <c r="J141" s="237">
        <f t="shared" si="25"/>
        <v>-141894</v>
      </c>
      <c r="K141" s="237">
        <f t="shared" si="26"/>
        <v>161690</v>
      </c>
      <c r="L141" s="237">
        <f>SUM(L142:L143)</f>
        <v>370753</v>
      </c>
      <c r="M141" s="238">
        <f>SUM(M142:M143)</f>
        <v>257123</v>
      </c>
      <c r="N141" s="128"/>
    </row>
    <row r="142" spans="1:14" ht="12.75" customHeight="1" x14ac:dyDescent="0.25">
      <c r="A142" s="590" t="s">
        <v>1667</v>
      </c>
      <c r="B142" s="73"/>
      <c r="C142" s="130"/>
      <c r="D142" s="109"/>
      <c r="E142" s="109"/>
      <c r="F142" s="109"/>
      <c r="G142" s="109"/>
      <c r="H142" s="109"/>
      <c r="I142" s="109"/>
      <c r="J142" s="75">
        <f t="shared" si="25"/>
        <v>0</v>
      </c>
      <c r="K142" s="75">
        <f t="shared" si="26"/>
        <v>0</v>
      </c>
      <c r="L142" s="109"/>
      <c r="M142" s="110"/>
      <c r="N142" s="128"/>
    </row>
    <row r="143" spans="1:14" ht="10.15" customHeight="1" x14ac:dyDescent="0.25">
      <c r="A143" s="590" t="s">
        <v>1668</v>
      </c>
      <c r="B143" s="73"/>
      <c r="C143" s="140">
        <f>SUM(C144:C149)</f>
        <v>303584</v>
      </c>
      <c r="D143" s="141">
        <f t="shared" ref="D143:I143" si="28">SUM(D144:D149)</f>
        <v>303584</v>
      </c>
      <c r="E143" s="141">
        <f t="shared" si="28"/>
        <v>0</v>
      </c>
      <c r="F143" s="141">
        <f t="shared" si="28"/>
        <v>0</v>
      </c>
      <c r="G143" s="141">
        <f t="shared" si="28"/>
        <v>0</v>
      </c>
      <c r="H143" s="141">
        <f t="shared" si="28"/>
        <v>0</v>
      </c>
      <c r="I143" s="141">
        <f t="shared" si="28"/>
        <v>-141894</v>
      </c>
      <c r="J143" s="141">
        <f t="shared" si="25"/>
        <v>-141894</v>
      </c>
      <c r="K143" s="141">
        <f t="shared" si="26"/>
        <v>161690</v>
      </c>
      <c r="L143" s="141">
        <f>SUM(L144:L149)</f>
        <v>370753</v>
      </c>
      <c r="M143" s="142">
        <f>SUM(M144:M149)</f>
        <v>257123</v>
      </c>
      <c r="N143" s="128"/>
    </row>
    <row r="144" spans="1:14" ht="12.75" customHeight="1" x14ac:dyDescent="0.25">
      <c r="A144" s="589" t="s">
        <v>1669</v>
      </c>
      <c r="B144" s="73"/>
      <c r="C144" s="130">
        <v>0</v>
      </c>
      <c r="D144" s="109">
        <v>0</v>
      </c>
      <c r="E144" s="109">
        <v>0</v>
      </c>
      <c r="F144" s="109">
        <v>0</v>
      </c>
      <c r="G144" s="109">
        <v>0</v>
      </c>
      <c r="H144" s="109">
        <v>0</v>
      </c>
      <c r="I144" s="109">
        <v>0</v>
      </c>
      <c r="J144" s="75">
        <f t="shared" si="25"/>
        <v>0</v>
      </c>
      <c r="K144" s="75">
        <f t="shared" si="26"/>
        <v>0</v>
      </c>
      <c r="L144" s="109">
        <v>0</v>
      </c>
      <c r="M144" s="110">
        <v>0</v>
      </c>
      <c r="N144" s="128"/>
    </row>
    <row r="145" spans="1:14" ht="12.75" customHeight="1" x14ac:dyDescent="0.25">
      <c r="A145" s="589" t="s">
        <v>1670</v>
      </c>
      <c r="B145" s="137"/>
      <c r="C145" s="130">
        <v>0</v>
      </c>
      <c r="D145" s="109">
        <v>0</v>
      </c>
      <c r="E145" s="109">
        <v>0</v>
      </c>
      <c r="F145" s="109">
        <v>0</v>
      </c>
      <c r="G145" s="109">
        <v>0</v>
      </c>
      <c r="H145" s="109">
        <v>0</v>
      </c>
      <c r="I145" s="109">
        <v>0</v>
      </c>
      <c r="J145" s="75">
        <f t="shared" si="25"/>
        <v>0</v>
      </c>
      <c r="K145" s="75">
        <f t="shared" si="26"/>
        <v>0</v>
      </c>
      <c r="L145" s="109">
        <v>0</v>
      </c>
      <c r="M145" s="110">
        <v>0</v>
      </c>
      <c r="N145" s="128"/>
    </row>
    <row r="146" spans="1:14" ht="12.75" customHeight="1" x14ac:dyDescent="0.25">
      <c r="A146" s="589" t="s">
        <v>1671</v>
      </c>
      <c r="B146" s="73"/>
      <c r="C146" s="130">
        <v>0</v>
      </c>
      <c r="D146" s="109">
        <v>0</v>
      </c>
      <c r="E146" s="109">
        <v>0</v>
      </c>
      <c r="F146" s="109">
        <v>0</v>
      </c>
      <c r="G146" s="109">
        <v>0</v>
      </c>
      <c r="H146" s="109">
        <v>0</v>
      </c>
      <c r="I146" s="109">
        <v>0</v>
      </c>
      <c r="J146" s="75">
        <f t="shared" si="25"/>
        <v>0</v>
      </c>
      <c r="K146" s="75">
        <f t="shared" si="26"/>
        <v>0</v>
      </c>
      <c r="L146" s="109">
        <v>0</v>
      </c>
      <c r="M146" s="110">
        <v>0</v>
      </c>
      <c r="N146" s="128"/>
    </row>
    <row r="147" spans="1:14" ht="12.75" customHeight="1" x14ac:dyDescent="0.25">
      <c r="A147" s="589" t="s">
        <v>1672</v>
      </c>
      <c r="B147" s="73"/>
      <c r="C147" s="130">
        <v>303584</v>
      </c>
      <c r="D147" s="109">
        <v>303584</v>
      </c>
      <c r="E147" s="109">
        <v>0</v>
      </c>
      <c r="F147" s="109">
        <v>0</v>
      </c>
      <c r="G147" s="109">
        <v>0</v>
      </c>
      <c r="H147" s="109">
        <v>0</v>
      </c>
      <c r="I147" s="109">
        <v>-141894</v>
      </c>
      <c r="J147" s="75">
        <f t="shared" si="25"/>
        <v>-141894</v>
      </c>
      <c r="K147" s="75">
        <f t="shared" si="26"/>
        <v>161690</v>
      </c>
      <c r="L147" s="109">
        <v>370753</v>
      </c>
      <c r="M147" s="110">
        <v>257123</v>
      </c>
      <c r="N147" s="128"/>
    </row>
    <row r="148" spans="1:14" ht="12.75" customHeight="1" x14ac:dyDescent="0.25">
      <c r="A148" s="589" t="s">
        <v>1673</v>
      </c>
      <c r="B148" s="73"/>
      <c r="C148" s="130">
        <v>0</v>
      </c>
      <c r="D148" s="109">
        <v>0</v>
      </c>
      <c r="E148" s="109">
        <v>0</v>
      </c>
      <c r="F148" s="109">
        <v>0</v>
      </c>
      <c r="G148" s="109">
        <v>0</v>
      </c>
      <c r="H148" s="109">
        <v>0</v>
      </c>
      <c r="I148" s="109">
        <v>0</v>
      </c>
      <c r="J148" s="75">
        <f t="shared" si="25"/>
        <v>0</v>
      </c>
      <c r="K148" s="75">
        <f t="shared" si="26"/>
        <v>0</v>
      </c>
      <c r="L148" s="109">
        <v>0</v>
      </c>
      <c r="M148" s="110">
        <v>0</v>
      </c>
      <c r="N148" s="128"/>
    </row>
    <row r="149" spans="1:14" ht="12.75" customHeight="1" x14ac:dyDescent="0.25">
      <c r="A149" s="589" t="s">
        <v>1674</v>
      </c>
      <c r="B149" s="73"/>
      <c r="C149" s="130">
        <v>0</v>
      </c>
      <c r="D149" s="109">
        <v>0</v>
      </c>
      <c r="E149" s="109">
        <v>0</v>
      </c>
      <c r="F149" s="109">
        <v>0</v>
      </c>
      <c r="G149" s="109">
        <v>0</v>
      </c>
      <c r="H149" s="109">
        <v>0</v>
      </c>
      <c r="I149" s="109">
        <v>0</v>
      </c>
      <c r="J149" s="75">
        <f t="shared" si="25"/>
        <v>0</v>
      </c>
      <c r="K149" s="75">
        <f t="shared" si="26"/>
        <v>0</v>
      </c>
      <c r="L149" s="109">
        <v>0</v>
      </c>
      <c r="M149" s="110">
        <v>0</v>
      </c>
      <c r="N149" s="128"/>
    </row>
    <row r="150" spans="1:14" ht="5.0999999999999996" customHeight="1" x14ac:dyDescent="0.25">
      <c r="A150" s="1235"/>
      <c r="B150" s="73"/>
      <c r="C150" s="74"/>
      <c r="D150" s="75"/>
      <c r="E150" s="75"/>
      <c r="F150" s="75"/>
      <c r="G150" s="75"/>
      <c r="H150" s="75"/>
      <c r="I150" s="75"/>
      <c r="J150" s="75"/>
      <c r="K150" s="75"/>
      <c r="L150" s="75"/>
      <c r="M150" s="76"/>
      <c r="N150" s="128"/>
    </row>
    <row r="151" spans="1:14" ht="12.75" customHeight="1" x14ac:dyDescent="0.25">
      <c r="A151" s="486" t="s">
        <v>1675</v>
      </c>
      <c r="B151" s="73"/>
      <c r="C151" s="236">
        <f t="shared" ref="C151:M151" si="29">SUM(C152:C152)</f>
        <v>2000000</v>
      </c>
      <c r="D151" s="237">
        <f t="shared" si="29"/>
        <v>2000000</v>
      </c>
      <c r="E151" s="237">
        <f t="shared" si="29"/>
        <v>0</v>
      </c>
      <c r="F151" s="237">
        <f t="shared" si="29"/>
        <v>0</v>
      </c>
      <c r="G151" s="237">
        <f t="shared" si="29"/>
        <v>0</v>
      </c>
      <c r="H151" s="237">
        <f t="shared" si="29"/>
        <v>0</v>
      </c>
      <c r="I151" s="237">
        <f t="shared" si="29"/>
        <v>500000</v>
      </c>
      <c r="J151" s="237">
        <f t="shared" si="25"/>
        <v>500000</v>
      </c>
      <c r="K151" s="237">
        <f t="shared" si="26"/>
        <v>2500000</v>
      </c>
      <c r="L151" s="237">
        <f t="shared" si="29"/>
        <v>978241</v>
      </c>
      <c r="M151" s="238">
        <f t="shared" si="29"/>
        <v>1305850</v>
      </c>
      <c r="N151" s="128"/>
    </row>
    <row r="152" spans="1:14" ht="12.75" customHeight="1" x14ac:dyDescent="0.25">
      <c r="A152" s="588" t="s">
        <v>1675</v>
      </c>
      <c r="B152" s="73"/>
      <c r="C152" s="130">
        <v>2000000</v>
      </c>
      <c r="D152" s="109">
        <v>2000000</v>
      </c>
      <c r="E152" s="109">
        <v>0</v>
      </c>
      <c r="F152" s="109">
        <v>0</v>
      </c>
      <c r="G152" s="109">
        <v>0</v>
      </c>
      <c r="H152" s="109">
        <v>0</v>
      </c>
      <c r="I152" s="109">
        <v>500000</v>
      </c>
      <c r="J152" s="75">
        <f t="shared" si="25"/>
        <v>500000</v>
      </c>
      <c r="K152" s="75">
        <f t="shared" si="26"/>
        <v>2500000</v>
      </c>
      <c r="L152" s="109">
        <v>978241</v>
      </c>
      <c r="M152" s="110">
        <v>1305850</v>
      </c>
      <c r="N152" s="128"/>
    </row>
    <row r="153" spans="1:14" ht="5.0999999999999996" customHeight="1" x14ac:dyDescent="0.25">
      <c r="A153" s="1235"/>
      <c r="B153" s="73"/>
      <c r="C153" s="74"/>
      <c r="D153" s="75"/>
      <c r="E153" s="75"/>
      <c r="F153" s="75"/>
      <c r="G153" s="75"/>
      <c r="H153" s="75"/>
      <c r="I153" s="75"/>
      <c r="J153" s="75"/>
      <c r="K153" s="75"/>
      <c r="L153" s="75"/>
      <c r="M153" s="76"/>
      <c r="N153" s="128"/>
    </row>
    <row r="154" spans="1:14" ht="12.75" customHeight="1" x14ac:dyDescent="0.25">
      <c r="A154" s="486" t="s">
        <v>1676</v>
      </c>
      <c r="B154" s="73"/>
      <c r="C154" s="236">
        <f t="shared" ref="C154:M154" si="30">SUM(C155:C155)</f>
        <v>373225</v>
      </c>
      <c r="D154" s="237">
        <f t="shared" si="30"/>
        <v>1873225</v>
      </c>
      <c r="E154" s="237">
        <f t="shared" si="30"/>
        <v>0</v>
      </c>
      <c r="F154" s="237">
        <f t="shared" si="30"/>
        <v>0</v>
      </c>
      <c r="G154" s="237">
        <f t="shared" si="30"/>
        <v>0</v>
      </c>
      <c r="H154" s="237">
        <f t="shared" si="30"/>
        <v>0</v>
      </c>
      <c r="I154" s="237">
        <f t="shared" si="30"/>
        <v>-100000</v>
      </c>
      <c r="J154" s="237">
        <f t="shared" si="25"/>
        <v>-100000</v>
      </c>
      <c r="K154" s="237">
        <f t="shared" si="26"/>
        <v>1773225</v>
      </c>
      <c r="L154" s="237">
        <f t="shared" si="30"/>
        <v>487331</v>
      </c>
      <c r="M154" s="238">
        <f t="shared" si="30"/>
        <v>1122340</v>
      </c>
      <c r="N154" s="128"/>
    </row>
    <row r="155" spans="1:14" ht="12.75" customHeight="1" x14ac:dyDescent="0.25">
      <c r="A155" s="588" t="s">
        <v>1676</v>
      </c>
      <c r="B155" s="73"/>
      <c r="C155" s="130">
        <v>373225</v>
      </c>
      <c r="D155" s="109">
        <v>1873225</v>
      </c>
      <c r="E155" s="109">
        <v>0</v>
      </c>
      <c r="F155" s="109">
        <v>0</v>
      </c>
      <c r="G155" s="109">
        <v>0</v>
      </c>
      <c r="H155" s="109">
        <v>0</v>
      </c>
      <c r="I155" s="109">
        <v>-100000</v>
      </c>
      <c r="J155" s="75">
        <f t="shared" si="25"/>
        <v>-100000</v>
      </c>
      <c r="K155" s="75">
        <f t="shared" si="26"/>
        <v>1773225</v>
      </c>
      <c r="L155" s="109">
        <v>487331</v>
      </c>
      <c r="M155" s="110">
        <v>1122340</v>
      </c>
      <c r="N155" s="128"/>
    </row>
    <row r="156" spans="1:14" ht="5.0999999999999996" customHeight="1" x14ac:dyDescent="0.25">
      <c r="A156" s="1235"/>
      <c r="B156" s="73"/>
      <c r="C156" s="74"/>
      <c r="D156" s="75"/>
      <c r="E156" s="75"/>
      <c r="F156" s="75"/>
      <c r="G156" s="75"/>
      <c r="H156" s="75"/>
      <c r="I156" s="75"/>
      <c r="J156" s="75"/>
      <c r="K156" s="75"/>
      <c r="L156" s="75"/>
      <c r="M156" s="76"/>
      <c r="N156" s="128"/>
    </row>
    <row r="157" spans="1:14" ht="12.75" customHeight="1" x14ac:dyDescent="0.25">
      <c r="A157" s="486" t="s">
        <v>1677</v>
      </c>
      <c r="B157" s="73"/>
      <c r="C157" s="236">
        <f t="shared" ref="C157:M157" si="31">SUM(C158:C158)</f>
        <v>3670121</v>
      </c>
      <c r="D157" s="237">
        <f t="shared" si="31"/>
        <v>3670121</v>
      </c>
      <c r="E157" s="237">
        <f t="shared" si="31"/>
        <v>0</v>
      </c>
      <c r="F157" s="237">
        <f t="shared" si="31"/>
        <v>0</v>
      </c>
      <c r="G157" s="237">
        <f t="shared" si="31"/>
        <v>0</v>
      </c>
      <c r="H157" s="237">
        <f t="shared" si="31"/>
        <v>0</v>
      </c>
      <c r="I157" s="237">
        <f t="shared" si="31"/>
        <v>168035</v>
      </c>
      <c r="J157" s="237">
        <f t="shared" si="25"/>
        <v>168035</v>
      </c>
      <c r="K157" s="237">
        <f t="shared" si="26"/>
        <v>3838156</v>
      </c>
      <c r="L157" s="237">
        <f t="shared" si="31"/>
        <v>1947669</v>
      </c>
      <c r="M157" s="238">
        <f t="shared" si="31"/>
        <v>4505680</v>
      </c>
      <c r="N157" s="128"/>
    </row>
    <row r="158" spans="1:14" ht="12.75" customHeight="1" x14ac:dyDescent="0.25">
      <c r="A158" s="588" t="s">
        <v>1677</v>
      </c>
      <c r="B158" s="73"/>
      <c r="C158" s="130">
        <v>3670121</v>
      </c>
      <c r="D158" s="109">
        <v>3670121</v>
      </c>
      <c r="E158" s="109">
        <v>0</v>
      </c>
      <c r="F158" s="109">
        <v>0</v>
      </c>
      <c r="G158" s="109">
        <v>0</v>
      </c>
      <c r="H158" s="109">
        <v>0</v>
      </c>
      <c r="I158" s="109">
        <v>168035</v>
      </c>
      <c r="J158" s="75">
        <f t="shared" si="25"/>
        <v>168035</v>
      </c>
      <c r="K158" s="75">
        <f t="shared" si="26"/>
        <v>3838156</v>
      </c>
      <c r="L158" s="109">
        <v>1947669</v>
      </c>
      <c r="M158" s="110">
        <v>4505680</v>
      </c>
      <c r="N158" s="128"/>
    </row>
    <row r="159" spans="1:14" ht="5.0999999999999996" customHeight="1" x14ac:dyDescent="0.25">
      <c r="A159" s="1235"/>
      <c r="B159" s="73"/>
      <c r="C159" s="74"/>
      <c r="D159" s="75"/>
      <c r="E159" s="75"/>
      <c r="F159" s="75"/>
      <c r="G159" s="75"/>
      <c r="H159" s="75"/>
      <c r="I159" s="75"/>
      <c r="J159" s="75"/>
      <c r="K159" s="75"/>
      <c r="L159" s="75"/>
      <c r="M159" s="76"/>
      <c r="N159" s="128"/>
    </row>
    <row r="160" spans="1:14" ht="12.75" customHeight="1" x14ac:dyDescent="0.25">
      <c r="A160" s="486" t="s">
        <v>1678</v>
      </c>
      <c r="B160" s="73"/>
      <c r="C160" s="236">
        <f t="shared" ref="C160:M160" si="32">SUM(C161:C161)</f>
        <v>20000000</v>
      </c>
      <c r="D160" s="237">
        <f t="shared" si="32"/>
        <v>74500000</v>
      </c>
      <c r="E160" s="237">
        <f t="shared" si="32"/>
        <v>0</v>
      </c>
      <c r="F160" s="237">
        <f t="shared" si="32"/>
        <v>0</v>
      </c>
      <c r="G160" s="237">
        <f t="shared" si="32"/>
        <v>0</v>
      </c>
      <c r="H160" s="237">
        <f t="shared" si="32"/>
        <v>0</v>
      </c>
      <c r="I160" s="237">
        <f t="shared" si="32"/>
        <v>-14000000</v>
      </c>
      <c r="J160" s="237">
        <f t="shared" si="25"/>
        <v>-14000000</v>
      </c>
      <c r="K160" s="237">
        <f t="shared" si="26"/>
        <v>60500000</v>
      </c>
      <c r="L160" s="237">
        <f t="shared" si="32"/>
        <v>15000000</v>
      </c>
      <c r="M160" s="238">
        <f t="shared" si="32"/>
        <v>0</v>
      </c>
      <c r="N160" s="128"/>
    </row>
    <row r="161" spans="1:14" ht="12.75" customHeight="1" x14ac:dyDescent="0.25">
      <c r="A161" s="588" t="s">
        <v>1678</v>
      </c>
      <c r="B161" s="73"/>
      <c r="C161" s="130">
        <v>20000000</v>
      </c>
      <c r="D161" s="109">
        <v>74500000</v>
      </c>
      <c r="E161" s="109">
        <v>0</v>
      </c>
      <c r="F161" s="109">
        <v>0</v>
      </c>
      <c r="G161" s="109">
        <v>0</v>
      </c>
      <c r="H161" s="109">
        <v>0</v>
      </c>
      <c r="I161" s="109">
        <v>-14000000</v>
      </c>
      <c r="J161" s="75">
        <f t="shared" si="25"/>
        <v>-14000000</v>
      </c>
      <c r="K161" s="75">
        <f t="shared" si="26"/>
        <v>60500000</v>
      </c>
      <c r="L161" s="109">
        <v>15000000</v>
      </c>
      <c r="M161" s="110">
        <v>0</v>
      </c>
      <c r="N161" s="128"/>
    </row>
    <row r="162" spans="1:14" ht="5.0999999999999996" customHeight="1" x14ac:dyDescent="0.25">
      <c r="A162" s="1235"/>
      <c r="B162" s="73"/>
      <c r="C162" s="74"/>
      <c r="D162" s="75"/>
      <c r="E162" s="75"/>
      <c r="F162" s="75"/>
      <c r="G162" s="75"/>
      <c r="H162" s="75"/>
      <c r="I162" s="75"/>
      <c r="J162" s="75"/>
      <c r="K162" s="75"/>
      <c r="L162" s="75"/>
      <c r="M162" s="76"/>
      <c r="N162" s="128"/>
    </row>
    <row r="163" spans="1:14" ht="12.75" customHeight="1" x14ac:dyDescent="0.25">
      <c r="A163" s="486" t="s">
        <v>1735</v>
      </c>
      <c r="B163" s="73"/>
      <c r="C163" s="236">
        <f t="shared" ref="C163:M163" si="33">SUM(C164:C164)</f>
        <v>0</v>
      </c>
      <c r="D163" s="237">
        <f t="shared" si="33"/>
        <v>0</v>
      </c>
      <c r="E163" s="237">
        <f t="shared" si="33"/>
        <v>0</v>
      </c>
      <c r="F163" s="237">
        <f t="shared" si="33"/>
        <v>0</v>
      </c>
      <c r="G163" s="237">
        <f t="shared" si="33"/>
        <v>0</v>
      </c>
      <c r="H163" s="237">
        <f t="shared" si="33"/>
        <v>0</v>
      </c>
      <c r="I163" s="237">
        <f t="shared" si="33"/>
        <v>0</v>
      </c>
      <c r="J163" s="237">
        <f t="shared" si="25"/>
        <v>0</v>
      </c>
      <c r="K163" s="237">
        <f t="shared" si="26"/>
        <v>0</v>
      </c>
      <c r="L163" s="237">
        <f t="shared" si="33"/>
        <v>0</v>
      </c>
      <c r="M163" s="238">
        <f t="shared" si="33"/>
        <v>0</v>
      </c>
      <c r="N163" s="128"/>
    </row>
    <row r="164" spans="1:14" ht="12.75" customHeight="1" x14ac:dyDescent="0.25">
      <c r="A164" s="588" t="s">
        <v>1735</v>
      </c>
      <c r="B164" s="73"/>
      <c r="C164" s="130">
        <v>0</v>
      </c>
      <c r="D164" s="109">
        <v>0</v>
      </c>
      <c r="E164" s="109">
        <v>0</v>
      </c>
      <c r="F164" s="109">
        <v>0</v>
      </c>
      <c r="G164" s="109">
        <v>0</v>
      </c>
      <c r="H164" s="109">
        <v>0</v>
      </c>
      <c r="I164" s="109">
        <v>0</v>
      </c>
      <c r="J164" s="75">
        <f t="shared" si="25"/>
        <v>0</v>
      </c>
      <c r="K164" s="75">
        <f t="shared" si="26"/>
        <v>0</v>
      </c>
      <c r="L164" s="109">
        <v>0</v>
      </c>
      <c r="M164" s="110">
        <v>0</v>
      </c>
      <c r="N164" s="128"/>
    </row>
    <row r="165" spans="1:14" ht="5.0999999999999996" customHeight="1" x14ac:dyDescent="0.25">
      <c r="A165" s="1235"/>
      <c r="B165" s="73"/>
      <c r="C165" s="74"/>
      <c r="D165" s="75"/>
      <c r="E165" s="75"/>
      <c r="F165" s="75"/>
      <c r="G165" s="75"/>
      <c r="H165" s="75"/>
      <c r="I165" s="75"/>
      <c r="J165" s="75"/>
      <c r="K165" s="75"/>
      <c r="L165" s="75"/>
      <c r="M165" s="76"/>
      <c r="N165" s="128"/>
    </row>
    <row r="166" spans="1:14" ht="12.75" customHeight="1" x14ac:dyDescent="0.25">
      <c r="A166" s="486" t="s">
        <v>1679</v>
      </c>
      <c r="B166" s="73"/>
      <c r="C166" s="236">
        <f t="shared" ref="C166:M166" si="34">SUM(C167:C167)</f>
        <v>0</v>
      </c>
      <c r="D166" s="237">
        <f t="shared" si="34"/>
        <v>0</v>
      </c>
      <c r="E166" s="237">
        <f t="shared" si="34"/>
        <v>0</v>
      </c>
      <c r="F166" s="237">
        <f t="shared" si="34"/>
        <v>0</v>
      </c>
      <c r="G166" s="237">
        <f t="shared" si="34"/>
        <v>0</v>
      </c>
      <c r="H166" s="237">
        <f t="shared" si="34"/>
        <v>0</v>
      </c>
      <c r="I166" s="237">
        <f t="shared" si="34"/>
        <v>0</v>
      </c>
      <c r="J166" s="237">
        <f t="shared" si="25"/>
        <v>0</v>
      </c>
      <c r="K166" s="237">
        <f t="shared" si="26"/>
        <v>0</v>
      </c>
      <c r="L166" s="237">
        <f t="shared" si="34"/>
        <v>0</v>
      </c>
      <c r="M166" s="238">
        <f t="shared" si="34"/>
        <v>0</v>
      </c>
      <c r="N166" s="128"/>
    </row>
    <row r="167" spans="1:14" ht="12.75" customHeight="1" x14ac:dyDescent="0.25">
      <c r="A167" s="588" t="s">
        <v>1679</v>
      </c>
      <c r="B167" s="73"/>
      <c r="C167" s="130">
        <v>0</v>
      </c>
      <c r="D167" s="109">
        <v>0</v>
      </c>
      <c r="E167" s="109">
        <v>0</v>
      </c>
      <c r="F167" s="109">
        <v>0</v>
      </c>
      <c r="G167" s="109">
        <v>0</v>
      </c>
      <c r="H167" s="109">
        <v>0</v>
      </c>
      <c r="I167" s="109">
        <v>0</v>
      </c>
      <c r="J167" s="75">
        <f t="shared" si="25"/>
        <v>0</v>
      </c>
      <c r="K167" s="75">
        <f t="shared" si="26"/>
        <v>0</v>
      </c>
      <c r="L167" s="109">
        <v>0</v>
      </c>
      <c r="M167" s="110">
        <v>0</v>
      </c>
      <c r="N167" s="128"/>
    </row>
    <row r="168" spans="1:14" ht="5.0999999999999996" customHeight="1" x14ac:dyDescent="0.25">
      <c r="A168" s="136"/>
      <c r="B168" s="73"/>
      <c r="C168" s="74"/>
      <c r="D168" s="75"/>
      <c r="E168" s="75"/>
      <c r="F168" s="75"/>
      <c r="G168" s="75"/>
      <c r="H168" s="75"/>
      <c r="I168" s="75"/>
      <c r="J168" s="75"/>
      <c r="K168" s="75"/>
      <c r="L168" s="75"/>
      <c r="M168" s="76"/>
      <c r="N168" s="128"/>
    </row>
    <row r="169" spans="1:14" ht="12.75" customHeight="1" x14ac:dyDescent="0.25">
      <c r="A169" s="846" t="s">
        <v>1185</v>
      </c>
      <c r="B169" s="156">
        <v>1</v>
      </c>
      <c r="C169" s="157">
        <f>C8+C76+C105+C112+C120+C151+C138+C141+C154+C157+C160+C163+C166</f>
        <v>845912778</v>
      </c>
      <c r="D169" s="117">
        <f t="shared" ref="D169:M169" si="35">D8+D76+D105+D112+D120+D151+D138+D141+D154+D157+D160+D163+D166</f>
        <v>853570768</v>
      </c>
      <c r="E169" s="117">
        <f t="shared" si="35"/>
        <v>0</v>
      </c>
      <c r="F169" s="117">
        <f t="shared" si="35"/>
        <v>0</v>
      </c>
      <c r="G169" s="117">
        <f t="shared" si="35"/>
        <v>0</v>
      </c>
      <c r="H169" s="117">
        <f t="shared" si="35"/>
        <v>46219954</v>
      </c>
      <c r="I169" s="117">
        <f t="shared" si="35"/>
        <v>-188663914</v>
      </c>
      <c r="J169" s="117">
        <f t="shared" si="25"/>
        <v>-142443960</v>
      </c>
      <c r="K169" s="117">
        <f t="shared" si="26"/>
        <v>711126808</v>
      </c>
      <c r="L169" s="117">
        <f t="shared" si="35"/>
        <v>453395612</v>
      </c>
      <c r="M169" s="118">
        <f t="shared" si="35"/>
        <v>369858173</v>
      </c>
      <c r="N169" s="128"/>
    </row>
    <row r="170" spans="1:14" ht="12.75" customHeight="1" x14ac:dyDescent="0.25">
      <c r="A170" s="500"/>
      <c r="B170" s="121"/>
      <c r="C170" s="501"/>
      <c r="D170" s="501"/>
      <c r="E170" s="501"/>
      <c r="F170" s="501"/>
      <c r="G170" s="501"/>
      <c r="H170" s="501"/>
      <c r="I170" s="501"/>
      <c r="J170" s="501"/>
      <c r="K170" s="501"/>
      <c r="L170" s="501"/>
      <c r="M170" s="501"/>
      <c r="N170" s="128"/>
    </row>
    <row r="171" spans="1:14" ht="12.75" customHeight="1" x14ac:dyDescent="0.25">
      <c r="A171" s="591" t="str">
        <f>head27a</f>
        <v>References</v>
      </c>
      <c r="B171" s="121"/>
      <c r="C171" s="53"/>
      <c r="D171" s="53"/>
      <c r="E171" s="53"/>
      <c r="F171" s="53"/>
      <c r="G171" s="53"/>
      <c r="H171" s="53"/>
      <c r="I171" s="53"/>
      <c r="J171" s="53"/>
      <c r="K171" s="53"/>
      <c r="L171" s="53"/>
      <c r="M171" s="53"/>
      <c r="N171" s="128"/>
    </row>
    <row r="172" spans="1:14" ht="12.75" customHeight="1" x14ac:dyDescent="0.25">
      <c r="A172" s="847" t="s">
        <v>1684</v>
      </c>
      <c r="B172" s="121"/>
      <c r="C172" s="53"/>
      <c r="D172" s="53"/>
      <c r="E172" s="53"/>
      <c r="F172" s="53"/>
      <c r="G172" s="53"/>
      <c r="H172" s="53"/>
      <c r="I172" s="53"/>
      <c r="J172" s="53"/>
      <c r="K172" s="53"/>
      <c r="L172" s="53"/>
      <c r="M172" s="53"/>
      <c r="N172" s="128"/>
    </row>
    <row r="173" spans="1:14" ht="12.75" customHeight="1" x14ac:dyDescent="0.25">
      <c r="A173" s="1402" t="s">
        <v>984</v>
      </c>
      <c r="B173" s="1402"/>
      <c r="C173" s="1402"/>
      <c r="D173" s="1402"/>
      <c r="E173" s="1402"/>
      <c r="F173" s="1402"/>
      <c r="G173" s="1402"/>
      <c r="H173" s="1402"/>
      <c r="I173" s="1402"/>
      <c r="J173" s="1402"/>
      <c r="K173" s="1402"/>
      <c r="L173" s="1402"/>
      <c r="M173" s="1402"/>
      <c r="N173" s="128"/>
    </row>
    <row r="174" spans="1:14" ht="12.75" customHeight="1" x14ac:dyDescent="0.25">
      <c r="A174" s="1402" t="s">
        <v>990</v>
      </c>
      <c r="B174" s="1402"/>
      <c r="C174" s="1402"/>
      <c r="D174" s="1402"/>
      <c r="E174" s="1402"/>
      <c r="F174" s="1402"/>
      <c r="G174" s="1402"/>
      <c r="H174" s="1402"/>
      <c r="I174" s="1402"/>
      <c r="J174" s="1402"/>
      <c r="K174" s="98"/>
      <c r="L174" s="98"/>
      <c r="M174" s="98"/>
      <c r="N174" s="128"/>
    </row>
    <row r="175" spans="1:14" ht="12.75" customHeight="1" x14ac:dyDescent="0.25">
      <c r="A175" s="1402" t="s">
        <v>991</v>
      </c>
      <c r="B175" s="1402"/>
      <c r="C175" s="1402"/>
      <c r="D175" s="1402"/>
      <c r="E175" s="1402"/>
      <c r="F175" s="1402"/>
      <c r="G175" s="1402"/>
      <c r="H175" s="1402"/>
      <c r="I175" s="1402"/>
      <c r="J175" s="1402"/>
      <c r="K175" s="98"/>
      <c r="L175" s="98"/>
      <c r="M175" s="98"/>
      <c r="N175" s="128"/>
    </row>
    <row r="176" spans="1:14" ht="12.75" customHeight="1" x14ac:dyDescent="0.25">
      <c r="A176" s="1402" t="s">
        <v>1014</v>
      </c>
      <c r="B176" s="1402"/>
      <c r="C176" s="1402"/>
      <c r="D176" s="1402"/>
      <c r="E176" s="1402"/>
      <c r="F176" s="1402"/>
      <c r="G176" s="1402"/>
      <c r="H176" s="1402"/>
      <c r="I176" s="1402"/>
      <c r="J176" s="1402"/>
      <c r="K176" s="1402"/>
      <c r="L176" s="1402"/>
      <c r="M176" s="1402"/>
      <c r="N176" s="128"/>
    </row>
    <row r="177" spans="1:14" ht="12.75" customHeight="1" x14ac:dyDescent="0.25">
      <c r="A177" s="99" t="s">
        <v>1015</v>
      </c>
      <c r="B177" s="93"/>
      <c r="C177" s="96"/>
      <c r="D177" s="96"/>
      <c r="E177" s="96"/>
      <c r="F177" s="96"/>
      <c r="G177" s="96"/>
      <c r="H177" s="96"/>
      <c r="I177" s="96"/>
      <c r="J177" s="96"/>
      <c r="K177" s="96"/>
      <c r="L177" s="96"/>
      <c r="M177" s="96"/>
      <c r="N177" s="128"/>
    </row>
    <row r="178" spans="1:14" ht="12.75" customHeight="1" x14ac:dyDescent="0.25">
      <c r="A178" s="1402" t="s">
        <v>1016</v>
      </c>
      <c r="B178" s="1402"/>
      <c r="C178" s="1402"/>
      <c r="D178" s="1402"/>
      <c r="E178" s="1402"/>
      <c r="F178" s="1402"/>
      <c r="G178" s="1402"/>
      <c r="H178" s="1402"/>
      <c r="I178" s="1402"/>
      <c r="J178" s="1402"/>
      <c r="K178" s="1402"/>
      <c r="L178" s="1402"/>
      <c r="M178" s="1402"/>
      <c r="N178" s="128"/>
    </row>
    <row r="179" spans="1:14" ht="12.75" customHeight="1" x14ac:dyDescent="0.25">
      <c r="A179" s="99" t="s">
        <v>1017</v>
      </c>
      <c r="B179" s="93"/>
      <c r="C179" s="96"/>
      <c r="D179" s="96"/>
      <c r="E179" s="96"/>
      <c r="F179" s="96"/>
      <c r="G179" s="96"/>
      <c r="H179" s="96"/>
      <c r="I179" s="96"/>
      <c r="J179" s="96"/>
      <c r="K179" s="96"/>
      <c r="L179" s="96"/>
      <c r="M179" s="96"/>
      <c r="N179" s="128"/>
    </row>
    <row r="180" spans="1:14" ht="12.75" customHeight="1" x14ac:dyDescent="0.25">
      <c r="A180" s="1402" t="s">
        <v>1018</v>
      </c>
      <c r="B180" s="1402"/>
      <c r="C180" s="1402"/>
      <c r="D180" s="1402"/>
      <c r="E180" s="1402"/>
      <c r="F180" s="1402"/>
      <c r="G180" s="1402"/>
      <c r="H180" s="1402"/>
      <c r="I180" s="1402"/>
      <c r="J180" s="1402"/>
      <c r="K180" s="1402"/>
      <c r="L180" s="1402"/>
      <c r="M180" s="1402"/>
      <c r="N180" s="128"/>
    </row>
    <row r="181" spans="1:14" ht="11.25" customHeight="1" x14ac:dyDescent="0.25">
      <c r="A181" s="901"/>
      <c r="B181" s="121"/>
      <c r="C181" s="53"/>
      <c r="D181" s="53"/>
      <c r="E181" s="53"/>
      <c r="F181" s="53"/>
      <c r="G181" s="53"/>
      <c r="H181" s="53"/>
      <c r="I181" s="53"/>
      <c r="J181" s="53"/>
      <c r="K181" s="53"/>
      <c r="L181" s="53"/>
      <c r="M181" s="53"/>
      <c r="N181" s="128"/>
    </row>
    <row r="182" spans="1:14" ht="11.25" customHeight="1" x14ac:dyDescent="0.25">
      <c r="A182" s="48"/>
      <c r="B182" s="121"/>
      <c r="C182" s="53"/>
      <c r="D182" s="53"/>
      <c r="E182" s="53"/>
      <c r="F182" s="53"/>
      <c r="G182" s="53"/>
      <c r="H182" s="53"/>
      <c r="I182" s="53"/>
      <c r="J182" s="53"/>
      <c r="K182" s="53"/>
      <c r="L182" s="53"/>
      <c r="M182" s="53"/>
      <c r="N182" s="128"/>
    </row>
    <row r="183" spans="1:14" ht="11.25" customHeight="1" x14ac:dyDescent="0.25">
      <c r="A183" s="122" t="s">
        <v>671</v>
      </c>
      <c r="B183" s="160"/>
      <c r="C183" s="784">
        <f>(C169+SB18b!C169+SB18e!C169)-'B5-Capex'!C65</f>
        <v>0</v>
      </c>
      <c r="D183" s="784"/>
      <c r="E183" s="784"/>
      <c r="F183" s="784"/>
      <c r="G183" s="784"/>
      <c r="H183" s="784"/>
      <c r="I183" s="784"/>
      <c r="J183" s="784"/>
      <c r="K183" s="784"/>
      <c r="L183" s="784">
        <f>(L169+SB18b!L169+SB18e!L169)-'B5-Capex'!L65</f>
        <v>0</v>
      </c>
      <c r="M183" s="784">
        <f>(M169+SB18b!M169+SB18e!M169)-'B5-Capex'!M65</f>
        <v>0</v>
      </c>
      <c r="N183" s="128"/>
    </row>
    <row r="184" spans="1:14" ht="11.25" customHeight="1" x14ac:dyDescent="0.25">
      <c r="N184" s="128"/>
    </row>
    <row r="185" spans="1:14" ht="11.25" customHeight="1" x14ac:dyDescent="0.25"/>
    <row r="186" spans="1:14" ht="11.25" customHeight="1" x14ac:dyDescent="0.25"/>
    <row r="187" spans="1:14" ht="11.25" customHeight="1" x14ac:dyDescent="0.25"/>
    <row r="188" spans="1:14" ht="11.25" customHeight="1" x14ac:dyDescent="0.25"/>
    <row r="189" spans="1:14" ht="11.25" customHeight="1" x14ac:dyDescent="0.25"/>
    <row r="190" spans="1:14" ht="11.25" customHeight="1" x14ac:dyDescent="0.25"/>
    <row r="191" spans="1:14" ht="11.25" customHeight="1" x14ac:dyDescent="0.25"/>
    <row r="192" spans="1:14" ht="11.25" customHeight="1" x14ac:dyDescent="0.25"/>
    <row r="193" ht="11.25" customHeight="1" x14ac:dyDescent="0.25"/>
    <row r="194" ht="11.25" customHeight="1" x14ac:dyDescent="0.25"/>
    <row r="195" ht="11.25" customHeight="1" x14ac:dyDescent="0.25"/>
    <row r="196" ht="11.25" customHeight="1" x14ac:dyDescent="0.25"/>
    <row r="197" ht="11.25" customHeight="1" x14ac:dyDescent="0.25"/>
    <row r="198" ht="11.25" customHeight="1" x14ac:dyDescent="0.25"/>
    <row r="199" ht="11.25" customHeight="1" x14ac:dyDescent="0.25"/>
    <row r="200" ht="11.25" customHeight="1" x14ac:dyDescent="0.25"/>
    <row r="201" ht="11.25" customHeight="1" x14ac:dyDescent="0.25"/>
    <row r="202" ht="11.25" customHeight="1" x14ac:dyDescent="0.25"/>
    <row r="203" ht="11.25" customHeight="1" x14ac:dyDescent="0.25"/>
    <row r="204" ht="11.25" customHeight="1" x14ac:dyDescent="0.25"/>
    <row r="205" ht="11.25" customHeight="1" x14ac:dyDescent="0.25"/>
    <row r="206" ht="11.25" customHeight="1" x14ac:dyDescent="0.25"/>
    <row r="207" ht="11.25" customHeight="1" x14ac:dyDescent="0.25"/>
    <row r="208" ht="11.25" customHeight="1" x14ac:dyDescent="0.25"/>
    <row r="209" ht="11.25" customHeight="1" x14ac:dyDescent="0.25"/>
    <row r="210" ht="11.25" customHeight="1" x14ac:dyDescent="0.25"/>
    <row r="211" ht="11.25" customHeight="1" x14ac:dyDescent="0.25"/>
    <row r="212" ht="11.25" customHeight="1" x14ac:dyDescent="0.25"/>
    <row r="213" ht="11.25" customHeight="1" x14ac:dyDescent="0.25"/>
    <row r="214" ht="11.25" customHeight="1" x14ac:dyDescent="0.25"/>
    <row r="215" ht="11.25" customHeight="1" x14ac:dyDescent="0.25"/>
    <row r="216" ht="11.25" customHeight="1" x14ac:dyDescent="0.25"/>
    <row r="217" ht="11.25" customHeight="1" x14ac:dyDescent="0.25"/>
    <row r="218" ht="11.25" customHeight="1" x14ac:dyDescent="0.25"/>
  </sheetData>
  <sheetProtection sheet="1" objects="1" scenarios="1"/>
  <mergeCells count="9">
    <mergeCell ref="A2:A4"/>
    <mergeCell ref="A178:M178"/>
    <mergeCell ref="A180:M180"/>
    <mergeCell ref="A173:M173"/>
    <mergeCell ref="A174:J174"/>
    <mergeCell ref="A175:J175"/>
    <mergeCell ref="A176:M176"/>
    <mergeCell ref="C2:K2"/>
    <mergeCell ref="B2:B4"/>
  </mergeCells>
  <phoneticPr fontId="4" type="noConversion"/>
  <printOptions horizontalCentered="1"/>
  <pageMargins left="0.35433070866141736" right="0.15748031496062992" top="0.78740157480314965" bottom="0.59055118110236227" header="0.51181102362204722" footer="0.39370078740157483"/>
  <pageSetup paperSize="9" scale="36" orientation="portrait" r:id="rId1"/>
  <headerFooter alignWithMargins="0"/>
  <ignoredErrors>
    <ignoredError sqref="D113 D116" formula="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42"/>
  </sheetPr>
  <dimension ref="A1:N218"/>
  <sheetViews>
    <sheetView showGridLines="0" topLeftCell="A142" zoomScaleNormal="100" workbookViewId="0">
      <selection activeCell="M169" sqref="C8:M169"/>
    </sheetView>
  </sheetViews>
  <sheetFormatPr defaultColWidth="9.140625" defaultRowHeight="12.75" x14ac:dyDescent="0.25"/>
  <cols>
    <col min="1" max="1" width="42.85546875" style="5" customWidth="1"/>
    <col min="2" max="2" width="3.140625" style="58" customWidth="1"/>
    <col min="3" max="13" width="9.140625" style="5"/>
    <col min="14" max="14" width="13.28515625" style="5" customWidth="1"/>
    <col min="15" max="15" width="9.5703125" style="5" customWidth="1"/>
    <col min="16" max="16" width="9.85546875" style="5" customWidth="1"/>
    <col min="17" max="19" width="9.5703125" style="5" customWidth="1"/>
    <col min="20" max="20" width="9.85546875" style="5" customWidth="1"/>
    <col min="21" max="23" width="9.5703125" style="5" customWidth="1"/>
    <col min="24" max="25" width="9.85546875" style="5" customWidth="1"/>
    <col min="26" max="16384" width="9.140625" style="5"/>
  </cols>
  <sheetData>
    <row r="1" spans="1:14" ht="13.5" x14ac:dyDescent="0.25">
      <c r="A1" s="57" t="str">
        <f>muni&amp;" - "&amp;ADJB18b&amp;" - "&amp;Date</f>
        <v>LIM354 Polokwane - Supporting Table SB18b Adjustments Budget - capital expenditure on renewal of existing assets by asset class - 2020</v>
      </c>
      <c r="B1" s="5"/>
      <c r="C1" s="58"/>
    </row>
    <row r="2" spans="1:14" ht="25.5" x14ac:dyDescent="0.25">
      <c r="A2" s="1406" t="str">
        <f>desc</f>
        <v>Description</v>
      </c>
      <c r="B2" s="1406" t="str">
        <f>head27</f>
        <v>Ref</v>
      </c>
      <c r="C2" s="1403" t="str">
        <f>Head2</f>
        <v>Budget Year 2020/21</v>
      </c>
      <c r="D2" s="1404"/>
      <c r="E2" s="1404"/>
      <c r="F2" s="1404"/>
      <c r="G2" s="1404"/>
      <c r="H2" s="1404"/>
      <c r="I2" s="1404"/>
      <c r="J2" s="1404"/>
      <c r="K2" s="1405"/>
      <c r="L2" s="169" t="str">
        <f>Head10</f>
        <v>Budget Year +1 2021/22</v>
      </c>
      <c r="M2" s="170" t="str">
        <f>Head11</f>
        <v>Budget Year +2 2022/23</v>
      </c>
    </row>
    <row r="3" spans="1:14" ht="25.5" x14ac:dyDescent="0.25">
      <c r="A3" s="1407"/>
      <c r="B3" s="1407"/>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x14ac:dyDescent="0.25">
      <c r="A4" s="1407"/>
      <c r="B4" s="1407"/>
      <c r="C4" s="65"/>
      <c r="D4" s="15">
        <v>7</v>
      </c>
      <c r="E4" s="15">
        <v>8</v>
      </c>
      <c r="F4" s="15">
        <v>9</v>
      </c>
      <c r="G4" s="15">
        <v>10</v>
      </c>
      <c r="H4" s="15">
        <v>11</v>
      </c>
      <c r="I4" s="15">
        <v>12</v>
      </c>
      <c r="J4" s="15">
        <v>13</v>
      </c>
      <c r="K4" s="15">
        <v>14</v>
      </c>
      <c r="L4" s="15"/>
      <c r="M4" s="17"/>
    </row>
    <row r="5" spans="1:14" x14ac:dyDescent="0.25">
      <c r="A5" s="66" t="s">
        <v>603</v>
      </c>
      <c r="B5" s="104"/>
      <c r="C5" s="67" t="s">
        <v>547</v>
      </c>
      <c r="D5" s="68" t="s">
        <v>548</v>
      </c>
      <c r="E5" s="68" t="s">
        <v>549</v>
      </c>
      <c r="F5" s="69" t="s">
        <v>550</v>
      </c>
      <c r="G5" s="69" t="s">
        <v>551</v>
      </c>
      <c r="H5" s="69" t="s">
        <v>552</v>
      </c>
      <c r="I5" s="70" t="s">
        <v>553</v>
      </c>
      <c r="J5" s="70" t="s">
        <v>554</v>
      </c>
      <c r="K5" s="70" t="s">
        <v>555</v>
      </c>
      <c r="L5" s="70"/>
      <c r="M5" s="71"/>
    </row>
    <row r="6" spans="1:14" ht="12.75" customHeight="1" x14ac:dyDescent="0.25">
      <c r="A6" s="845" t="s">
        <v>1186</v>
      </c>
      <c r="B6" s="73"/>
      <c r="C6" s="74"/>
      <c r="D6" s="75"/>
      <c r="E6" s="75"/>
      <c r="F6" s="75"/>
      <c r="G6" s="75"/>
      <c r="H6" s="75"/>
      <c r="I6" s="75"/>
      <c r="J6" s="75"/>
      <c r="K6" s="75"/>
      <c r="L6" s="75"/>
      <c r="M6" s="76"/>
      <c r="N6" s="128"/>
    </row>
    <row r="7" spans="1:14" ht="5.0999999999999996" customHeight="1" x14ac:dyDescent="0.25">
      <c r="A7" s="126"/>
      <c r="B7" s="73"/>
      <c r="C7" s="74"/>
      <c r="D7" s="75"/>
      <c r="E7" s="75"/>
      <c r="F7" s="75"/>
      <c r="G7" s="75"/>
      <c r="H7" s="75"/>
      <c r="I7" s="75"/>
      <c r="J7" s="75"/>
      <c r="K7" s="75"/>
      <c r="L7" s="75"/>
      <c r="M7" s="76"/>
      <c r="N7" s="128"/>
    </row>
    <row r="8" spans="1:14" ht="12.75" customHeight="1" x14ac:dyDescent="0.25">
      <c r="A8" s="126" t="s">
        <v>764</v>
      </c>
      <c r="B8" s="73"/>
      <c r="C8" s="693">
        <f>C9+C14+C18+C28+C70+C39+C46+C54+C64</f>
        <v>1500000</v>
      </c>
      <c r="D8" s="693">
        <f t="shared" ref="D8:I8" si="0">D9+D14+D18+D28+D70+D39+D46+D54+D64</f>
        <v>1500000</v>
      </c>
      <c r="E8" s="693">
        <f t="shared" si="0"/>
        <v>0</v>
      </c>
      <c r="F8" s="693">
        <f t="shared" si="0"/>
        <v>0</v>
      </c>
      <c r="G8" s="693">
        <f t="shared" si="0"/>
        <v>0</v>
      </c>
      <c r="H8" s="693">
        <f t="shared" si="0"/>
        <v>0</v>
      </c>
      <c r="I8" s="693">
        <f t="shared" si="0"/>
        <v>7680377</v>
      </c>
      <c r="J8" s="694">
        <f>SUM(E8:I8)</f>
        <v>7680377</v>
      </c>
      <c r="K8" s="694">
        <f>IF(D8=0,C8+J8,D8+J8)</f>
        <v>9180377</v>
      </c>
      <c r="L8" s="693">
        <f>L9+L14+L18+L28+L70+L39+L46+L54+L64</f>
        <v>3061153</v>
      </c>
      <c r="M8" s="695">
        <f>M9+M14+M18+M28+M70+M39+M46+M54+M64</f>
        <v>4219945</v>
      </c>
      <c r="N8" s="839"/>
    </row>
    <row r="9" spans="1:14" ht="12.75" customHeight="1" x14ac:dyDescent="0.25">
      <c r="A9" s="588" t="s">
        <v>1569</v>
      </c>
      <c r="B9" s="73"/>
      <c r="C9" s="265">
        <f>SUM(C10:C13)</f>
        <v>1500000</v>
      </c>
      <c r="D9" s="265">
        <f t="shared" ref="D9:M9" si="1">SUM(D10:D13)</f>
        <v>1500000</v>
      </c>
      <c r="E9" s="265">
        <f t="shared" si="1"/>
        <v>0</v>
      </c>
      <c r="F9" s="265">
        <f t="shared" si="1"/>
        <v>0</v>
      </c>
      <c r="G9" s="265">
        <f t="shared" si="1"/>
        <v>0</v>
      </c>
      <c r="H9" s="265">
        <f t="shared" si="1"/>
        <v>0</v>
      </c>
      <c r="I9" s="265">
        <f t="shared" si="1"/>
        <v>2000000</v>
      </c>
      <c r="J9" s="75">
        <f t="shared" ref="J9:J72" si="2">SUM(E9:I9)</f>
        <v>2000000</v>
      </c>
      <c r="K9" s="75">
        <f t="shared" ref="K9:K72" si="3">IF(D9=0,C9+J9,D9+J9)</f>
        <v>3500000</v>
      </c>
      <c r="L9" s="265">
        <f t="shared" si="1"/>
        <v>1000000</v>
      </c>
      <c r="M9" s="266">
        <f t="shared" si="1"/>
        <v>2000000</v>
      </c>
      <c r="N9" s="128"/>
    </row>
    <row r="10" spans="1:14" ht="12.75" customHeight="1" x14ac:dyDescent="0.25">
      <c r="A10" s="589" t="s">
        <v>1000</v>
      </c>
      <c r="B10" s="73"/>
      <c r="C10" s="109">
        <v>1500000</v>
      </c>
      <c r="D10" s="109">
        <v>1500000</v>
      </c>
      <c r="E10" s="109">
        <v>0</v>
      </c>
      <c r="F10" s="109">
        <v>0</v>
      </c>
      <c r="G10" s="109">
        <v>0</v>
      </c>
      <c r="H10" s="109">
        <v>0</v>
      </c>
      <c r="I10" s="109">
        <v>2000000</v>
      </c>
      <c r="J10" s="75">
        <f t="shared" si="2"/>
        <v>2000000</v>
      </c>
      <c r="K10" s="75">
        <f t="shared" si="3"/>
        <v>3500000</v>
      </c>
      <c r="L10" s="109">
        <v>1000000</v>
      </c>
      <c r="M10" s="110">
        <v>2000000</v>
      </c>
      <c r="N10" s="839"/>
    </row>
    <row r="11" spans="1:14" ht="12.75" customHeight="1" x14ac:dyDescent="0.25">
      <c r="A11" s="589" t="s">
        <v>1570</v>
      </c>
      <c r="B11" s="73"/>
      <c r="C11" s="109">
        <v>0</v>
      </c>
      <c r="D11" s="109">
        <v>0</v>
      </c>
      <c r="E11" s="109">
        <v>0</v>
      </c>
      <c r="F11" s="109">
        <v>0</v>
      </c>
      <c r="G11" s="109">
        <v>0</v>
      </c>
      <c r="H11" s="109">
        <v>0</v>
      </c>
      <c r="I11" s="109">
        <v>0</v>
      </c>
      <c r="J11" s="75">
        <f t="shared" si="2"/>
        <v>0</v>
      </c>
      <c r="K11" s="75">
        <f t="shared" si="3"/>
        <v>0</v>
      </c>
      <c r="L11" s="109">
        <v>0</v>
      </c>
      <c r="M11" s="110">
        <v>0</v>
      </c>
      <c r="N11" s="844"/>
    </row>
    <row r="12" spans="1:14" ht="12.75" customHeight="1" x14ac:dyDescent="0.25">
      <c r="A12" s="589" t="s">
        <v>1571</v>
      </c>
      <c r="B12" s="73"/>
      <c r="C12" s="109">
        <v>0</v>
      </c>
      <c r="D12" s="109">
        <v>0</v>
      </c>
      <c r="E12" s="109">
        <v>0</v>
      </c>
      <c r="F12" s="109">
        <v>0</v>
      </c>
      <c r="G12" s="109">
        <v>0</v>
      </c>
      <c r="H12" s="109">
        <v>0</v>
      </c>
      <c r="I12" s="109">
        <v>0</v>
      </c>
      <c r="J12" s="75">
        <f t="shared" si="2"/>
        <v>0</v>
      </c>
      <c r="K12" s="75">
        <f t="shared" si="3"/>
        <v>0</v>
      </c>
      <c r="L12" s="109">
        <v>0</v>
      </c>
      <c r="M12" s="110">
        <v>0</v>
      </c>
      <c r="N12" s="839"/>
    </row>
    <row r="13" spans="1:14" ht="12.75" customHeight="1" x14ac:dyDescent="0.25">
      <c r="A13" s="589" t="s">
        <v>1572</v>
      </c>
      <c r="B13" s="73"/>
      <c r="C13" s="109">
        <v>0</v>
      </c>
      <c r="D13" s="109">
        <v>0</v>
      </c>
      <c r="E13" s="109">
        <v>0</v>
      </c>
      <c r="F13" s="109">
        <v>0</v>
      </c>
      <c r="G13" s="109">
        <v>0</v>
      </c>
      <c r="H13" s="109">
        <v>0</v>
      </c>
      <c r="I13" s="109">
        <v>0</v>
      </c>
      <c r="J13" s="75">
        <f t="shared" si="2"/>
        <v>0</v>
      </c>
      <c r="K13" s="75">
        <f t="shared" si="3"/>
        <v>0</v>
      </c>
      <c r="L13" s="109">
        <v>0</v>
      </c>
      <c r="M13" s="110">
        <v>0</v>
      </c>
      <c r="N13" s="844"/>
    </row>
    <row r="14" spans="1:14" ht="12.75" customHeight="1" x14ac:dyDescent="0.25">
      <c r="A14" s="588" t="s">
        <v>1573</v>
      </c>
      <c r="B14" s="73"/>
      <c r="C14" s="132">
        <f t="shared" ref="C14:I14" si="4">SUM(C15:C17)</f>
        <v>0</v>
      </c>
      <c r="D14" s="132">
        <f t="shared" si="4"/>
        <v>0</v>
      </c>
      <c r="E14" s="132">
        <f t="shared" si="4"/>
        <v>0</v>
      </c>
      <c r="F14" s="132">
        <f t="shared" si="4"/>
        <v>0</v>
      </c>
      <c r="G14" s="132">
        <f t="shared" si="4"/>
        <v>0</v>
      </c>
      <c r="H14" s="132">
        <f t="shared" si="4"/>
        <v>0</v>
      </c>
      <c r="I14" s="132">
        <f t="shared" si="4"/>
        <v>0</v>
      </c>
      <c r="J14" s="75">
        <f t="shared" si="2"/>
        <v>0</v>
      </c>
      <c r="K14" s="75">
        <f t="shared" si="3"/>
        <v>0</v>
      </c>
      <c r="L14" s="132">
        <f>SUM(L15:L17)</f>
        <v>0</v>
      </c>
      <c r="M14" s="133">
        <f>SUM(M15:M17)</f>
        <v>0</v>
      </c>
      <c r="N14" s="844"/>
    </row>
    <row r="15" spans="1:14" ht="12.75" customHeight="1" x14ac:dyDescent="0.25">
      <c r="A15" s="589" t="s">
        <v>1574</v>
      </c>
      <c r="B15" s="73"/>
      <c r="C15" s="109"/>
      <c r="D15" s="109"/>
      <c r="E15" s="109"/>
      <c r="F15" s="109"/>
      <c r="G15" s="109"/>
      <c r="H15" s="109"/>
      <c r="I15" s="109"/>
      <c r="J15" s="75">
        <f t="shared" si="2"/>
        <v>0</v>
      </c>
      <c r="K15" s="75">
        <f t="shared" si="3"/>
        <v>0</v>
      </c>
      <c r="L15" s="109"/>
      <c r="M15" s="110"/>
      <c r="N15" s="844"/>
    </row>
    <row r="16" spans="1:14" ht="12.75" customHeight="1" x14ac:dyDescent="0.25">
      <c r="A16" s="589" t="s">
        <v>1575</v>
      </c>
      <c r="B16" s="73"/>
      <c r="C16" s="109"/>
      <c r="D16" s="109"/>
      <c r="E16" s="109"/>
      <c r="F16" s="109"/>
      <c r="G16" s="109"/>
      <c r="H16" s="109"/>
      <c r="I16" s="109"/>
      <c r="J16" s="75">
        <f t="shared" si="2"/>
        <v>0</v>
      </c>
      <c r="K16" s="75">
        <f t="shared" si="3"/>
        <v>0</v>
      </c>
      <c r="L16" s="109"/>
      <c r="M16" s="110"/>
      <c r="N16" s="844"/>
    </row>
    <row r="17" spans="1:14" ht="12.75" customHeight="1" x14ac:dyDescent="0.25">
      <c r="A17" s="589" t="s">
        <v>1576</v>
      </c>
      <c r="B17" s="73"/>
      <c r="C17" s="109"/>
      <c r="D17" s="109"/>
      <c r="E17" s="109"/>
      <c r="F17" s="109"/>
      <c r="G17" s="109"/>
      <c r="H17" s="109"/>
      <c r="I17" s="109"/>
      <c r="J17" s="75">
        <f t="shared" si="2"/>
        <v>0</v>
      </c>
      <c r="K17" s="75">
        <f t="shared" si="3"/>
        <v>0</v>
      </c>
      <c r="L17" s="109"/>
      <c r="M17" s="110"/>
      <c r="N17" s="844"/>
    </row>
    <row r="18" spans="1:14" ht="12.75" customHeight="1" x14ac:dyDescent="0.25">
      <c r="A18" s="588" t="s">
        <v>1577</v>
      </c>
      <c r="B18" s="73"/>
      <c r="C18" s="132">
        <f t="shared" ref="C18:M18" si="5">SUM(C19:C27)</f>
        <v>0</v>
      </c>
      <c r="D18" s="132">
        <f t="shared" si="5"/>
        <v>0</v>
      </c>
      <c r="E18" s="132">
        <f t="shared" si="5"/>
        <v>0</v>
      </c>
      <c r="F18" s="132">
        <f t="shared" si="5"/>
        <v>0</v>
      </c>
      <c r="G18" s="132">
        <f t="shared" si="5"/>
        <v>0</v>
      </c>
      <c r="H18" s="132">
        <f t="shared" si="5"/>
        <v>0</v>
      </c>
      <c r="I18" s="132">
        <f t="shared" si="5"/>
        <v>0</v>
      </c>
      <c r="J18" s="75">
        <f t="shared" si="2"/>
        <v>0</v>
      </c>
      <c r="K18" s="75">
        <f t="shared" si="3"/>
        <v>0</v>
      </c>
      <c r="L18" s="132">
        <f t="shared" si="5"/>
        <v>2061153</v>
      </c>
      <c r="M18" s="133">
        <f t="shared" si="5"/>
        <v>2219945</v>
      </c>
      <c r="N18" s="844"/>
    </row>
    <row r="19" spans="1:14" ht="12.75" customHeight="1" x14ac:dyDescent="0.25">
      <c r="A19" s="589" t="s">
        <v>1578</v>
      </c>
      <c r="B19" s="73"/>
      <c r="C19" s="109">
        <v>0</v>
      </c>
      <c r="D19" s="109">
        <v>0</v>
      </c>
      <c r="E19" s="109">
        <v>0</v>
      </c>
      <c r="F19" s="109">
        <v>0</v>
      </c>
      <c r="G19" s="109">
        <v>0</v>
      </c>
      <c r="H19" s="109">
        <v>0</v>
      </c>
      <c r="I19" s="109">
        <v>0</v>
      </c>
      <c r="J19" s="75">
        <f t="shared" si="2"/>
        <v>0</v>
      </c>
      <c r="K19" s="75">
        <f t="shared" si="3"/>
        <v>0</v>
      </c>
      <c r="L19" s="109">
        <v>0</v>
      </c>
      <c r="M19" s="110">
        <v>0</v>
      </c>
      <c r="N19" s="844"/>
    </row>
    <row r="20" spans="1:14" ht="12.6" customHeight="1" x14ac:dyDescent="0.25">
      <c r="A20" s="589" t="s">
        <v>1579</v>
      </c>
      <c r="B20" s="73"/>
      <c r="C20" s="109">
        <v>0</v>
      </c>
      <c r="D20" s="109">
        <v>0</v>
      </c>
      <c r="E20" s="109">
        <v>0</v>
      </c>
      <c r="F20" s="109">
        <v>0</v>
      </c>
      <c r="G20" s="109">
        <v>0</v>
      </c>
      <c r="H20" s="109">
        <v>0</v>
      </c>
      <c r="I20" s="109">
        <v>0</v>
      </c>
      <c r="J20" s="75">
        <f t="shared" si="2"/>
        <v>0</v>
      </c>
      <c r="K20" s="75">
        <f t="shared" si="3"/>
        <v>0</v>
      </c>
      <c r="L20" s="109">
        <v>0</v>
      </c>
      <c r="M20" s="110">
        <v>0</v>
      </c>
      <c r="N20" s="844"/>
    </row>
    <row r="21" spans="1:14" ht="12.75" customHeight="1" x14ac:dyDescent="0.25">
      <c r="A21" s="589" t="s">
        <v>1580</v>
      </c>
      <c r="B21" s="73"/>
      <c r="C21" s="109">
        <v>0</v>
      </c>
      <c r="D21" s="109">
        <v>0</v>
      </c>
      <c r="E21" s="109">
        <v>0</v>
      </c>
      <c r="F21" s="109">
        <v>0</v>
      </c>
      <c r="G21" s="109">
        <v>0</v>
      </c>
      <c r="H21" s="109">
        <v>0</v>
      </c>
      <c r="I21" s="109">
        <v>0</v>
      </c>
      <c r="J21" s="75">
        <f t="shared" si="2"/>
        <v>0</v>
      </c>
      <c r="K21" s="75">
        <f t="shared" si="3"/>
        <v>0</v>
      </c>
      <c r="L21" s="109">
        <v>0</v>
      </c>
      <c r="M21" s="110">
        <v>0</v>
      </c>
      <c r="N21" s="844"/>
    </row>
    <row r="22" spans="1:14" ht="12.75" customHeight="1" x14ac:dyDescent="0.25">
      <c r="A22" s="589" t="s">
        <v>1581</v>
      </c>
      <c r="B22" s="73"/>
      <c r="C22" s="109">
        <v>0</v>
      </c>
      <c r="D22" s="109">
        <v>0</v>
      </c>
      <c r="E22" s="109">
        <v>0</v>
      </c>
      <c r="F22" s="109">
        <v>0</v>
      </c>
      <c r="G22" s="109">
        <v>0</v>
      </c>
      <c r="H22" s="109">
        <v>0</v>
      </c>
      <c r="I22" s="109">
        <v>0</v>
      </c>
      <c r="J22" s="75">
        <f t="shared" si="2"/>
        <v>0</v>
      </c>
      <c r="K22" s="75">
        <f t="shared" si="3"/>
        <v>0</v>
      </c>
      <c r="L22" s="109">
        <v>1082912</v>
      </c>
      <c r="M22" s="110">
        <v>783510</v>
      </c>
      <c r="N22" s="839"/>
    </row>
    <row r="23" spans="1:14" ht="12.75" customHeight="1" x14ac:dyDescent="0.25">
      <c r="A23" s="589" t="s">
        <v>1582</v>
      </c>
      <c r="B23" s="73"/>
      <c r="C23" s="109">
        <v>0</v>
      </c>
      <c r="D23" s="109">
        <v>0</v>
      </c>
      <c r="E23" s="109">
        <v>0</v>
      </c>
      <c r="F23" s="109">
        <v>0</v>
      </c>
      <c r="G23" s="109">
        <v>0</v>
      </c>
      <c r="H23" s="109">
        <v>0</v>
      </c>
      <c r="I23" s="109">
        <v>0</v>
      </c>
      <c r="J23" s="75">
        <f t="shared" si="2"/>
        <v>0</v>
      </c>
      <c r="K23" s="75">
        <f t="shared" si="3"/>
        <v>0</v>
      </c>
      <c r="L23" s="109">
        <v>0</v>
      </c>
      <c r="M23" s="110">
        <v>0</v>
      </c>
      <c r="N23" s="844"/>
    </row>
    <row r="24" spans="1:14" ht="12.75" customHeight="1" x14ac:dyDescent="0.25">
      <c r="A24" s="589" t="s">
        <v>1583</v>
      </c>
      <c r="B24" s="73"/>
      <c r="C24" s="109">
        <v>0</v>
      </c>
      <c r="D24" s="109">
        <v>0</v>
      </c>
      <c r="E24" s="109">
        <v>0</v>
      </c>
      <c r="F24" s="109">
        <v>0</v>
      </c>
      <c r="G24" s="109">
        <v>0</v>
      </c>
      <c r="H24" s="109">
        <v>0</v>
      </c>
      <c r="I24" s="109">
        <v>0</v>
      </c>
      <c r="J24" s="75">
        <f t="shared" si="2"/>
        <v>0</v>
      </c>
      <c r="K24" s="75">
        <f t="shared" si="3"/>
        <v>0</v>
      </c>
      <c r="L24" s="109">
        <v>0</v>
      </c>
      <c r="M24" s="110">
        <v>0</v>
      </c>
      <c r="N24" s="839"/>
    </row>
    <row r="25" spans="1:14" ht="12.75" customHeight="1" x14ac:dyDescent="0.25">
      <c r="A25" s="589" t="s">
        <v>1584</v>
      </c>
      <c r="B25" s="73"/>
      <c r="C25" s="109">
        <v>0</v>
      </c>
      <c r="D25" s="109">
        <v>0</v>
      </c>
      <c r="E25" s="109">
        <v>0</v>
      </c>
      <c r="F25" s="109">
        <v>0</v>
      </c>
      <c r="G25" s="109">
        <v>0</v>
      </c>
      <c r="H25" s="109">
        <v>0</v>
      </c>
      <c r="I25" s="109">
        <v>0</v>
      </c>
      <c r="J25" s="75">
        <f t="shared" si="2"/>
        <v>0</v>
      </c>
      <c r="K25" s="75">
        <f t="shared" si="3"/>
        <v>0</v>
      </c>
      <c r="L25" s="109">
        <v>0</v>
      </c>
      <c r="M25" s="110">
        <v>0</v>
      </c>
      <c r="N25" s="844"/>
    </row>
    <row r="26" spans="1:14" ht="12.75" customHeight="1" x14ac:dyDescent="0.25">
      <c r="A26" s="589" t="s">
        <v>1585</v>
      </c>
      <c r="B26" s="73"/>
      <c r="C26" s="109">
        <v>0</v>
      </c>
      <c r="D26" s="109">
        <v>0</v>
      </c>
      <c r="E26" s="109">
        <v>0</v>
      </c>
      <c r="F26" s="109">
        <v>0</v>
      </c>
      <c r="G26" s="109">
        <v>0</v>
      </c>
      <c r="H26" s="109">
        <v>0</v>
      </c>
      <c r="I26" s="109">
        <v>0</v>
      </c>
      <c r="J26" s="75">
        <f t="shared" si="2"/>
        <v>0</v>
      </c>
      <c r="K26" s="75">
        <f t="shared" si="3"/>
        <v>0</v>
      </c>
      <c r="L26" s="109">
        <v>0</v>
      </c>
      <c r="M26" s="110">
        <v>0</v>
      </c>
      <c r="N26" s="839"/>
    </row>
    <row r="27" spans="1:14" ht="12.75" customHeight="1" x14ac:dyDescent="0.25">
      <c r="A27" s="589" t="s">
        <v>1572</v>
      </c>
      <c r="B27" s="73"/>
      <c r="C27" s="109">
        <v>0</v>
      </c>
      <c r="D27" s="109">
        <v>0</v>
      </c>
      <c r="E27" s="109">
        <v>0</v>
      </c>
      <c r="F27" s="109">
        <v>0</v>
      </c>
      <c r="G27" s="109">
        <v>0</v>
      </c>
      <c r="H27" s="109">
        <v>0</v>
      </c>
      <c r="I27" s="109">
        <v>0</v>
      </c>
      <c r="J27" s="75">
        <f t="shared" si="2"/>
        <v>0</v>
      </c>
      <c r="K27" s="75">
        <f t="shared" si="3"/>
        <v>0</v>
      </c>
      <c r="L27" s="109">
        <v>978241</v>
      </c>
      <c r="M27" s="110">
        <v>1436435</v>
      </c>
      <c r="N27" s="844"/>
    </row>
    <row r="28" spans="1:14" ht="12.75" customHeight="1" x14ac:dyDescent="0.25">
      <c r="A28" s="590" t="s">
        <v>1586</v>
      </c>
      <c r="B28" s="73"/>
      <c r="C28" s="132">
        <f t="shared" ref="C28:M28" si="6">SUM(C29:C38)</f>
        <v>0</v>
      </c>
      <c r="D28" s="132">
        <f t="shared" si="6"/>
        <v>0</v>
      </c>
      <c r="E28" s="132">
        <f t="shared" si="6"/>
        <v>0</v>
      </c>
      <c r="F28" s="132">
        <f t="shared" si="6"/>
        <v>0</v>
      </c>
      <c r="G28" s="132">
        <f t="shared" si="6"/>
        <v>0</v>
      </c>
      <c r="H28" s="132">
        <f t="shared" si="6"/>
        <v>0</v>
      </c>
      <c r="I28" s="132">
        <f t="shared" si="6"/>
        <v>0</v>
      </c>
      <c r="J28" s="75">
        <f t="shared" si="2"/>
        <v>0</v>
      </c>
      <c r="K28" s="75">
        <f t="shared" si="3"/>
        <v>0</v>
      </c>
      <c r="L28" s="132">
        <f t="shared" si="6"/>
        <v>0</v>
      </c>
      <c r="M28" s="133">
        <f t="shared" si="6"/>
        <v>0</v>
      </c>
      <c r="N28" s="844"/>
    </row>
    <row r="29" spans="1:14" ht="12.75" customHeight="1" x14ac:dyDescent="0.25">
      <c r="A29" s="589" t="s">
        <v>1587</v>
      </c>
      <c r="B29" s="73"/>
      <c r="C29" s="109">
        <v>0</v>
      </c>
      <c r="D29" s="109">
        <v>0</v>
      </c>
      <c r="E29" s="109">
        <v>0</v>
      </c>
      <c r="F29" s="109">
        <v>0</v>
      </c>
      <c r="G29" s="109">
        <v>0</v>
      </c>
      <c r="H29" s="109">
        <v>0</v>
      </c>
      <c r="I29" s="109">
        <v>0</v>
      </c>
      <c r="J29" s="75">
        <f t="shared" si="2"/>
        <v>0</v>
      </c>
      <c r="K29" s="75">
        <f t="shared" si="3"/>
        <v>0</v>
      </c>
      <c r="L29" s="109">
        <v>0</v>
      </c>
      <c r="M29" s="110">
        <v>0</v>
      </c>
      <c r="N29" s="844"/>
    </row>
    <row r="30" spans="1:14" ht="12.6" customHeight="1" x14ac:dyDescent="0.25">
      <c r="A30" s="589" t="s">
        <v>1588</v>
      </c>
      <c r="B30" s="73"/>
      <c r="C30" s="109">
        <v>0</v>
      </c>
      <c r="D30" s="109">
        <v>0</v>
      </c>
      <c r="E30" s="109">
        <v>0</v>
      </c>
      <c r="F30" s="109">
        <v>0</v>
      </c>
      <c r="G30" s="109">
        <v>0</v>
      </c>
      <c r="H30" s="109">
        <v>0</v>
      </c>
      <c r="I30" s="109">
        <v>0</v>
      </c>
      <c r="J30" s="75">
        <f t="shared" si="2"/>
        <v>0</v>
      </c>
      <c r="K30" s="75">
        <f t="shared" si="3"/>
        <v>0</v>
      </c>
      <c r="L30" s="109">
        <v>0</v>
      </c>
      <c r="M30" s="110">
        <v>0</v>
      </c>
      <c r="N30" s="844"/>
    </row>
    <row r="31" spans="1:14" ht="12.75" customHeight="1" x14ac:dyDescent="0.25">
      <c r="A31" s="589" t="s">
        <v>1589</v>
      </c>
      <c r="B31" s="73"/>
      <c r="C31" s="109">
        <v>0</v>
      </c>
      <c r="D31" s="109">
        <v>0</v>
      </c>
      <c r="E31" s="109">
        <v>0</v>
      </c>
      <c r="F31" s="109">
        <v>0</v>
      </c>
      <c r="G31" s="109">
        <v>0</v>
      </c>
      <c r="H31" s="109">
        <v>0</v>
      </c>
      <c r="I31" s="109">
        <v>0</v>
      </c>
      <c r="J31" s="75">
        <f t="shared" si="2"/>
        <v>0</v>
      </c>
      <c r="K31" s="75">
        <f t="shared" si="3"/>
        <v>0</v>
      </c>
      <c r="L31" s="109">
        <v>0</v>
      </c>
      <c r="M31" s="110">
        <v>0</v>
      </c>
      <c r="N31" s="844"/>
    </row>
    <row r="32" spans="1:14" ht="12.75" customHeight="1" x14ac:dyDescent="0.25">
      <c r="A32" s="589" t="s">
        <v>1590</v>
      </c>
      <c r="B32" s="73"/>
      <c r="C32" s="109">
        <v>0</v>
      </c>
      <c r="D32" s="109">
        <v>0</v>
      </c>
      <c r="E32" s="109">
        <v>0</v>
      </c>
      <c r="F32" s="109">
        <v>0</v>
      </c>
      <c r="G32" s="109">
        <v>0</v>
      </c>
      <c r="H32" s="109">
        <v>0</v>
      </c>
      <c r="I32" s="109">
        <v>0</v>
      </c>
      <c r="J32" s="75">
        <f t="shared" si="2"/>
        <v>0</v>
      </c>
      <c r="K32" s="75">
        <f t="shared" si="3"/>
        <v>0</v>
      </c>
      <c r="L32" s="109">
        <v>0</v>
      </c>
      <c r="M32" s="110">
        <v>0</v>
      </c>
      <c r="N32" s="839"/>
    </row>
    <row r="33" spans="1:14" ht="12.75" customHeight="1" x14ac:dyDescent="0.25">
      <c r="A33" s="589" t="s">
        <v>1591</v>
      </c>
      <c r="B33" s="73"/>
      <c r="C33" s="109">
        <v>0</v>
      </c>
      <c r="D33" s="109">
        <v>0</v>
      </c>
      <c r="E33" s="109">
        <v>0</v>
      </c>
      <c r="F33" s="109">
        <v>0</v>
      </c>
      <c r="G33" s="109">
        <v>0</v>
      </c>
      <c r="H33" s="109">
        <v>0</v>
      </c>
      <c r="I33" s="109">
        <v>0</v>
      </c>
      <c r="J33" s="75">
        <f t="shared" si="2"/>
        <v>0</v>
      </c>
      <c r="K33" s="75">
        <f t="shared" si="3"/>
        <v>0</v>
      </c>
      <c r="L33" s="109">
        <v>0</v>
      </c>
      <c r="M33" s="110">
        <v>0</v>
      </c>
      <c r="N33" s="844"/>
    </row>
    <row r="34" spans="1:14" ht="12.75" customHeight="1" x14ac:dyDescent="0.25">
      <c r="A34" s="589" t="s">
        <v>1592</v>
      </c>
      <c r="B34" s="73"/>
      <c r="C34" s="109">
        <v>0</v>
      </c>
      <c r="D34" s="109">
        <v>0</v>
      </c>
      <c r="E34" s="109">
        <v>0</v>
      </c>
      <c r="F34" s="109">
        <v>0</v>
      </c>
      <c r="G34" s="109">
        <v>0</v>
      </c>
      <c r="H34" s="109">
        <v>0</v>
      </c>
      <c r="I34" s="109">
        <v>0</v>
      </c>
      <c r="J34" s="75">
        <f t="shared" si="2"/>
        <v>0</v>
      </c>
      <c r="K34" s="75">
        <f t="shared" si="3"/>
        <v>0</v>
      </c>
      <c r="L34" s="109">
        <v>0</v>
      </c>
      <c r="M34" s="110">
        <v>0</v>
      </c>
      <c r="N34" s="839"/>
    </row>
    <row r="35" spans="1:14" ht="12.75" customHeight="1" x14ac:dyDescent="0.25">
      <c r="A35" s="589" t="s">
        <v>1593</v>
      </c>
      <c r="B35" s="73"/>
      <c r="C35" s="109">
        <v>0</v>
      </c>
      <c r="D35" s="109">
        <v>0</v>
      </c>
      <c r="E35" s="109">
        <v>0</v>
      </c>
      <c r="F35" s="109">
        <v>0</v>
      </c>
      <c r="G35" s="109">
        <v>0</v>
      </c>
      <c r="H35" s="109">
        <v>0</v>
      </c>
      <c r="I35" s="109">
        <v>0</v>
      </c>
      <c r="J35" s="75">
        <f t="shared" si="2"/>
        <v>0</v>
      </c>
      <c r="K35" s="75">
        <f t="shared" si="3"/>
        <v>0</v>
      </c>
      <c r="L35" s="109">
        <v>0</v>
      </c>
      <c r="M35" s="110">
        <v>0</v>
      </c>
      <c r="N35" s="844"/>
    </row>
    <row r="36" spans="1:14" ht="12.75" customHeight="1" x14ac:dyDescent="0.25">
      <c r="A36" s="589" t="s">
        <v>1594</v>
      </c>
      <c r="B36" s="73"/>
      <c r="C36" s="109">
        <v>0</v>
      </c>
      <c r="D36" s="109">
        <v>0</v>
      </c>
      <c r="E36" s="109">
        <v>0</v>
      </c>
      <c r="F36" s="109">
        <v>0</v>
      </c>
      <c r="G36" s="109">
        <v>0</v>
      </c>
      <c r="H36" s="109">
        <v>0</v>
      </c>
      <c r="I36" s="109">
        <v>0</v>
      </c>
      <c r="J36" s="75">
        <f t="shared" si="2"/>
        <v>0</v>
      </c>
      <c r="K36" s="75">
        <f t="shared" si="3"/>
        <v>0</v>
      </c>
      <c r="L36" s="109">
        <v>0</v>
      </c>
      <c r="M36" s="110">
        <v>0</v>
      </c>
      <c r="N36" s="839"/>
    </row>
    <row r="37" spans="1:14" ht="12.75" customHeight="1" x14ac:dyDescent="0.25">
      <c r="A37" s="589" t="s">
        <v>1595</v>
      </c>
      <c r="B37" s="73"/>
      <c r="C37" s="109">
        <v>0</v>
      </c>
      <c r="D37" s="109">
        <v>0</v>
      </c>
      <c r="E37" s="109">
        <v>0</v>
      </c>
      <c r="F37" s="109">
        <v>0</v>
      </c>
      <c r="G37" s="109">
        <v>0</v>
      </c>
      <c r="H37" s="109">
        <v>0</v>
      </c>
      <c r="I37" s="109">
        <v>0</v>
      </c>
      <c r="J37" s="75">
        <f t="shared" si="2"/>
        <v>0</v>
      </c>
      <c r="K37" s="75">
        <f t="shared" si="3"/>
        <v>0</v>
      </c>
      <c r="L37" s="109">
        <v>0</v>
      </c>
      <c r="M37" s="110">
        <v>0</v>
      </c>
      <c r="N37" s="844"/>
    </row>
    <row r="38" spans="1:14" ht="12.75" customHeight="1" x14ac:dyDescent="0.25">
      <c r="A38" s="589" t="s">
        <v>1572</v>
      </c>
      <c r="B38" s="73"/>
      <c r="C38" s="109">
        <v>0</v>
      </c>
      <c r="D38" s="109">
        <v>0</v>
      </c>
      <c r="E38" s="109">
        <v>0</v>
      </c>
      <c r="F38" s="109">
        <v>0</v>
      </c>
      <c r="G38" s="109">
        <v>0</v>
      </c>
      <c r="H38" s="109">
        <v>0</v>
      </c>
      <c r="I38" s="109">
        <v>0</v>
      </c>
      <c r="J38" s="75">
        <f t="shared" si="2"/>
        <v>0</v>
      </c>
      <c r="K38" s="75">
        <f t="shared" si="3"/>
        <v>0</v>
      </c>
      <c r="L38" s="109">
        <v>0</v>
      </c>
      <c r="M38" s="110">
        <v>0</v>
      </c>
      <c r="N38" s="844"/>
    </row>
    <row r="39" spans="1:14" ht="12.75" customHeight="1" x14ac:dyDescent="0.25">
      <c r="A39" s="590" t="s">
        <v>1596</v>
      </c>
      <c r="B39" s="73"/>
      <c r="C39" s="1122">
        <f>SUM(C40:C45)</f>
        <v>0</v>
      </c>
      <c r="D39" s="132">
        <f t="shared" ref="D39:M39" si="7">SUM(D40:D45)</f>
        <v>0</v>
      </c>
      <c r="E39" s="132">
        <f t="shared" si="7"/>
        <v>0</v>
      </c>
      <c r="F39" s="132">
        <f t="shared" si="7"/>
        <v>0</v>
      </c>
      <c r="G39" s="132">
        <f t="shared" si="7"/>
        <v>0</v>
      </c>
      <c r="H39" s="132">
        <f t="shared" si="7"/>
        <v>0</v>
      </c>
      <c r="I39" s="132">
        <f t="shared" si="7"/>
        <v>5680377</v>
      </c>
      <c r="J39" s="75">
        <f t="shared" si="2"/>
        <v>5680377</v>
      </c>
      <c r="K39" s="75">
        <f t="shared" si="3"/>
        <v>5680377</v>
      </c>
      <c r="L39" s="132">
        <f t="shared" si="7"/>
        <v>0</v>
      </c>
      <c r="M39" s="133">
        <f t="shared" si="7"/>
        <v>0</v>
      </c>
      <c r="N39" s="128"/>
    </row>
    <row r="40" spans="1:14" ht="12.75" customHeight="1" x14ac:dyDescent="0.25">
      <c r="A40" s="589" t="s">
        <v>1597</v>
      </c>
      <c r="B40" s="73"/>
      <c r="C40" s="109">
        <v>0</v>
      </c>
      <c r="D40" s="109">
        <v>0</v>
      </c>
      <c r="E40" s="109">
        <v>0</v>
      </c>
      <c r="F40" s="109">
        <v>0</v>
      </c>
      <c r="G40" s="109">
        <v>0</v>
      </c>
      <c r="H40" s="109">
        <v>0</v>
      </c>
      <c r="I40" s="109">
        <v>0</v>
      </c>
      <c r="J40" s="75">
        <f t="shared" si="2"/>
        <v>0</v>
      </c>
      <c r="K40" s="75">
        <f t="shared" si="3"/>
        <v>0</v>
      </c>
      <c r="L40" s="109">
        <v>0</v>
      </c>
      <c r="M40" s="110">
        <v>0</v>
      </c>
      <c r="N40" s="839"/>
    </row>
    <row r="41" spans="1:14" ht="12.75" customHeight="1" x14ac:dyDescent="0.25">
      <c r="A41" s="589" t="s">
        <v>485</v>
      </c>
      <c r="B41" s="73"/>
      <c r="C41" s="109">
        <v>0</v>
      </c>
      <c r="D41" s="109">
        <v>0</v>
      </c>
      <c r="E41" s="109">
        <v>0</v>
      </c>
      <c r="F41" s="109">
        <v>0</v>
      </c>
      <c r="G41" s="109">
        <v>0</v>
      </c>
      <c r="H41" s="109">
        <v>0</v>
      </c>
      <c r="I41" s="109">
        <v>0</v>
      </c>
      <c r="J41" s="75">
        <f t="shared" si="2"/>
        <v>0</v>
      </c>
      <c r="K41" s="75">
        <f t="shared" si="3"/>
        <v>0</v>
      </c>
      <c r="L41" s="109">
        <v>0</v>
      </c>
      <c r="M41" s="110">
        <v>0</v>
      </c>
      <c r="N41" s="839"/>
    </row>
    <row r="42" spans="1:14" ht="12.75" customHeight="1" x14ac:dyDescent="0.25">
      <c r="A42" s="589" t="s">
        <v>1598</v>
      </c>
      <c r="B42" s="73"/>
      <c r="C42" s="109">
        <v>0</v>
      </c>
      <c r="D42" s="109">
        <v>0</v>
      </c>
      <c r="E42" s="109">
        <v>0</v>
      </c>
      <c r="F42" s="109">
        <v>0</v>
      </c>
      <c r="G42" s="109">
        <v>0</v>
      </c>
      <c r="H42" s="109">
        <v>0</v>
      </c>
      <c r="I42" s="109">
        <v>5680377</v>
      </c>
      <c r="J42" s="75">
        <f t="shared" si="2"/>
        <v>5680377</v>
      </c>
      <c r="K42" s="75">
        <f t="shared" si="3"/>
        <v>5680377</v>
      </c>
      <c r="L42" s="109">
        <v>0</v>
      </c>
      <c r="M42" s="110">
        <v>0</v>
      </c>
      <c r="N42" s="844"/>
    </row>
    <row r="43" spans="1:14" ht="12.75" customHeight="1" x14ac:dyDescent="0.25">
      <c r="A43" s="589" t="s">
        <v>1599</v>
      </c>
      <c r="B43" s="73"/>
      <c r="C43" s="109">
        <v>0</v>
      </c>
      <c r="D43" s="109">
        <v>0</v>
      </c>
      <c r="E43" s="109">
        <v>0</v>
      </c>
      <c r="F43" s="109">
        <v>0</v>
      </c>
      <c r="G43" s="109">
        <v>0</v>
      </c>
      <c r="H43" s="109">
        <v>0</v>
      </c>
      <c r="I43" s="109">
        <v>0</v>
      </c>
      <c r="J43" s="75">
        <f t="shared" si="2"/>
        <v>0</v>
      </c>
      <c r="K43" s="75">
        <f t="shared" si="3"/>
        <v>0</v>
      </c>
      <c r="L43" s="109">
        <v>0</v>
      </c>
      <c r="M43" s="110">
        <v>0</v>
      </c>
      <c r="N43" s="844"/>
    </row>
    <row r="44" spans="1:14" ht="12.75" customHeight="1" x14ac:dyDescent="0.25">
      <c r="A44" s="589" t="s">
        <v>1600</v>
      </c>
      <c r="B44" s="73"/>
      <c r="C44" s="109">
        <v>0</v>
      </c>
      <c r="D44" s="109">
        <v>0</v>
      </c>
      <c r="E44" s="109">
        <v>0</v>
      </c>
      <c r="F44" s="109">
        <v>0</v>
      </c>
      <c r="G44" s="109">
        <v>0</v>
      </c>
      <c r="H44" s="109">
        <v>0</v>
      </c>
      <c r="I44" s="109">
        <v>0</v>
      </c>
      <c r="J44" s="75">
        <f t="shared" si="2"/>
        <v>0</v>
      </c>
      <c r="K44" s="75">
        <f t="shared" si="3"/>
        <v>0</v>
      </c>
      <c r="L44" s="109">
        <v>0</v>
      </c>
      <c r="M44" s="110">
        <v>0</v>
      </c>
      <c r="N44" s="839"/>
    </row>
    <row r="45" spans="1:14" ht="12.75" customHeight="1" x14ac:dyDescent="0.25">
      <c r="A45" s="589" t="s">
        <v>1572</v>
      </c>
      <c r="B45" s="73"/>
      <c r="C45" s="109">
        <v>0</v>
      </c>
      <c r="D45" s="109">
        <v>0</v>
      </c>
      <c r="E45" s="109">
        <v>0</v>
      </c>
      <c r="F45" s="109">
        <v>0</v>
      </c>
      <c r="G45" s="109">
        <v>0</v>
      </c>
      <c r="H45" s="109">
        <v>0</v>
      </c>
      <c r="I45" s="109">
        <v>0</v>
      </c>
      <c r="J45" s="75">
        <f t="shared" si="2"/>
        <v>0</v>
      </c>
      <c r="K45" s="75">
        <f t="shared" si="3"/>
        <v>0</v>
      </c>
      <c r="L45" s="109">
        <v>0</v>
      </c>
      <c r="M45" s="110">
        <v>0</v>
      </c>
      <c r="N45" s="844"/>
    </row>
    <row r="46" spans="1:14" ht="12.75" customHeight="1" x14ac:dyDescent="0.25">
      <c r="A46" s="590" t="s">
        <v>1601</v>
      </c>
      <c r="B46" s="73"/>
      <c r="C46" s="1122">
        <f>SUM(C47:C53)</f>
        <v>0</v>
      </c>
      <c r="D46" s="132">
        <f t="shared" ref="D46:M46" si="8">SUM(D47:D53)</f>
        <v>0</v>
      </c>
      <c r="E46" s="132">
        <f t="shared" si="8"/>
        <v>0</v>
      </c>
      <c r="F46" s="132">
        <f t="shared" si="8"/>
        <v>0</v>
      </c>
      <c r="G46" s="132">
        <f t="shared" si="8"/>
        <v>0</v>
      </c>
      <c r="H46" s="132">
        <f t="shared" si="8"/>
        <v>0</v>
      </c>
      <c r="I46" s="132">
        <f t="shared" si="8"/>
        <v>0</v>
      </c>
      <c r="J46" s="75">
        <f t="shared" si="2"/>
        <v>0</v>
      </c>
      <c r="K46" s="75">
        <f t="shared" si="3"/>
        <v>0</v>
      </c>
      <c r="L46" s="132">
        <f t="shared" si="8"/>
        <v>0</v>
      </c>
      <c r="M46" s="133">
        <f t="shared" si="8"/>
        <v>0</v>
      </c>
      <c r="N46" s="128"/>
    </row>
    <row r="47" spans="1:14" ht="12.75" customHeight="1" x14ac:dyDescent="0.25">
      <c r="A47" s="589" t="s">
        <v>1602</v>
      </c>
      <c r="B47" s="73"/>
      <c r="C47" s="109">
        <v>0</v>
      </c>
      <c r="D47" s="109">
        <v>0</v>
      </c>
      <c r="E47" s="109">
        <v>0</v>
      </c>
      <c r="F47" s="109">
        <v>0</v>
      </c>
      <c r="G47" s="109">
        <v>0</v>
      </c>
      <c r="H47" s="109">
        <v>0</v>
      </c>
      <c r="I47" s="109">
        <v>0</v>
      </c>
      <c r="J47" s="75">
        <f t="shared" si="2"/>
        <v>0</v>
      </c>
      <c r="K47" s="75">
        <f t="shared" si="3"/>
        <v>0</v>
      </c>
      <c r="L47" s="109">
        <v>0</v>
      </c>
      <c r="M47" s="110">
        <v>0</v>
      </c>
      <c r="N47" s="839"/>
    </row>
    <row r="48" spans="1:14" ht="12.75" customHeight="1" x14ac:dyDescent="0.25">
      <c r="A48" s="589" t="s">
        <v>1603</v>
      </c>
      <c r="B48" s="73"/>
      <c r="C48" s="109">
        <v>0</v>
      </c>
      <c r="D48" s="109">
        <v>0</v>
      </c>
      <c r="E48" s="109">
        <v>0</v>
      </c>
      <c r="F48" s="109">
        <v>0</v>
      </c>
      <c r="G48" s="109">
        <v>0</v>
      </c>
      <c r="H48" s="109">
        <v>0</v>
      </c>
      <c r="I48" s="109">
        <v>0</v>
      </c>
      <c r="J48" s="75">
        <f t="shared" si="2"/>
        <v>0</v>
      </c>
      <c r="K48" s="75">
        <f t="shared" si="3"/>
        <v>0</v>
      </c>
      <c r="L48" s="109">
        <v>0</v>
      </c>
      <c r="M48" s="110">
        <v>0</v>
      </c>
      <c r="N48" s="839"/>
    </row>
    <row r="49" spans="1:14" ht="12.75" customHeight="1" x14ac:dyDescent="0.25">
      <c r="A49" s="589" t="s">
        <v>1604</v>
      </c>
      <c r="B49" s="73"/>
      <c r="C49" s="109">
        <v>0</v>
      </c>
      <c r="D49" s="109">
        <v>0</v>
      </c>
      <c r="E49" s="109">
        <v>0</v>
      </c>
      <c r="F49" s="109">
        <v>0</v>
      </c>
      <c r="G49" s="109">
        <v>0</v>
      </c>
      <c r="H49" s="109">
        <v>0</v>
      </c>
      <c r="I49" s="109">
        <v>0</v>
      </c>
      <c r="J49" s="75">
        <f t="shared" si="2"/>
        <v>0</v>
      </c>
      <c r="K49" s="75">
        <f t="shared" si="3"/>
        <v>0</v>
      </c>
      <c r="L49" s="109">
        <v>0</v>
      </c>
      <c r="M49" s="110">
        <v>0</v>
      </c>
      <c r="N49" s="844"/>
    </row>
    <row r="50" spans="1:14" ht="12.75" customHeight="1" x14ac:dyDescent="0.25">
      <c r="A50" s="589" t="s">
        <v>1605</v>
      </c>
      <c r="B50" s="73"/>
      <c r="C50" s="109">
        <v>0</v>
      </c>
      <c r="D50" s="109">
        <v>0</v>
      </c>
      <c r="E50" s="109">
        <v>0</v>
      </c>
      <c r="F50" s="109">
        <v>0</v>
      </c>
      <c r="G50" s="109">
        <v>0</v>
      </c>
      <c r="H50" s="109">
        <v>0</v>
      </c>
      <c r="I50" s="109">
        <v>0</v>
      </c>
      <c r="J50" s="75">
        <f t="shared" si="2"/>
        <v>0</v>
      </c>
      <c r="K50" s="75">
        <f t="shared" si="3"/>
        <v>0</v>
      </c>
      <c r="L50" s="109">
        <v>0</v>
      </c>
      <c r="M50" s="110">
        <v>0</v>
      </c>
      <c r="N50" s="844"/>
    </row>
    <row r="51" spans="1:14" ht="12.75" customHeight="1" x14ac:dyDescent="0.25">
      <c r="A51" s="589" t="s">
        <v>1606</v>
      </c>
      <c r="B51" s="73"/>
      <c r="C51" s="109">
        <v>0</v>
      </c>
      <c r="D51" s="109">
        <v>0</v>
      </c>
      <c r="E51" s="109">
        <v>0</v>
      </c>
      <c r="F51" s="109">
        <v>0</v>
      </c>
      <c r="G51" s="109">
        <v>0</v>
      </c>
      <c r="H51" s="109">
        <v>0</v>
      </c>
      <c r="I51" s="109">
        <v>0</v>
      </c>
      <c r="J51" s="75">
        <f t="shared" si="2"/>
        <v>0</v>
      </c>
      <c r="K51" s="75">
        <f t="shared" si="3"/>
        <v>0</v>
      </c>
      <c r="L51" s="109">
        <v>0</v>
      </c>
      <c r="M51" s="110">
        <v>0</v>
      </c>
      <c r="N51" s="844"/>
    </row>
    <row r="52" spans="1:14" ht="12.75" customHeight="1" x14ac:dyDescent="0.25">
      <c r="A52" s="589" t="s">
        <v>1607</v>
      </c>
      <c r="B52" s="73"/>
      <c r="C52" s="109">
        <v>0</v>
      </c>
      <c r="D52" s="109">
        <v>0</v>
      </c>
      <c r="E52" s="109">
        <v>0</v>
      </c>
      <c r="F52" s="109">
        <v>0</v>
      </c>
      <c r="G52" s="109">
        <v>0</v>
      </c>
      <c r="H52" s="109">
        <v>0</v>
      </c>
      <c r="I52" s="109">
        <v>0</v>
      </c>
      <c r="J52" s="75">
        <f t="shared" si="2"/>
        <v>0</v>
      </c>
      <c r="K52" s="75">
        <f t="shared" si="3"/>
        <v>0</v>
      </c>
      <c r="L52" s="109">
        <v>0</v>
      </c>
      <c r="M52" s="110">
        <v>0</v>
      </c>
      <c r="N52" s="839"/>
    </row>
    <row r="53" spans="1:14" ht="12.75" customHeight="1" x14ac:dyDescent="0.25">
      <c r="A53" s="589" t="s">
        <v>1572</v>
      </c>
      <c r="B53" s="73"/>
      <c r="C53" s="109">
        <v>0</v>
      </c>
      <c r="D53" s="109">
        <v>0</v>
      </c>
      <c r="E53" s="109">
        <v>0</v>
      </c>
      <c r="F53" s="109">
        <v>0</v>
      </c>
      <c r="G53" s="109">
        <v>0</v>
      </c>
      <c r="H53" s="109">
        <v>0</v>
      </c>
      <c r="I53" s="109">
        <v>0</v>
      </c>
      <c r="J53" s="75">
        <f t="shared" si="2"/>
        <v>0</v>
      </c>
      <c r="K53" s="75">
        <f t="shared" si="3"/>
        <v>0</v>
      </c>
      <c r="L53" s="109">
        <v>0</v>
      </c>
      <c r="M53" s="110">
        <v>0</v>
      </c>
      <c r="N53" s="844"/>
    </row>
    <row r="54" spans="1:14" ht="12.75" customHeight="1" x14ac:dyDescent="0.25">
      <c r="A54" s="588" t="s">
        <v>1608</v>
      </c>
      <c r="B54" s="73"/>
      <c r="C54" s="1122">
        <f>SUM(C55:C63)</f>
        <v>0</v>
      </c>
      <c r="D54" s="132">
        <f t="shared" ref="D54:M54" si="9">SUM(D55:D63)</f>
        <v>0</v>
      </c>
      <c r="E54" s="132">
        <f t="shared" si="9"/>
        <v>0</v>
      </c>
      <c r="F54" s="132">
        <f t="shared" si="9"/>
        <v>0</v>
      </c>
      <c r="G54" s="132">
        <f t="shared" si="9"/>
        <v>0</v>
      </c>
      <c r="H54" s="132">
        <f t="shared" si="9"/>
        <v>0</v>
      </c>
      <c r="I54" s="132">
        <f t="shared" si="9"/>
        <v>0</v>
      </c>
      <c r="J54" s="75">
        <f t="shared" si="2"/>
        <v>0</v>
      </c>
      <c r="K54" s="75">
        <f t="shared" si="3"/>
        <v>0</v>
      </c>
      <c r="L54" s="132">
        <f t="shared" si="9"/>
        <v>0</v>
      </c>
      <c r="M54" s="133">
        <f t="shared" si="9"/>
        <v>0</v>
      </c>
      <c r="N54" s="128"/>
    </row>
    <row r="55" spans="1:14" ht="12.75" customHeight="1" x14ac:dyDescent="0.25">
      <c r="A55" s="589" t="s">
        <v>1609</v>
      </c>
      <c r="B55" s="73"/>
      <c r="C55" s="109">
        <v>0</v>
      </c>
      <c r="D55" s="109">
        <v>0</v>
      </c>
      <c r="E55" s="109">
        <v>0</v>
      </c>
      <c r="F55" s="109">
        <v>0</v>
      </c>
      <c r="G55" s="109">
        <v>0</v>
      </c>
      <c r="H55" s="109">
        <v>0</v>
      </c>
      <c r="I55" s="109">
        <v>0</v>
      </c>
      <c r="J55" s="75">
        <f t="shared" si="2"/>
        <v>0</v>
      </c>
      <c r="K55" s="75">
        <f t="shared" si="3"/>
        <v>0</v>
      </c>
      <c r="L55" s="109"/>
      <c r="M55" s="110"/>
      <c r="N55" s="839"/>
    </row>
    <row r="56" spans="1:14" ht="12.75" customHeight="1" x14ac:dyDescent="0.25">
      <c r="A56" s="589" t="s">
        <v>1610</v>
      </c>
      <c r="B56" s="73"/>
      <c r="C56" s="109">
        <v>0</v>
      </c>
      <c r="D56" s="109">
        <v>0</v>
      </c>
      <c r="E56" s="109">
        <v>0</v>
      </c>
      <c r="F56" s="109">
        <v>0</v>
      </c>
      <c r="G56" s="109">
        <v>0</v>
      </c>
      <c r="H56" s="109">
        <v>0</v>
      </c>
      <c r="I56" s="109">
        <v>0</v>
      </c>
      <c r="J56" s="75">
        <f t="shared" si="2"/>
        <v>0</v>
      </c>
      <c r="K56" s="75">
        <f t="shared" si="3"/>
        <v>0</v>
      </c>
      <c r="L56" s="109">
        <v>0</v>
      </c>
      <c r="M56" s="110">
        <v>0</v>
      </c>
      <c r="N56" s="839"/>
    </row>
    <row r="57" spans="1:14" ht="12.75" customHeight="1" x14ac:dyDescent="0.25">
      <c r="A57" s="589" t="s">
        <v>1611</v>
      </c>
      <c r="B57" s="73"/>
      <c r="C57" s="109">
        <v>0</v>
      </c>
      <c r="D57" s="109">
        <v>0</v>
      </c>
      <c r="E57" s="109">
        <v>0</v>
      </c>
      <c r="F57" s="109">
        <v>0</v>
      </c>
      <c r="G57" s="109">
        <v>0</v>
      </c>
      <c r="H57" s="109">
        <v>0</v>
      </c>
      <c r="I57" s="109">
        <v>0</v>
      </c>
      <c r="J57" s="75">
        <f t="shared" si="2"/>
        <v>0</v>
      </c>
      <c r="K57" s="75">
        <f t="shared" si="3"/>
        <v>0</v>
      </c>
      <c r="L57" s="109">
        <v>0</v>
      </c>
      <c r="M57" s="110">
        <v>0</v>
      </c>
      <c r="N57" s="844"/>
    </row>
    <row r="58" spans="1:14" ht="12.75" customHeight="1" x14ac:dyDescent="0.25">
      <c r="A58" s="589" t="s">
        <v>1574</v>
      </c>
      <c r="B58" s="73"/>
      <c r="C58" s="109">
        <v>0</v>
      </c>
      <c r="D58" s="109">
        <v>0</v>
      </c>
      <c r="E58" s="109">
        <v>0</v>
      </c>
      <c r="F58" s="109">
        <v>0</v>
      </c>
      <c r="G58" s="109">
        <v>0</v>
      </c>
      <c r="H58" s="109">
        <v>0</v>
      </c>
      <c r="I58" s="109">
        <v>0</v>
      </c>
      <c r="J58" s="75">
        <f t="shared" si="2"/>
        <v>0</v>
      </c>
      <c r="K58" s="75">
        <f t="shared" si="3"/>
        <v>0</v>
      </c>
      <c r="L58" s="109">
        <v>0</v>
      </c>
      <c r="M58" s="110">
        <v>0</v>
      </c>
      <c r="N58" s="844"/>
    </row>
    <row r="59" spans="1:14" ht="12.75" customHeight="1" x14ac:dyDescent="0.25">
      <c r="A59" s="589" t="s">
        <v>1575</v>
      </c>
      <c r="B59" s="73"/>
      <c r="C59" s="109">
        <v>0</v>
      </c>
      <c r="D59" s="109">
        <v>0</v>
      </c>
      <c r="E59" s="109">
        <v>0</v>
      </c>
      <c r="F59" s="109">
        <v>0</v>
      </c>
      <c r="G59" s="109">
        <v>0</v>
      </c>
      <c r="H59" s="109">
        <v>0</v>
      </c>
      <c r="I59" s="109">
        <v>0</v>
      </c>
      <c r="J59" s="75">
        <f t="shared" si="2"/>
        <v>0</v>
      </c>
      <c r="K59" s="75">
        <f t="shared" si="3"/>
        <v>0</v>
      </c>
      <c r="L59" s="109">
        <v>0</v>
      </c>
      <c r="M59" s="110">
        <v>0</v>
      </c>
      <c r="N59" s="844"/>
    </row>
    <row r="60" spans="1:14" ht="12.75" customHeight="1" x14ac:dyDescent="0.25">
      <c r="A60" s="589" t="s">
        <v>1576</v>
      </c>
      <c r="B60" s="73"/>
      <c r="C60" s="109">
        <v>0</v>
      </c>
      <c r="D60" s="109">
        <v>0</v>
      </c>
      <c r="E60" s="109">
        <v>0</v>
      </c>
      <c r="F60" s="109">
        <v>0</v>
      </c>
      <c r="G60" s="109">
        <v>0</v>
      </c>
      <c r="H60" s="109">
        <v>0</v>
      </c>
      <c r="I60" s="109">
        <v>0</v>
      </c>
      <c r="J60" s="75">
        <f t="shared" si="2"/>
        <v>0</v>
      </c>
      <c r="K60" s="75">
        <f t="shared" si="3"/>
        <v>0</v>
      </c>
      <c r="L60" s="109">
        <v>0</v>
      </c>
      <c r="M60" s="110">
        <v>0</v>
      </c>
      <c r="N60" s="844"/>
    </row>
    <row r="61" spans="1:14" ht="12.75" customHeight="1" x14ac:dyDescent="0.25">
      <c r="A61" s="589" t="s">
        <v>1582</v>
      </c>
      <c r="B61" s="73"/>
      <c r="C61" s="109">
        <v>0</v>
      </c>
      <c r="D61" s="109">
        <v>0</v>
      </c>
      <c r="E61" s="109">
        <v>0</v>
      </c>
      <c r="F61" s="109">
        <v>0</v>
      </c>
      <c r="G61" s="109">
        <v>0</v>
      </c>
      <c r="H61" s="109">
        <v>0</v>
      </c>
      <c r="I61" s="109">
        <v>0</v>
      </c>
      <c r="J61" s="75">
        <f t="shared" si="2"/>
        <v>0</v>
      </c>
      <c r="K61" s="75">
        <f t="shared" si="3"/>
        <v>0</v>
      </c>
      <c r="L61" s="109">
        <v>0</v>
      </c>
      <c r="M61" s="110">
        <v>0</v>
      </c>
      <c r="N61" s="844"/>
    </row>
    <row r="62" spans="1:14" ht="12.75" customHeight="1" x14ac:dyDescent="0.25">
      <c r="A62" s="589" t="s">
        <v>1585</v>
      </c>
      <c r="B62" s="73"/>
      <c r="C62" s="109">
        <v>0</v>
      </c>
      <c r="D62" s="109">
        <v>0</v>
      </c>
      <c r="E62" s="109">
        <v>0</v>
      </c>
      <c r="F62" s="109">
        <v>0</v>
      </c>
      <c r="G62" s="109">
        <v>0</v>
      </c>
      <c r="H62" s="109">
        <v>0</v>
      </c>
      <c r="I62" s="109">
        <v>0</v>
      </c>
      <c r="J62" s="75">
        <f t="shared" si="2"/>
        <v>0</v>
      </c>
      <c r="K62" s="75">
        <f t="shared" si="3"/>
        <v>0</v>
      </c>
      <c r="L62" s="109">
        <v>0</v>
      </c>
      <c r="M62" s="110">
        <v>0</v>
      </c>
      <c r="N62" s="839"/>
    </row>
    <row r="63" spans="1:14" ht="12.75" customHeight="1" x14ac:dyDescent="0.25">
      <c r="A63" s="589" t="s">
        <v>1572</v>
      </c>
      <c r="B63" s="73"/>
      <c r="C63" s="109">
        <v>0</v>
      </c>
      <c r="D63" s="109">
        <v>0</v>
      </c>
      <c r="E63" s="109">
        <v>0</v>
      </c>
      <c r="F63" s="109">
        <v>0</v>
      </c>
      <c r="G63" s="109">
        <v>0</v>
      </c>
      <c r="H63" s="109">
        <v>0</v>
      </c>
      <c r="I63" s="109">
        <v>0</v>
      </c>
      <c r="J63" s="75">
        <f t="shared" si="2"/>
        <v>0</v>
      </c>
      <c r="K63" s="75">
        <f t="shared" si="3"/>
        <v>0</v>
      </c>
      <c r="L63" s="109">
        <v>0</v>
      </c>
      <c r="M63" s="110">
        <v>0</v>
      </c>
      <c r="N63" s="844"/>
    </row>
    <row r="64" spans="1:14" ht="12.75" customHeight="1" x14ac:dyDescent="0.25">
      <c r="A64" s="590" t="s">
        <v>1612</v>
      </c>
      <c r="B64" s="73"/>
      <c r="C64" s="1122">
        <f t="shared" ref="C64:M64" si="10">SUM(C65:C69)</f>
        <v>0</v>
      </c>
      <c r="D64" s="132">
        <f t="shared" si="10"/>
        <v>0</v>
      </c>
      <c r="E64" s="132">
        <f t="shared" si="10"/>
        <v>0</v>
      </c>
      <c r="F64" s="132">
        <f t="shared" si="10"/>
        <v>0</v>
      </c>
      <c r="G64" s="132">
        <f t="shared" si="10"/>
        <v>0</v>
      </c>
      <c r="H64" s="132">
        <f t="shared" si="10"/>
        <v>0</v>
      </c>
      <c r="I64" s="132">
        <f t="shared" si="10"/>
        <v>0</v>
      </c>
      <c r="J64" s="75">
        <f t="shared" si="2"/>
        <v>0</v>
      </c>
      <c r="K64" s="75">
        <f t="shared" si="3"/>
        <v>0</v>
      </c>
      <c r="L64" s="132">
        <f t="shared" si="10"/>
        <v>0</v>
      </c>
      <c r="M64" s="133">
        <f t="shared" si="10"/>
        <v>0</v>
      </c>
      <c r="N64" s="128"/>
    </row>
    <row r="65" spans="1:14" ht="12.75" customHeight="1" x14ac:dyDescent="0.25">
      <c r="A65" s="589" t="s">
        <v>1613</v>
      </c>
      <c r="B65" s="73"/>
      <c r="C65" s="109">
        <v>0</v>
      </c>
      <c r="D65" s="109">
        <v>0</v>
      </c>
      <c r="E65" s="109">
        <v>0</v>
      </c>
      <c r="F65" s="109">
        <v>0</v>
      </c>
      <c r="G65" s="109">
        <v>0</v>
      </c>
      <c r="H65" s="109">
        <v>0</v>
      </c>
      <c r="I65" s="109">
        <v>0</v>
      </c>
      <c r="J65" s="75">
        <f t="shared" si="2"/>
        <v>0</v>
      </c>
      <c r="K65" s="75">
        <f t="shared" si="3"/>
        <v>0</v>
      </c>
      <c r="L65" s="109">
        <v>0</v>
      </c>
      <c r="M65" s="110">
        <v>0</v>
      </c>
      <c r="N65" s="839"/>
    </row>
    <row r="66" spans="1:14" ht="12.75" customHeight="1" x14ac:dyDescent="0.25">
      <c r="A66" s="589" t="s">
        <v>1614</v>
      </c>
      <c r="B66" s="73"/>
      <c r="C66" s="109">
        <v>0</v>
      </c>
      <c r="D66" s="109">
        <v>0</v>
      </c>
      <c r="E66" s="109">
        <v>0</v>
      </c>
      <c r="F66" s="109">
        <v>0</v>
      </c>
      <c r="G66" s="109">
        <v>0</v>
      </c>
      <c r="H66" s="109">
        <v>0</v>
      </c>
      <c r="I66" s="109">
        <v>0</v>
      </c>
      <c r="J66" s="75">
        <f t="shared" si="2"/>
        <v>0</v>
      </c>
      <c r="K66" s="75">
        <f t="shared" si="3"/>
        <v>0</v>
      </c>
      <c r="L66" s="109">
        <v>0</v>
      </c>
      <c r="M66" s="110">
        <v>0</v>
      </c>
      <c r="N66" s="839"/>
    </row>
    <row r="67" spans="1:14" ht="12.75" customHeight="1" x14ac:dyDescent="0.25">
      <c r="A67" s="589" t="s">
        <v>1615</v>
      </c>
      <c r="B67" s="73"/>
      <c r="C67" s="109">
        <v>0</v>
      </c>
      <c r="D67" s="109">
        <v>0</v>
      </c>
      <c r="E67" s="109">
        <v>0</v>
      </c>
      <c r="F67" s="109">
        <v>0</v>
      </c>
      <c r="G67" s="109">
        <v>0</v>
      </c>
      <c r="H67" s="109">
        <v>0</v>
      </c>
      <c r="I67" s="109">
        <v>0</v>
      </c>
      <c r="J67" s="75">
        <f t="shared" si="2"/>
        <v>0</v>
      </c>
      <c r="K67" s="75">
        <f t="shared" si="3"/>
        <v>0</v>
      </c>
      <c r="L67" s="109">
        <v>0</v>
      </c>
      <c r="M67" s="110">
        <v>0</v>
      </c>
      <c r="N67" s="844"/>
    </row>
    <row r="68" spans="1:14" ht="12.75" customHeight="1" x14ac:dyDescent="0.25">
      <c r="A68" s="589" t="s">
        <v>1616</v>
      </c>
      <c r="B68" s="73"/>
      <c r="C68" s="109">
        <v>0</v>
      </c>
      <c r="D68" s="109">
        <v>0</v>
      </c>
      <c r="E68" s="109">
        <v>0</v>
      </c>
      <c r="F68" s="109">
        <v>0</v>
      </c>
      <c r="G68" s="109">
        <v>0</v>
      </c>
      <c r="H68" s="109">
        <v>0</v>
      </c>
      <c r="I68" s="109">
        <v>0</v>
      </c>
      <c r="J68" s="75">
        <f t="shared" si="2"/>
        <v>0</v>
      </c>
      <c r="K68" s="75">
        <f t="shared" si="3"/>
        <v>0</v>
      </c>
      <c r="L68" s="109">
        <v>0</v>
      </c>
      <c r="M68" s="110">
        <v>0</v>
      </c>
      <c r="N68" s="839"/>
    </row>
    <row r="69" spans="1:14" ht="12.75" customHeight="1" x14ac:dyDescent="0.25">
      <c r="A69" s="589" t="s">
        <v>1572</v>
      </c>
      <c r="B69" s="73"/>
      <c r="C69" s="109">
        <v>0</v>
      </c>
      <c r="D69" s="109">
        <v>0</v>
      </c>
      <c r="E69" s="109">
        <v>0</v>
      </c>
      <c r="F69" s="109">
        <v>0</v>
      </c>
      <c r="G69" s="109">
        <v>0</v>
      </c>
      <c r="H69" s="109">
        <v>0</v>
      </c>
      <c r="I69" s="109">
        <v>0</v>
      </c>
      <c r="J69" s="75">
        <f t="shared" si="2"/>
        <v>0</v>
      </c>
      <c r="K69" s="75">
        <f t="shared" si="3"/>
        <v>0</v>
      </c>
      <c r="L69" s="109">
        <v>0</v>
      </c>
      <c r="M69" s="110">
        <v>0</v>
      </c>
      <c r="N69" s="844"/>
    </row>
    <row r="70" spans="1:14" ht="12.75" customHeight="1" x14ac:dyDescent="0.25">
      <c r="A70" s="588" t="s">
        <v>1617</v>
      </c>
      <c r="B70" s="73"/>
      <c r="C70" s="132">
        <f t="shared" ref="C70:M70" si="11">SUM(C71:C74)</f>
        <v>0</v>
      </c>
      <c r="D70" s="132">
        <f t="shared" si="11"/>
        <v>0</v>
      </c>
      <c r="E70" s="132">
        <f t="shared" si="11"/>
        <v>0</v>
      </c>
      <c r="F70" s="132">
        <f t="shared" si="11"/>
        <v>0</v>
      </c>
      <c r="G70" s="132">
        <f t="shared" si="11"/>
        <v>0</v>
      </c>
      <c r="H70" s="132">
        <f t="shared" si="11"/>
        <v>0</v>
      </c>
      <c r="I70" s="132">
        <f t="shared" si="11"/>
        <v>0</v>
      </c>
      <c r="J70" s="75">
        <f t="shared" si="2"/>
        <v>0</v>
      </c>
      <c r="K70" s="75">
        <f t="shared" si="3"/>
        <v>0</v>
      </c>
      <c r="L70" s="132">
        <f t="shared" si="11"/>
        <v>0</v>
      </c>
      <c r="M70" s="133">
        <f t="shared" si="11"/>
        <v>0</v>
      </c>
      <c r="N70" s="844"/>
    </row>
    <row r="71" spans="1:14" ht="12.75" customHeight="1" x14ac:dyDescent="0.25">
      <c r="A71" s="589" t="s">
        <v>1618</v>
      </c>
      <c r="B71" s="73"/>
      <c r="C71" s="109">
        <v>0</v>
      </c>
      <c r="D71" s="109">
        <v>0</v>
      </c>
      <c r="E71" s="109">
        <v>0</v>
      </c>
      <c r="F71" s="109">
        <v>0</v>
      </c>
      <c r="G71" s="109">
        <v>0</v>
      </c>
      <c r="H71" s="109">
        <v>0</v>
      </c>
      <c r="I71" s="109">
        <v>0</v>
      </c>
      <c r="J71" s="75">
        <f t="shared" si="2"/>
        <v>0</v>
      </c>
      <c r="K71" s="75">
        <f t="shared" si="3"/>
        <v>0</v>
      </c>
      <c r="L71" s="109">
        <v>0</v>
      </c>
      <c r="M71" s="110">
        <v>0</v>
      </c>
      <c r="N71" s="844"/>
    </row>
    <row r="72" spans="1:14" ht="12.75" customHeight="1" x14ac:dyDescent="0.25">
      <c r="A72" s="589" t="s">
        <v>1619</v>
      </c>
      <c r="B72" s="73"/>
      <c r="C72" s="109">
        <v>0</v>
      </c>
      <c r="D72" s="109">
        <v>0</v>
      </c>
      <c r="E72" s="109">
        <v>0</v>
      </c>
      <c r="F72" s="109">
        <v>0</v>
      </c>
      <c r="G72" s="109">
        <v>0</v>
      </c>
      <c r="H72" s="109">
        <v>0</v>
      </c>
      <c r="I72" s="109">
        <v>0</v>
      </c>
      <c r="J72" s="75">
        <f t="shared" si="2"/>
        <v>0</v>
      </c>
      <c r="K72" s="75">
        <f t="shared" si="3"/>
        <v>0</v>
      </c>
      <c r="L72" s="109">
        <v>0</v>
      </c>
      <c r="M72" s="110">
        <v>0</v>
      </c>
      <c r="N72" s="844"/>
    </row>
    <row r="73" spans="1:14" ht="12.75" customHeight="1" x14ac:dyDescent="0.25">
      <c r="A73" s="589" t="s">
        <v>1620</v>
      </c>
      <c r="B73" s="73"/>
      <c r="C73" s="109">
        <v>0</v>
      </c>
      <c r="D73" s="109">
        <v>0</v>
      </c>
      <c r="E73" s="109">
        <v>0</v>
      </c>
      <c r="F73" s="109">
        <v>0</v>
      </c>
      <c r="G73" s="109">
        <v>0</v>
      </c>
      <c r="H73" s="109">
        <v>0</v>
      </c>
      <c r="I73" s="109">
        <v>0</v>
      </c>
      <c r="J73" s="75">
        <f>SUM(E73:I73)</f>
        <v>0</v>
      </c>
      <c r="K73" s="75">
        <f>IF(D73=0,C73+J73,D73+J73)</f>
        <v>0</v>
      </c>
      <c r="L73" s="109">
        <v>0</v>
      </c>
      <c r="M73" s="110">
        <v>0</v>
      </c>
      <c r="N73" s="844"/>
    </row>
    <row r="74" spans="1:14" ht="12.75" customHeight="1" x14ac:dyDescent="0.25">
      <c r="A74" s="589" t="s">
        <v>1572</v>
      </c>
      <c r="B74" s="73"/>
      <c r="C74" s="109">
        <v>0</v>
      </c>
      <c r="D74" s="109">
        <v>0</v>
      </c>
      <c r="E74" s="109">
        <v>0</v>
      </c>
      <c r="F74" s="109">
        <v>0</v>
      </c>
      <c r="G74" s="109">
        <v>0</v>
      </c>
      <c r="H74" s="109">
        <v>0</v>
      </c>
      <c r="I74" s="109">
        <v>0</v>
      </c>
      <c r="J74" s="75">
        <f>SUM(E74:I74)</f>
        <v>0</v>
      </c>
      <c r="K74" s="75">
        <f>IF(D74=0,C74+J74,D74+J74)</f>
        <v>0</v>
      </c>
      <c r="L74" s="109">
        <v>0</v>
      </c>
      <c r="M74" s="110">
        <v>0</v>
      </c>
      <c r="N74" s="844"/>
    </row>
    <row r="75" spans="1:14" ht="5.0999999999999996" customHeight="1" x14ac:dyDescent="0.25">
      <c r="A75" s="136"/>
      <c r="B75" s="73"/>
      <c r="C75" s="74"/>
      <c r="D75" s="75"/>
      <c r="E75" s="75"/>
      <c r="F75" s="75"/>
      <c r="G75" s="75"/>
      <c r="H75" s="75"/>
      <c r="I75" s="75"/>
      <c r="J75" s="75"/>
      <c r="K75" s="75"/>
      <c r="L75" s="75"/>
      <c r="M75" s="76"/>
      <c r="N75" s="128"/>
    </row>
    <row r="76" spans="1:14" ht="12.75" customHeight="1" x14ac:dyDescent="0.25">
      <c r="A76" s="486" t="s">
        <v>1621</v>
      </c>
      <c r="B76" s="73"/>
      <c r="C76" s="236">
        <f>+C77+C100</f>
        <v>6868023</v>
      </c>
      <c r="D76" s="237">
        <f>+D77+D100</f>
        <v>13918023</v>
      </c>
      <c r="E76" s="237">
        <f t="shared" ref="E76:M76" si="12">+E77+E100</f>
        <v>0</v>
      </c>
      <c r="F76" s="237">
        <f t="shared" si="12"/>
        <v>0</v>
      </c>
      <c r="G76" s="237">
        <f t="shared" si="12"/>
        <v>0</v>
      </c>
      <c r="H76" s="237">
        <f t="shared" si="12"/>
        <v>0</v>
      </c>
      <c r="I76" s="237">
        <f t="shared" si="12"/>
        <v>-509461</v>
      </c>
      <c r="J76" s="145">
        <f t="shared" ref="J76:J139" si="13">SUM(E76:I76)</f>
        <v>-509461</v>
      </c>
      <c r="K76" s="145">
        <f t="shared" ref="K76:K139" si="14">IF(D76=0,C76+J76,D76+J76)</f>
        <v>13408562</v>
      </c>
      <c r="L76" s="237">
        <f t="shared" si="12"/>
        <v>5649747</v>
      </c>
      <c r="M76" s="238">
        <f t="shared" si="12"/>
        <v>5666329</v>
      </c>
      <c r="N76" s="128"/>
    </row>
    <row r="77" spans="1:14" ht="12.75" customHeight="1" x14ac:dyDescent="0.25">
      <c r="A77" s="588" t="s">
        <v>1622</v>
      </c>
      <c r="B77" s="73"/>
      <c r="C77" s="132">
        <f>SUM(C78:C99)</f>
        <v>6868023</v>
      </c>
      <c r="D77" s="132">
        <f t="shared" ref="D77:I77" si="15">SUM(D78:D99)</f>
        <v>13918023</v>
      </c>
      <c r="E77" s="132">
        <f t="shared" si="15"/>
        <v>0</v>
      </c>
      <c r="F77" s="132">
        <f t="shared" si="15"/>
        <v>0</v>
      </c>
      <c r="G77" s="132">
        <f t="shared" si="15"/>
        <v>0</v>
      </c>
      <c r="H77" s="132">
        <f t="shared" si="15"/>
        <v>0</v>
      </c>
      <c r="I77" s="132">
        <f t="shared" si="15"/>
        <v>-509461</v>
      </c>
      <c r="J77" s="75">
        <f t="shared" si="13"/>
        <v>-509461</v>
      </c>
      <c r="K77" s="75">
        <f t="shared" si="14"/>
        <v>13408562</v>
      </c>
      <c r="L77" s="132">
        <f>SUM(L78:L99)</f>
        <v>5649747</v>
      </c>
      <c r="M77" s="133">
        <f>SUM(M78:M99)</f>
        <v>5166329</v>
      </c>
      <c r="N77" s="844"/>
    </row>
    <row r="78" spans="1:14" ht="12.75" customHeight="1" x14ac:dyDescent="0.25">
      <c r="A78" s="589" t="s">
        <v>1623</v>
      </c>
      <c r="B78" s="73"/>
      <c r="C78" s="130">
        <v>700000</v>
      </c>
      <c r="D78" s="109">
        <v>700000</v>
      </c>
      <c r="E78" s="109">
        <v>0</v>
      </c>
      <c r="F78" s="109">
        <v>0</v>
      </c>
      <c r="G78" s="109">
        <v>0</v>
      </c>
      <c r="H78" s="109">
        <v>0</v>
      </c>
      <c r="I78" s="109">
        <v>500000</v>
      </c>
      <c r="J78" s="75">
        <f t="shared" si="13"/>
        <v>500000</v>
      </c>
      <c r="K78" s="75">
        <f t="shared" si="14"/>
        <v>1200000</v>
      </c>
      <c r="L78" s="109">
        <v>0</v>
      </c>
      <c r="M78" s="110">
        <v>0</v>
      </c>
      <c r="N78" s="128"/>
    </row>
    <row r="79" spans="1:14" ht="12.75" customHeight="1" x14ac:dyDescent="0.25">
      <c r="A79" s="589" t="s">
        <v>1624</v>
      </c>
      <c r="B79" s="73"/>
      <c r="C79" s="130">
        <v>1218023</v>
      </c>
      <c r="D79" s="109">
        <v>1218023</v>
      </c>
      <c r="E79" s="109">
        <v>0</v>
      </c>
      <c r="F79" s="109">
        <v>0</v>
      </c>
      <c r="G79" s="109">
        <v>0</v>
      </c>
      <c r="H79" s="109">
        <v>0</v>
      </c>
      <c r="I79" s="109">
        <v>0</v>
      </c>
      <c r="J79" s="75">
        <f t="shared" si="13"/>
        <v>0</v>
      </c>
      <c r="K79" s="75">
        <f t="shared" si="14"/>
        <v>1218023</v>
      </c>
      <c r="L79" s="109">
        <v>649747</v>
      </c>
      <c r="M79" s="110">
        <v>966329</v>
      </c>
      <c r="N79" s="128"/>
    </row>
    <row r="80" spans="1:14" ht="12.75" customHeight="1" x14ac:dyDescent="0.25">
      <c r="A80" s="589" t="s">
        <v>1625</v>
      </c>
      <c r="B80" s="73"/>
      <c r="C80" s="130">
        <v>0</v>
      </c>
      <c r="D80" s="109">
        <v>0</v>
      </c>
      <c r="E80" s="109">
        <v>0</v>
      </c>
      <c r="F80" s="109">
        <v>0</v>
      </c>
      <c r="G80" s="109">
        <v>0</v>
      </c>
      <c r="H80" s="109">
        <v>0</v>
      </c>
      <c r="I80" s="109">
        <v>0</v>
      </c>
      <c r="J80" s="75">
        <f t="shared" si="13"/>
        <v>0</v>
      </c>
      <c r="K80" s="75">
        <f t="shared" si="14"/>
        <v>0</v>
      </c>
      <c r="L80" s="109">
        <v>0</v>
      </c>
      <c r="M80" s="110">
        <v>0</v>
      </c>
      <c r="N80" s="128"/>
    </row>
    <row r="81" spans="1:14" ht="12.75" customHeight="1" x14ac:dyDescent="0.25">
      <c r="A81" s="589" t="s">
        <v>1626</v>
      </c>
      <c r="B81" s="73"/>
      <c r="C81" s="130">
        <v>0</v>
      </c>
      <c r="D81" s="109">
        <v>0</v>
      </c>
      <c r="E81" s="109">
        <v>0</v>
      </c>
      <c r="F81" s="109">
        <v>0</v>
      </c>
      <c r="G81" s="109">
        <v>0</v>
      </c>
      <c r="H81" s="109">
        <v>0</v>
      </c>
      <c r="I81" s="109">
        <v>0</v>
      </c>
      <c r="J81" s="75">
        <f t="shared" si="13"/>
        <v>0</v>
      </c>
      <c r="K81" s="75">
        <f t="shared" si="14"/>
        <v>0</v>
      </c>
      <c r="L81" s="109">
        <v>0</v>
      </c>
      <c r="M81" s="110">
        <v>0</v>
      </c>
      <c r="N81" s="128"/>
    </row>
    <row r="82" spans="1:14" ht="12.75" customHeight="1" x14ac:dyDescent="0.25">
      <c r="A82" s="589" t="s">
        <v>1627</v>
      </c>
      <c r="B82" s="73"/>
      <c r="C82" s="130">
        <v>0</v>
      </c>
      <c r="D82" s="109">
        <v>0</v>
      </c>
      <c r="E82" s="109">
        <v>0</v>
      </c>
      <c r="F82" s="109">
        <v>0</v>
      </c>
      <c r="G82" s="109">
        <v>0</v>
      </c>
      <c r="H82" s="109">
        <v>0</v>
      </c>
      <c r="I82" s="109">
        <v>0</v>
      </c>
      <c r="J82" s="75">
        <f t="shared" si="13"/>
        <v>0</v>
      </c>
      <c r="K82" s="75">
        <f t="shared" si="14"/>
        <v>0</v>
      </c>
      <c r="L82" s="109">
        <v>0</v>
      </c>
      <c r="M82" s="110">
        <v>0</v>
      </c>
      <c r="N82" s="128"/>
    </row>
    <row r="83" spans="1:14" ht="12.75" customHeight="1" x14ac:dyDescent="0.25">
      <c r="A83" s="589" t="s">
        <v>1628</v>
      </c>
      <c r="B83" s="73"/>
      <c r="C83" s="130">
        <v>0</v>
      </c>
      <c r="D83" s="109">
        <v>0</v>
      </c>
      <c r="E83" s="109">
        <v>0</v>
      </c>
      <c r="F83" s="109">
        <v>0</v>
      </c>
      <c r="G83" s="109">
        <v>0</v>
      </c>
      <c r="H83" s="109">
        <v>0</v>
      </c>
      <c r="I83" s="109">
        <v>0</v>
      </c>
      <c r="J83" s="75">
        <f t="shared" si="13"/>
        <v>0</v>
      </c>
      <c r="K83" s="75">
        <f t="shared" si="14"/>
        <v>0</v>
      </c>
      <c r="L83" s="109">
        <v>0</v>
      </c>
      <c r="M83" s="110">
        <v>0</v>
      </c>
      <c r="N83" s="128"/>
    </row>
    <row r="84" spans="1:14" ht="12.75" customHeight="1" x14ac:dyDescent="0.25">
      <c r="A84" s="589" t="s">
        <v>1629</v>
      </c>
      <c r="B84" s="73"/>
      <c r="C84" s="130">
        <v>0</v>
      </c>
      <c r="D84" s="109">
        <v>0</v>
      </c>
      <c r="E84" s="109">
        <v>0</v>
      </c>
      <c r="F84" s="109">
        <v>0</v>
      </c>
      <c r="G84" s="109">
        <v>0</v>
      </c>
      <c r="H84" s="109">
        <v>0</v>
      </c>
      <c r="I84" s="109">
        <v>0</v>
      </c>
      <c r="J84" s="75">
        <f t="shared" si="13"/>
        <v>0</v>
      </c>
      <c r="K84" s="75">
        <f t="shared" si="14"/>
        <v>0</v>
      </c>
      <c r="L84" s="109">
        <v>0</v>
      </c>
      <c r="M84" s="110">
        <v>0</v>
      </c>
      <c r="N84" s="128"/>
    </row>
    <row r="85" spans="1:14" ht="12.75" customHeight="1" x14ac:dyDescent="0.25">
      <c r="A85" s="589" t="s">
        <v>1630</v>
      </c>
      <c r="B85" s="73"/>
      <c r="C85" s="130">
        <v>0</v>
      </c>
      <c r="D85" s="109">
        <v>0</v>
      </c>
      <c r="E85" s="109">
        <v>0</v>
      </c>
      <c r="F85" s="109">
        <v>0</v>
      </c>
      <c r="G85" s="109">
        <v>0</v>
      </c>
      <c r="H85" s="109">
        <v>0</v>
      </c>
      <c r="I85" s="109">
        <v>0</v>
      </c>
      <c r="J85" s="75">
        <f t="shared" si="13"/>
        <v>0</v>
      </c>
      <c r="K85" s="75">
        <f t="shared" si="14"/>
        <v>0</v>
      </c>
      <c r="L85" s="109">
        <v>0</v>
      </c>
      <c r="M85" s="110">
        <v>0</v>
      </c>
      <c r="N85" s="128"/>
    </row>
    <row r="86" spans="1:14" ht="12.75" customHeight="1" x14ac:dyDescent="0.25">
      <c r="A86" s="589" t="s">
        <v>1512</v>
      </c>
      <c r="B86" s="73"/>
      <c r="C86" s="130">
        <v>0</v>
      </c>
      <c r="D86" s="109">
        <v>0</v>
      </c>
      <c r="E86" s="109">
        <v>0</v>
      </c>
      <c r="F86" s="109">
        <v>0</v>
      </c>
      <c r="G86" s="109">
        <v>0</v>
      </c>
      <c r="H86" s="109">
        <v>0</v>
      </c>
      <c r="I86" s="109">
        <v>0</v>
      </c>
      <c r="J86" s="75">
        <f t="shared" si="13"/>
        <v>0</v>
      </c>
      <c r="K86" s="75">
        <f t="shared" si="14"/>
        <v>0</v>
      </c>
      <c r="L86" s="109">
        <v>0</v>
      </c>
      <c r="M86" s="110">
        <v>0</v>
      </c>
      <c r="N86" s="128"/>
    </row>
    <row r="87" spans="1:14" ht="12.75" customHeight="1" x14ac:dyDescent="0.25">
      <c r="A87" s="589" t="s">
        <v>492</v>
      </c>
      <c r="B87" s="73"/>
      <c r="C87" s="130">
        <v>0</v>
      </c>
      <c r="D87" s="109">
        <v>0</v>
      </c>
      <c r="E87" s="109">
        <v>0</v>
      </c>
      <c r="F87" s="109">
        <v>0</v>
      </c>
      <c r="G87" s="109">
        <v>0</v>
      </c>
      <c r="H87" s="109">
        <v>0</v>
      </c>
      <c r="I87" s="109">
        <v>0</v>
      </c>
      <c r="J87" s="75">
        <f t="shared" si="13"/>
        <v>0</v>
      </c>
      <c r="K87" s="75">
        <f t="shared" si="14"/>
        <v>0</v>
      </c>
      <c r="L87" s="109">
        <v>1000000</v>
      </c>
      <c r="M87" s="110">
        <v>200000</v>
      </c>
      <c r="N87" s="128"/>
    </row>
    <row r="88" spans="1:14" ht="12.75" customHeight="1" x14ac:dyDescent="0.25">
      <c r="A88" s="589" t="s">
        <v>1631</v>
      </c>
      <c r="B88" s="73"/>
      <c r="C88" s="130">
        <v>0</v>
      </c>
      <c r="D88" s="109">
        <v>0</v>
      </c>
      <c r="E88" s="109">
        <v>0</v>
      </c>
      <c r="F88" s="109">
        <v>0</v>
      </c>
      <c r="G88" s="109">
        <v>0</v>
      </c>
      <c r="H88" s="109">
        <v>0</v>
      </c>
      <c r="I88" s="109">
        <v>0</v>
      </c>
      <c r="J88" s="75">
        <f t="shared" si="13"/>
        <v>0</v>
      </c>
      <c r="K88" s="75">
        <f t="shared" si="14"/>
        <v>0</v>
      </c>
      <c r="L88" s="109">
        <v>0</v>
      </c>
      <c r="M88" s="110">
        <v>0</v>
      </c>
      <c r="N88" s="128"/>
    </row>
    <row r="89" spans="1:14" ht="12.75" customHeight="1" x14ac:dyDescent="0.25">
      <c r="A89" s="589" t="s">
        <v>1632</v>
      </c>
      <c r="B89" s="73"/>
      <c r="C89" s="130">
        <v>0</v>
      </c>
      <c r="D89" s="109">
        <v>0</v>
      </c>
      <c r="E89" s="109">
        <v>0</v>
      </c>
      <c r="F89" s="109">
        <v>0</v>
      </c>
      <c r="G89" s="109">
        <v>0</v>
      </c>
      <c r="H89" s="109">
        <v>0</v>
      </c>
      <c r="I89" s="109">
        <v>0</v>
      </c>
      <c r="J89" s="75">
        <f t="shared" si="13"/>
        <v>0</v>
      </c>
      <c r="K89" s="75">
        <f t="shared" si="14"/>
        <v>0</v>
      </c>
      <c r="L89" s="109">
        <v>0</v>
      </c>
      <c r="M89" s="110">
        <v>0</v>
      </c>
      <c r="N89" s="128"/>
    </row>
    <row r="90" spans="1:14" ht="12.75" customHeight="1" x14ac:dyDescent="0.25">
      <c r="A90" s="589" t="s">
        <v>1633</v>
      </c>
      <c r="B90" s="73"/>
      <c r="C90" s="130">
        <v>0</v>
      </c>
      <c r="D90" s="109">
        <v>0</v>
      </c>
      <c r="E90" s="109">
        <v>0</v>
      </c>
      <c r="F90" s="109">
        <v>0</v>
      </c>
      <c r="G90" s="109">
        <v>0</v>
      </c>
      <c r="H90" s="109">
        <v>0</v>
      </c>
      <c r="I90" s="109">
        <v>0</v>
      </c>
      <c r="J90" s="75">
        <f t="shared" si="13"/>
        <v>0</v>
      </c>
      <c r="K90" s="75">
        <f t="shared" si="14"/>
        <v>0</v>
      </c>
      <c r="L90" s="109">
        <v>0</v>
      </c>
      <c r="M90" s="110">
        <v>0</v>
      </c>
      <c r="N90" s="128"/>
    </row>
    <row r="91" spans="1:14" ht="12.75" customHeight="1" x14ac:dyDescent="0.25">
      <c r="A91" s="589" t="s">
        <v>1634</v>
      </c>
      <c r="B91" s="73"/>
      <c r="C91" s="130">
        <v>0</v>
      </c>
      <c r="D91" s="109">
        <v>0</v>
      </c>
      <c r="E91" s="109">
        <v>0</v>
      </c>
      <c r="F91" s="109">
        <v>0</v>
      </c>
      <c r="G91" s="109">
        <v>0</v>
      </c>
      <c r="H91" s="109">
        <v>0</v>
      </c>
      <c r="I91" s="109">
        <v>0</v>
      </c>
      <c r="J91" s="75">
        <f t="shared" si="13"/>
        <v>0</v>
      </c>
      <c r="K91" s="75">
        <f t="shared" si="14"/>
        <v>0</v>
      </c>
      <c r="L91" s="109">
        <v>0</v>
      </c>
      <c r="M91" s="110">
        <v>0</v>
      </c>
      <c r="N91" s="128"/>
    </row>
    <row r="92" spans="1:14" ht="12.75" customHeight="1" x14ac:dyDescent="0.25">
      <c r="A92" s="589" t="s">
        <v>1635</v>
      </c>
      <c r="B92" s="73"/>
      <c r="C92" s="130">
        <v>0</v>
      </c>
      <c r="D92" s="109">
        <v>0</v>
      </c>
      <c r="E92" s="109">
        <v>0</v>
      </c>
      <c r="F92" s="109">
        <v>0</v>
      </c>
      <c r="G92" s="109">
        <v>0</v>
      </c>
      <c r="H92" s="109">
        <v>0</v>
      </c>
      <c r="I92" s="109">
        <v>0</v>
      </c>
      <c r="J92" s="75">
        <f t="shared" si="13"/>
        <v>0</v>
      </c>
      <c r="K92" s="75">
        <f t="shared" si="14"/>
        <v>0</v>
      </c>
      <c r="L92" s="109">
        <v>0</v>
      </c>
      <c r="M92" s="110">
        <v>0</v>
      </c>
      <c r="N92" s="128"/>
    </row>
    <row r="93" spans="1:14" ht="12.75" customHeight="1" x14ac:dyDescent="0.25">
      <c r="A93" s="589" t="s">
        <v>1636</v>
      </c>
      <c r="B93" s="73"/>
      <c r="C93" s="130">
        <v>0</v>
      </c>
      <c r="D93" s="109">
        <v>0</v>
      </c>
      <c r="E93" s="109">
        <v>0</v>
      </c>
      <c r="F93" s="109">
        <v>0</v>
      </c>
      <c r="G93" s="109">
        <v>0</v>
      </c>
      <c r="H93" s="109">
        <v>0</v>
      </c>
      <c r="I93" s="109">
        <v>0</v>
      </c>
      <c r="J93" s="75">
        <f t="shared" si="13"/>
        <v>0</v>
      </c>
      <c r="K93" s="75">
        <f t="shared" si="14"/>
        <v>0</v>
      </c>
      <c r="L93" s="109">
        <v>0</v>
      </c>
      <c r="M93" s="110">
        <v>0</v>
      </c>
      <c r="N93" s="128"/>
    </row>
    <row r="94" spans="1:14" ht="12.75" customHeight="1" x14ac:dyDescent="0.25">
      <c r="A94" s="589" t="s">
        <v>508</v>
      </c>
      <c r="B94" s="73"/>
      <c r="C94" s="130">
        <v>0</v>
      </c>
      <c r="D94" s="109">
        <v>0</v>
      </c>
      <c r="E94" s="109">
        <v>0</v>
      </c>
      <c r="F94" s="109">
        <v>0</v>
      </c>
      <c r="G94" s="109">
        <v>0</v>
      </c>
      <c r="H94" s="109">
        <v>0</v>
      </c>
      <c r="I94" s="109">
        <v>0</v>
      </c>
      <c r="J94" s="75">
        <f t="shared" si="13"/>
        <v>0</v>
      </c>
      <c r="K94" s="75">
        <f t="shared" si="14"/>
        <v>0</v>
      </c>
      <c r="L94" s="109">
        <v>0</v>
      </c>
      <c r="M94" s="110">
        <v>0</v>
      </c>
      <c r="N94" s="128"/>
    </row>
    <row r="95" spans="1:14" ht="12.75" customHeight="1" x14ac:dyDescent="0.25">
      <c r="A95" s="589" t="s">
        <v>1637</v>
      </c>
      <c r="B95" s="73"/>
      <c r="C95" s="130">
        <v>0</v>
      </c>
      <c r="D95" s="109">
        <v>0</v>
      </c>
      <c r="E95" s="109">
        <v>0</v>
      </c>
      <c r="F95" s="109">
        <v>0</v>
      </c>
      <c r="G95" s="109">
        <v>0</v>
      </c>
      <c r="H95" s="109">
        <v>0</v>
      </c>
      <c r="I95" s="109">
        <v>0</v>
      </c>
      <c r="J95" s="75">
        <f t="shared" si="13"/>
        <v>0</v>
      </c>
      <c r="K95" s="75">
        <f t="shared" si="14"/>
        <v>0</v>
      </c>
      <c r="L95" s="109">
        <v>0</v>
      </c>
      <c r="M95" s="110">
        <v>0</v>
      </c>
      <c r="N95" s="128"/>
    </row>
    <row r="96" spans="1:14" ht="12.75" customHeight="1" x14ac:dyDescent="0.25">
      <c r="A96" s="589" t="s">
        <v>507</v>
      </c>
      <c r="B96" s="73"/>
      <c r="C96" s="130">
        <v>0</v>
      </c>
      <c r="D96" s="109">
        <v>0</v>
      </c>
      <c r="E96" s="109">
        <v>0</v>
      </c>
      <c r="F96" s="109">
        <v>0</v>
      </c>
      <c r="G96" s="109">
        <v>0</v>
      </c>
      <c r="H96" s="109">
        <v>0</v>
      </c>
      <c r="I96" s="109">
        <v>0</v>
      </c>
      <c r="J96" s="75">
        <f t="shared" si="13"/>
        <v>0</v>
      </c>
      <c r="K96" s="75">
        <f t="shared" si="14"/>
        <v>0</v>
      </c>
      <c r="L96" s="109">
        <v>0</v>
      </c>
      <c r="M96" s="110">
        <v>0</v>
      </c>
      <c r="N96" s="844"/>
    </row>
    <row r="97" spans="1:14" ht="12.75" customHeight="1" x14ac:dyDescent="0.25">
      <c r="A97" s="589" t="s">
        <v>1638</v>
      </c>
      <c r="B97" s="73"/>
      <c r="C97" s="130">
        <v>0</v>
      </c>
      <c r="D97" s="109">
        <v>0</v>
      </c>
      <c r="E97" s="109">
        <v>0</v>
      </c>
      <c r="F97" s="109">
        <v>0</v>
      </c>
      <c r="G97" s="109">
        <v>0</v>
      </c>
      <c r="H97" s="109">
        <v>0</v>
      </c>
      <c r="I97" s="109">
        <v>0</v>
      </c>
      <c r="J97" s="75">
        <f t="shared" si="13"/>
        <v>0</v>
      </c>
      <c r="K97" s="75">
        <f t="shared" si="14"/>
        <v>0</v>
      </c>
      <c r="L97" s="109">
        <v>0</v>
      </c>
      <c r="M97" s="110">
        <v>0</v>
      </c>
      <c r="N97" s="128"/>
    </row>
    <row r="98" spans="1:14" ht="12.75" customHeight="1" x14ac:dyDescent="0.25">
      <c r="A98" s="589" t="s">
        <v>1639</v>
      </c>
      <c r="B98" s="73"/>
      <c r="C98" s="130">
        <v>4950000</v>
      </c>
      <c r="D98" s="109">
        <v>12000000</v>
      </c>
      <c r="E98" s="109">
        <v>0</v>
      </c>
      <c r="F98" s="109">
        <v>0</v>
      </c>
      <c r="G98" s="109">
        <v>0</v>
      </c>
      <c r="H98" s="109">
        <v>0</v>
      </c>
      <c r="I98" s="109">
        <v>-1009461</v>
      </c>
      <c r="J98" s="75">
        <f t="shared" si="13"/>
        <v>-1009461</v>
      </c>
      <c r="K98" s="75">
        <f t="shared" si="14"/>
        <v>10990539</v>
      </c>
      <c r="L98" s="109">
        <v>4000000</v>
      </c>
      <c r="M98" s="110">
        <v>4000000</v>
      </c>
      <c r="N98" s="128"/>
    </row>
    <row r="99" spans="1:14" ht="12.75" customHeight="1" x14ac:dyDescent="0.25">
      <c r="A99" s="589" t="s">
        <v>1572</v>
      </c>
      <c r="B99" s="73"/>
      <c r="C99" s="130">
        <v>0</v>
      </c>
      <c r="D99" s="109">
        <v>0</v>
      </c>
      <c r="E99" s="109">
        <v>0</v>
      </c>
      <c r="F99" s="109">
        <v>0</v>
      </c>
      <c r="G99" s="109">
        <v>0</v>
      </c>
      <c r="H99" s="109"/>
      <c r="I99" s="109">
        <v>0</v>
      </c>
      <c r="J99" s="75">
        <f t="shared" si="13"/>
        <v>0</v>
      </c>
      <c r="K99" s="75">
        <f t="shared" si="14"/>
        <v>0</v>
      </c>
      <c r="L99" s="109">
        <v>0</v>
      </c>
      <c r="M99" s="110">
        <v>0</v>
      </c>
      <c r="N99" s="128"/>
    </row>
    <row r="100" spans="1:14" ht="10.15" customHeight="1" x14ac:dyDescent="0.25">
      <c r="A100" s="588" t="s">
        <v>1640</v>
      </c>
      <c r="B100" s="73"/>
      <c r="C100" s="140">
        <f>SUM(C101:C103)</f>
        <v>0</v>
      </c>
      <c r="D100" s="141">
        <f t="shared" ref="D100:M100" si="16">SUM(D101:D103)</f>
        <v>0</v>
      </c>
      <c r="E100" s="141">
        <f t="shared" si="16"/>
        <v>0</v>
      </c>
      <c r="F100" s="141">
        <f t="shared" si="16"/>
        <v>0</v>
      </c>
      <c r="G100" s="141">
        <f t="shared" si="16"/>
        <v>0</v>
      </c>
      <c r="H100" s="141">
        <f t="shared" si="16"/>
        <v>0</v>
      </c>
      <c r="I100" s="141">
        <f t="shared" si="16"/>
        <v>0</v>
      </c>
      <c r="J100" s="141">
        <f t="shared" si="13"/>
        <v>0</v>
      </c>
      <c r="K100" s="141">
        <f t="shared" si="14"/>
        <v>0</v>
      </c>
      <c r="L100" s="141">
        <f t="shared" si="16"/>
        <v>0</v>
      </c>
      <c r="M100" s="142">
        <f t="shared" si="16"/>
        <v>500000</v>
      </c>
      <c r="N100" s="128"/>
    </row>
    <row r="101" spans="1:14" ht="12.75" customHeight="1" x14ac:dyDescent="0.25">
      <c r="A101" s="589" t="s">
        <v>1641</v>
      </c>
      <c r="B101" s="73"/>
      <c r="C101" s="130">
        <v>0</v>
      </c>
      <c r="D101" s="109">
        <v>0</v>
      </c>
      <c r="E101" s="109">
        <v>0</v>
      </c>
      <c r="F101" s="109">
        <v>0</v>
      </c>
      <c r="G101" s="109">
        <v>0</v>
      </c>
      <c r="H101" s="109">
        <v>0</v>
      </c>
      <c r="I101" s="109">
        <v>0</v>
      </c>
      <c r="J101" s="75">
        <f t="shared" si="13"/>
        <v>0</v>
      </c>
      <c r="K101" s="75">
        <f t="shared" si="14"/>
        <v>0</v>
      </c>
      <c r="L101" s="109">
        <v>0</v>
      </c>
      <c r="M101" s="110">
        <v>0</v>
      </c>
      <c r="N101" s="128"/>
    </row>
    <row r="102" spans="1:14" ht="12.75" customHeight="1" x14ac:dyDescent="0.25">
      <c r="A102" s="589" t="s">
        <v>1642</v>
      </c>
      <c r="B102" s="73"/>
      <c r="C102" s="130">
        <v>0</v>
      </c>
      <c r="D102" s="109">
        <v>0</v>
      </c>
      <c r="E102" s="109">
        <v>0</v>
      </c>
      <c r="F102" s="109">
        <v>0</v>
      </c>
      <c r="G102" s="109">
        <v>0</v>
      </c>
      <c r="H102" s="109">
        <v>0</v>
      </c>
      <c r="I102" s="109">
        <v>0</v>
      </c>
      <c r="J102" s="75">
        <f t="shared" si="13"/>
        <v>0</v>
      </c>
      <c r="K102" s="75">
        <f t="shared" si="14"/>
        <v>0</v>
      </c>
      <c r="L102" s="109">
        <v>0</v>
      </c>
      <c r="M102" s="110">
        <v>500000</v>
      </c>
      <c r="N102" s="128"/>
    </row>
    <row r="103" spans="1:14" ht="12.75" customHeight="1" x14ac:dyDescent="0.25">
      <c r="A103" s="589" t="s">
        <v>1572</v>
      </c>
      <c r="B103" s="73"/>
      <c r="C103" s="130">
        <v>0</v>
      </c>
      <c r="D103" s="109">
        <v>0</v>
      </c>
      <c r="E103" s="109">
        <v>0</v>
      </c>
      <c r="F103" s="109">
        <v>0</v>
      </c>
      <c r="G103" s="109">
        <v>0</v>
      </c>
      <c r="H103" s="109">
        <v>0</v>
      </c>
      <c r="I103" s="109">
        <v>0</v>
      </c>
      <c r="J103" s="75">
        <f t="shared" si="13"/>
        <v>0</v>
      </c>
      <c r="K103" s="75">
        <f t="shared" si="14"/>
        <v>0</v>
      </c>
      <c r="L103" s="109">
        <v>0</v>
      </c>
      <c r="M103" s="110">
        <v>0</v>
      </c>
      <c r="N103" s="128"/>
    </row>
    <row r="104" spans="1:14" ht="5.0999999999999996" customHeight="1" x14ac:dyDescent="0.25">
      <c r="A104" s="136"/>
      <c r="B104" s="73"/>
      <c r="C104" s="127"/>
      <c r="D104" s="171"/>
      <c r="E104" s="171"/>
      <c r="F104" s="171"/>
      <c r="G104" s="171"/>
      <c r="H104" s="171"/>
      <c r="I104" s="171"/>
      <c r="J104" s="75"/>
      <c r="K104" s="75"/>
      <c r="L104" s="75"/>
      <c r="M104" s="76"/>
      <c r="N104" s="128"/>
    </row>
    <row r="105" spans="1:14" ht="12.75" customHeight="1" x14ac:dyDescent="0.25">
      <c r="A105" s="486" t="s">
        <v>765</v>
      </c>
      <c r="B105" s="73"/>
      <c r="C105" s="236">
        <f t="shared" ref="C105:M105" si="17">SUM(C106:C110)</f>
        <v>0</v>
      </c>
      <c r="D105" s="237">
        <f t="shared" si="17"/>
        <v>0</v>
      </c>
      <c r="E105" s="237">
        <f t="shared" si="17"/>
        <v>0</v>
      </c>
      <c r="F105" s="237">
        <f t="shared" si="17"/>
        <v>0</v>
      </c>
      <c r="G105" s="237">
        <f t="shared" si="17"/>
        <v>0</v>
      </c>
      <c r="H105" s="237">
        <f t="shared" si="17"/>
        <v>0</v>
      </c>
      <c r="I105" s="237">
        <f t="shared" si="17"/>
        <v>0</v>
      </c>
      <c r="J105" s="237">
        <f t="shared" si="13"/>
        <v>0</v>
      </c>
      <c r="K105" s="237">
        <f t="shared" si="14"/>
        <v>0</v>
      </c>
      <c r="L105" s="237">
        <f t="shared" si="17"/>
        <v>0</v>
      </c>
      <c r="M105" s="238">
        <f t="shared" si="17"/>
        <v>0</v>
      </c>
      <c r="N105" s="128"/>
    </row>
    <row r="106" spans="1:14" ht="12.75" customHeight="1" x14ac:dyDescent="0.25">
      <c r="A106" s="588" t="s">
        <v>1643</v>
      </c>
      <c r="B106" s="73"/>
      <c r="C106" s="130">
        <v>0</v>
      </c>
      <c r="D106" s="109">
        <v>0</v>
      </c>
      <c r="E106" s="109">
        <v>0</v>
      </c>
      <c r="F106" s="109">
        <v>0</v>
      </c>
      <c r="G106" s="109">
        <v>0</v>
      </c>
      <c r="H106" s="109">
        <v>0</v>
      </c>
      <c r="I106" s="109">
        <v>0</v>
      </c>
      <c r="J106" s="75">
        <f t="shared" si="13"/>
        <v>0</v>
      </c>
      <c r="K106" s="75">
        <f t="shared" si="14"/>
        <v>0</v>
      </c>
      <c r="L106" s="109">
        <v>0</v>
      </c>
      <c r="M106" s="110">
        <v>0</v>
      </c>
      <c r="N106" s="128"/>
    </row>
    <row r="107" spans="1:14" ht="12.75" customHeight="1" x14ac:dyDescent="0.25">
      <c r="A107" s="590" t="s">
        <v>1644</v>
      </c>
      <c r="B107" s="73"/>
      <c r="C107" s="130">
        <v>0</v>
      </c>
      <c r="D107" s="109">
        <v>0</v>
      </c>
      <c r="E107" s="109">
        <v>0</v>
      </c>
      <c r="F107" s="109">
        <v>0</v>
      </c>
      <c r="G107" s="109">
        <v>0</v>
      </c>
      <c r="H107" s="109">
        <v>0</v>
      </c>
      <c r="I107" s="109">
        <v>0</v>
      </c>
      <c r="J107" s="75">
        <f t="shared" si="13"/>
        <v>0</v>
      </c>
      <c r="K107" s="75">
        <f t="shared" si="14"/>
        <v>0</v>
      </c>
      <c r="L107" s="109">
        <v>0</v>
      </c>
      <c r="M107" s="110">
        <v>0</v>
      </c>
      <c r="N107" s="128"/>
    </row>
    <row r="108" spans="1:14" ht="12.75" customHeight="1" x14ac:dyDescent="0.25">
      <c r="A108" s="588" t="s">
        <v>1645</v>
      </c>
      <c r="B108" s="73"/>
      <c r="C108" s="130">
        <v>0</v>
      </c>
      <c r="D108" s="109">
        <v>0</v>
      </c>
      <c r="E108" s="109">
        <v>0</v>
      </c>
      <c r="F108" s="109">
        <v>0</v>
      </c>
      <c r="G108" s="109">
        <v>0</v>
      </c>
      <c r="H108" s="109">
        <v>0</v>
      </c>
      <c r="I108" s="109">
        <v>0</v>
      </c>
      <c r="J108" s="75">
        <f t="shared" si="13"/>
        <v>0</v>
      </c>
      <c r="K108" s="75">
        <f t="shared" si="14"/>
        <v>0</v>
      </c>
      <c r="L108" s="109">
        <v>0</v>
      </c>
      <c r="M108" s="110">
        <v>0</v>
      </c>
      <c r="N108" s="128"/>
    </row>
    <row r="109" spans="1:14" ht="12.75" customHeight="1" x14ac:dyDescent="0.25">
      <c r="A109" s="588" t="s">
        <v>1646</v>
      </c>
      <c r="B109" s="73"/>
      <c r="C109" s="130">
        <v>0</v>
      </c>
      <c r="D109" s="109">
        <v>0</v>
      </c>
      <c r="E109" s="109">
        <v>0</v>
      </c>
      <c r="F109" s="109">
        <v>0</v>
      </c>
      <c r="G109" s="109">
        <v>0</v>
      </c>
      <c r="H109" s="109">
        <v>0</v>
      </c>
      <c r="I109" s="109">
        <v>0</v>
      </c>
      <c r="J109" s="75">
        <f t="shared" si="13"/>
        <v>0</v>
      </c>
      <c r="K109" s="75">
        <f t="shared" si="14"/>
        <v>0</v>
      </c>
      <c r="L109" s="109">
        <v>0</v>
      </c>
      <c r="M109" s="110">
        <v>0</v>
      </c>
      <c r="N109" s="128"/>
    </row>
    <row r="110" spans="1:14" ht="12.75" customHeight="1" x14ac:dyDescent="0.25">
      <c r="A110" s="590" t="s">
        <v>1647</v>
      </c>
      <c r="B110" s="73"/>
      <c r="C110" s="130">
        <v>0</v>
      </c>
      <c r="D110" s="109">
        <v>0</v>
      </c>
      <c r="E110" s="109">
        <v>0</v>
      </c>
      <c r="F110" s="109">
        <v>0</v>
      </c>
      <c r="G110" s="109">
        <v>0</v>
      </c>
      <c r="H110" s="109">
        <v>0</v>
      </c>
      <c r="I110" s="109">
        <v>0</v>
      </c>
      <c r="J110" s="75">
        <f t="shared" si="13"/>
        <v>0</v>
      </c>
      <c r="K110" s="75">
        <f t="shared" si="14"/>
        <v>0</v>
      </c>
      <c r="L110" s="109">
        <v>0</v>
      </c>
      <c r="M110" s="110">
        <v>0</v>
      </c>
      <c r="N110" s="128"/>
    </row>
    <row r="111" spans="1:14" ht="5.0999999999999996" customHeight="1" x14ac:dyDescent="0.25">
      <c r="A111" s="1226"/>
      <c r="B111" s="73"/>
      <c r="C111" s="74"/>
      <c r="D111" s="75"/>
      <c r="E111" s="75"/>
      <c r="F111" s="75"/>
      <c r="G111" s="75"/>
      <c r="H111" s="75"/>
      <c r="I111" s="75"/>
      <c r="J111" s="75"/>
      <c r="K111" s="75"/>
      <c r="L111" s="75"/>
      <c r="M111" s="76"/>
      <c r="N111" s="128"/>
    </row>
    <row r="112" spans="1:14" ht="12.75" customHeight="1" x14ac:dyDescent="0.25">
      <c r="A112" s="1227" t="s">
        <v>766</v>
      </c>
      <c r="B112" s="73"/>
      <c r="C112" s="236">
        <f>+C113+C116</f>
        <v>0</v>
      </c>
      <c r="D112" s="237">
        <f t="shared" ref="D112:I112" si="18">+D113+D116</f>
        <v>0</v>
      </c>
      <c r="E112" s="237">
        <f t="shared" si="18"/>
        <v>0</v>
      </c>
      <c r="F112" s="237">
        <f t="shared" si="18"/>
        <v>0</v>
      </c>
      <c r="G112" s="237">
        <f t="shared" si="18"/>
        <v>0</v>
      </c>
      <c r="H112" s="237">
        <f t="shared" si="18"/>
        <v>0</v>
      </c>
      <c r="I112" s="237">
        <f t="shared" si="18"/>
        <v>0</v>
      </c>
      <c r="J112" s="237">
        <f t="shared" si="13"/>
        <v>0</v>
      </c>
      <c r="K112" s="237">
        <f t="shared" si="14"/>
        <v>0</v>
      </c>
      <c r="L112" s="237">
        <f>+L113+L116</f>
        <v>0</v>
      </c>
      <c r="M112" s="238">
        <f>+M113+M116</f>
        <v>0</v>
      </c>
      <c r="N112" s="128"/>
    </row>
    <row r="113" spans="1:14" ht="10.15" customHeight="1" x14ac:dyDescent="0.25">
      <c r="A113" s="588" t="s">
        <v>1648</v>
      </c>
      <c r="B113" s="73"/>
      <c r="C113" s="140">
        <f>SUM(C114:C115)</f>
        <v>0</v>
      </c>
      <c r="D113" s="141">
        <f>SUM(D114:D115)</f>
        <v>0</v>
      </c>
      <c r="E113" s="141">
        <f t="shared" ref="E113:M113" si="19">SUM(E114:E115)</f>
        <v>0</v>
      </c>
      <c r="F113" s="141">
        <f t="shared" si="19"/>
        <v>0</v>
      </c>
      <c r="G113" s="141">
        <f t="shared" si="19"/>
        <v>0</v>
      </c>
      <c r="H113" s="141">
        <f t="shared" si="19"/>
        <v>0</v>
      </c>
      <c r="I113" s="141">
        <f t="shared" si="19"/>
        <v>0</v>
      </c>
      <c r="J113" s="141">
        <f t="shared" si="13"/>
        <v>0</v>
      </c>
      <c r="K113" s="141">
        <f t="shared" si="14"/>
        <v>0</v>
      </c>
      <c r="L113" s="141">
        <f t="shared" si="19"/>
        <v>0</v>
      </c>
      <c r="M113" s="142">
        <f t="shared" si="19"/>
        <v>0</v>
      </c>
      <c r="N113" s="128"/>
    </row>
    <row r="114" spans="1:14" ht="12.75" customHeight="1" x14ac:dyDescent="0.25">
      <c r="A114" s="589" t="s">
        <v>1649</v>
      </c>
      <c r="B114" s="73"/>
      <c r="C114" s="130">
        <v>0</v>
      </c>
      <c r="D114" s="109">
        <v>0</v>
      </c>
      <c r="E114" s="109">
        <v>0</v>
      </c>
      <c r="F114" s="109">
        <v>0</v>
      </c>
      <c r="G114" s="109">
        <v>0</v>
      </c>
      <c r="H114" s="109">
        <v>0</v>
      </c>
      <c r="I114" s="109">
        <v>0</v>
      </c>
      <c r="J114" s="75">
        <f t="shared" si="13"/>
        <v>0</v>
      </c>
      <c r="K114" s="75">
        <f t="shared" si="14"/>
        <v>0</v>
      </c>
      <c r="L114" s="109">
        <v>0</v>
      </c>
      <c r="M114" s="110">
        <v>0</v>
      </c>
      <c r="N114" s="128"/>
    </row>
    <row r="115" spans="1:14" ht="12.75" customHeight="1" x14ac:dyDescent="0.25">
      <c r="A115" s="589" t="s">
        <v>1650</v>
      </c>
      <c r="B115" s="73"/>
      <c r="C115" s="130">
        <v>0</v>
      </c>
      <c r="D115" s="109">
        <v>0</v>
      </c>
      <c r="E115" s="109">
        <v>0</v>
      </c>
      <c r="F115" s="109">
        <v>0</v>
      </c>
      <c r="G115" s="109">
        <v>0</v>
      </c>
      <c r="H115" s="109">
        <v>0</v>
      </c>
      <c r="I115" s="109">
        <v>0</v>
      </c>
      <c r="J115" s="75">
        <f t="shared" si="13"/>
        <v>0</v>
      </c>
      <c r="K115" s="75">
        <f t="shared" si="14"/>
        <v>0</v>
      </c>
      <c r="L115" s="109">
        <v>0</v>
      </c>
      <c r="M115" s="110">
        <v>0</v>
      </c>
      <c r="N115" s="128"/>
    </row>
    <row r="116" spans="1:14" ht="10.15" customHeight="1" x14ac:dyDescent="0.25">
      <c r="A116" s="588" t="s">
        <v>1651</v>
      </c>
      <c r="B116" s="73"/>
      <c r="C116" s="140">
        <f>SUM(C117:C118)</f>
        <v>0</v>
      </c>
      <c r="D116" s="141">
        <f>SUM(D117:D118)</f>
        <v>0</v>
      </c>
      <c r="E116" s="141">
        <f t="shared" ref="E116:M116" si="20">SUM(E117:E118)</f>
        <v>0</v>
      </c>
      <c r="F116" s="141">
        <f t="shared" si="20"/>
        <v>0</v>
      </c>
      <c r="G116" s="141">
        <f t="shared" si="20"/>
        <v>0</v>
      </c>
      <c r="H116" s="141">
        <f t="shared" si="20"/>
        <v>0</v>
      </c>
      <c r="I116" s="141">
        <f t="shared" si="20"/>
        <v>0</v>
      </c>
      <c r="J116" s="141">
        <f t="shared" si="13"/>
        <v>0</v>
      </c>
      <c r="K116" s="141">
        <f t="shared" si="14"/>
        <v>0</v>
      </c>
      <c r="L116" s="141">
        <f t="shared" si="20"/>
        <v>0</v>
      </c>
      <c r="M116" s="142">
        <f t="shared" si="20"/>
        <v>0</v>
      </c>
      <c r="N116" s="128"/>
    </row>
    <row r="117" spans="1:14" ht="12.75" customHeight="1" x14ac:dyDescent="0.25">
      <c r="A117" s="589" t="s">
        <v>1649</v>
      </c>
      <c r="B117" s="73"/>
      <c r="C117" s="130">
        <v>0</v>
      </c>
      <c r="D117" s="109">
        <v>0</v>
      </c>
      <c r="E117" s="109">
        <v>0</v>
      </c>
      <c r="F117" s="109">
        <v>0</v>
      </c>
      <c r="G117" s="109">
        <v>0</v>
      </c>
      <c r="H117" s="109">
        <v>0</v>
      </c>
      <c r="I117" s="109">
        <v>0</v>
      </c>
      <c r="J117" s="75">
        <f t="shared" si="13"/>
        <v>0</v>
      </c>
      <c r="K117" s="75">
        <f t="shared" si="14"/>
        <v>0</v>
      </c>
      <c r="L117" s="109">
        <v>0</v>
      </c>
      <c r="M117" s="110">
        <v>0</v>
      </c>
      <c r="N117" s="128"/>
    </row>
    <row r="118" spans="1:14" ht="12.75" customHeight="1" x14ac:dyDescent="0.25">
      <c r="A118" s="589" t="s">
        <v>1650</v>
      </c>
      <c r="B118" s="73"/>
      <c r="C118" s="130">
        <v>0</v>
      </c>
      <c r="D118" s="109">
        <v>0</v>
      </c>
      <c r="E118" s="109">
        <v>0</v>
      </c>
      <c r="F118" s="109">
        <v>0</v>
      </c>
      <c r="G118" s="109">
        <v>0</v>
      </c>
      <c r="H118" s="109">
        <v>0</v>
      </c>
      <c r="I118" s="109">
        <v>0</v>
      </c>
      <c r="J118" s="75">
        <f t="shared" si="13"/>
        <v>0</v>
      </c>
      <c r="K118" s="75">
        <f t="shared" si="14"/>
        <v>0</v>
      </c>
      <c r="L118" s="109">
        <v>0</v>
      </c>
      <c r="M118" s="110">
        <v>0</v>
      </c>
      <c r="N118" s="128"/>
    </row>
    <row r="119" spans="1:14" ht="5.0999999999999996" customHeight="1" x14ac:dyDescent="0.25">
      <c r="A119" s="136"/>
      <c r="B119" s="73"/>
      <c r="C119" s="74"/>
      <c r="D119" s="75"/>
      <c r="E119" s="75"/>
      <c r="F119" s="75"/>
      <c r="G119" s="75"/>
      <c r="H119" s="75"/>
      <c r="I119" s="75"/>
      <c r="J119" s="75"/>
      <c r="K119" s="75"/>
      <c r="L119" s="75"/>
      <c r="M119" s="76"/>
      <c r="N119" s="128"/>
    </row>
    <row r="120" spans="1:14" ht="12.75" customHeight="1" x14ac:dyDescent="0.25">
      <c r="A120" s="1227" t="s">
        <v>767</v>
      </c>
      <c r="B120" s="73"/>
      <c r="C120" s="236">
        <f>+C121+C133</f>
        <v>2120261</v>
      </c>
      <c r="D120" s="237">
        <f t="shared" ref="D120:I120" si="21">+D121+D133</f>
        <v>3120261</v>
      </c>
      <c r="E120" s="237">
        <f t="shared" si="21"/>
        <v>0</v>
      </c>
      <c r="F120" s="237">
        <f t="shared" si="21"/>
        <v>0</v>
      </c>
      <c r="G120" s="237">
        <f t="shared" si="21"/>
        <v>0</v>
      </c>
      <c r="H120" s="237">
        <f t="shared" si="21"/>
        <v>0</v>
      </c>
      <c r="I120" s="237">
        <f t="shared" si="21"/>
        <v>7000000</v>
      </c>
      <c r="J120" s="237">
        <f t="shared" si="13"/>
        <v>7000000</v>
      </c>
      <c r="K120" s="237">
        <f t="shared" si="14"/>
        <v>10120261</v>
      </c>
      <c r="L120" s="237">
        <f>+L121+L133</f>
        <v>2823395</v>
      </c>
      <c r="M120" s="238">
        <f>+M121+M133</f>
        <v>3125796</v>
      </c>
      <c r="N120" s="128"/>
    </row>
    <row r="121" spans="1:14" ht="10.15" customHeight="1" x14ac:dyDescent="0.25">
      <c r="A121" s="588" t="s">
        <v>1652</v>
      </c>
      <c r="B121" s="73"/>
      <c r="C121" s="140">
        <f>SUM(C122:C132)</f>
        <v>2120261</v>
      </c>
      <c r="D121" s="141">
        <f t="shared" ref="D121:I121" si="22">SUM(D122:D132)</f>
        <v>3120261</v>
      </c>
      <c r="E121" s="141">
        <f t="shared" si="22"/>
        <v>0</v>
      </c>
      <c r="F121" s="141">
        <f t="shared" si="22"/>
        <v>0</v>
      </c>
      <c r="G121" s="141">
        <f t="shared" si="22"/>
        <v>0</v>
      </c>
      <c r="H121" s="141">
        <f t="shared" si="22"/>
        <v>0</v>
      </c>
      <c r="I121" s="141">
        <f t="shared" si="22"/>
        <v>7000000</v>
      </c>
      <c r="J121" s="141">
        <f t="shared" si="13"/>
        <v>7000000</v>
      </c>
      <c r="K121" s="141">
        <f t="shared" si="14"/>
        <v>10120261</v>
      </c>
      <c r="L121" s="141">
        <f>SUM(L122:L132)</f>
        <v>2823395</v>
      </c>
      <c r="M121" s="142">
        <f>SUM(M122:M132)</f>
        <v>3125796</v>
      </c>
      <c r="N121" s="128"/>
    </row>
    <row r="122" spans="1:14" ht="12.75" customHeight="1" x14ac:dyDescent="0.25">
      <c r="A122" s="589" t="s">
        <v>1653</v>
      </c>
      <c r="B122" s="73"/>
      <c r="C122" s="130">
        <v>2120261</v>
      </c>
      <c r="D122" s="109">
        <v>3120261</v>
      </c>
      <c r="E122" s="109">
        <v>0</v>
      </c>
      <c r="F122" s="109">
        <v>0</v>
      </c>
      <c r="G122" s="109">
        <v>0</v>
      </c>
      <c r="H122" s="109">
        <v>0</v>
      </c>
      <c r="I122" s="109">
        <v>7000000</v>
      </c>
      <c r="J122" s="75">
        <f t="shared" si="13"/>
        <v>7000000</v>
      </c>
      <c r="K122" s="75">
        <f t="shared" si="14"/>
        <v>10120261</v>
      </c>
      <c r="L122" s="109">
        <v>2823395</v>
      </c>
      <c r="M122" s="110">
        <v>3125796</v>
      </c>
      <c r="N122" s="128"/>
    </row>
    <row r="123" spans="1:14" ht="12.75" customHeight="1" x14ac:dyDescent="0.25">
      <c r="A123" s="589" t="s">
        <v>1654</v>
      </c>
      <c r="B123" s="137"/>
      <c r="C123" s="130">
        <v>0</v>
      </c>
      <c r="D123" s="109">
        <v>0</v>
      </c>
      <c r="E123" s="109">
        <v>0</v>
      </c>
      <c r="F123" s="109">
        <v>0</v>
      </c>
      <c r="G123" s="109">
        <v>0</v>
      </c>
      <c r="H123" s="109">
        <v>0</v>
      </c>
      <c r="I123" s="109">
        <v>0</v>
      </c>
      <c r="J123" s="75">
        <f t="shared" si="13"/>
        <v>0</v>
      </c>
      <c r="K123" s="75">
        <f t="shared" si="14"/>
        <v>0</v>
      </c>
      <c r="L123" s="109">
        <v>0</v>
      </c>
      <c r="M123" s="110">
        <v>0</v>
      </c>
      <c r="N123" s="128"/>
    </row>
    <row r="124" spans="1:14" ht="12.75" customHeight="1" x14ac:dyDescent="0.25">
      <c r="A124" s="589" t="s">
        <v>1655</v>
      </c>
      <c r="B124" s="73"/>
      <c r="C124" s="130">
        <v>0</v>
      </c>
      <c r="D124" s="109">
        <v>0</v>
      </c>
      <c r="E124" s="109">
        <v>0</v>
      </c>
      <c r="F124" s="109">
        <v>0</v>
      </c>
      <c r="G124" s="109">
        <v>0</v>
      </c>
      <c r="H124" s="109">
        <v>0</v>
      </c>
      <c r="I124" s="109">
        <v>0</v>
      </c>
      <c r="J124" s="75">
        <f t="shared" si="13"/>
        <v>0</v>
      </c>
      <c r="K124" s="75">
        <f t="shared" si="14"/>
        <v>0</v>
      </c>
      <c r="L124" s="109">
        <v>0</v>
      </c>
      <c r="M124" s="110">
        <v>0</v>
      </c>
      <c r="N124" s="128"/>
    </row>
    <row r="125" spans="1:14" ht="12.75" customHeight="1" x14ac:dyDescent="0.25">
      <c r="A125" s="589" t="s">
        <v>1656</v>
      </c>
      <c r="B125" s="73"/>
      <c r="C125" s="130">
        <v>0</v>
      </c>
      <c r="D125" s="109">
        <v>0</v>
      </c>
      <c r="E125" s="109">
        <v>0</v>
      </c>
      <c r="F125" s="109">
        <v>0</v>
      </c>
      <c r="G125" s="109">
        <v>0</v>
      </c>
      <c r="H125" s="109">
        <v>0</v>
      </c>
      <c r="I125" s="109">
        <v>0</v>
      </c>
      <c r="J125" s="75">
        <f t="shared" si="13"/>
        <v>0</v>
      </c>
      <c r="K125" s="75">
        <f t="shared" si="14"/>
        <v>0</v>
      </c>
      <c r="L125" s="109">
        <v>0</v>
      </c>
      <c r="M125" s="110">
        <v>0</v>
      </c>
      <c r="N125" s="128"/>
    </row>
    <row r="126" spans="1:14" ht="12.75" customHeight="1" x14ac:dyDescent="0.25">
      <c r="A126" s="589" t="s">
        <v>1657</v>
      </c>
      <c r="B126" s="73"/>
      <c r="C126" s="130">
        <v>0</v>
      </c>
      <c r="D126" s="109">
        <v>0</v>
      </c>
      <c r="E126" s="109">
        <v>0</v>
      </c>
      <c r="F126" s="109">
        <v>0</v>
      </c>
      <c r="G126" s="109">
        <v>0</v>
      </c>
      <c r="H126" s="109">
        <v>0</v>
      </c>
      <c r="I126" s="109">
        <v>0</v>
      </c>
      <c r="J126" s="75">
        <f t="shared" si="13"/>
        <v>0</v>
      </c>
      <c r="K126" s="75">
        <f t="shared" si="14"/>
        <v>0</v>
      </c>
      <c r="L126" s="109">
        <v>0</v>
      </c>
      <c r="M126" s="110">
        <v>0</v>
      </c>
      <c r="N126" s="128"/>
    </row>
    <row r="127" spans="1:14" ht="12.75" customHeight="1" x14ac:dyDescent="0.25">
      <c r="A127" s="589" t="s">
        <v>1658</v>
      </c>
      <c r="B127" s="73"/>
      <c r="C127" s="130">
        <v>0</v>
      </c>
      <c r="D127" s="109">
        <v>0</v>
      </c>
      <c r="E127" s="109">
        <v>0</v>
      </c>
      <c r="F127" s="109">
        <v>0</v>
      </c>
      <c r="G127" s="109">
        <v>0</v>
      </c>
      <c r="H127" s="109">
        <v>0</v>
      </c>
      <c r="I127" s="109">
        <v>0</v>
      </c>
      <c r="J127" s="75">
        <f t="shared" si="13"/>
        <v>0</v>
      </c>
      <c r="K127" s="75">
        <f t="shared" si="14"/>
        <v>0</v>
      </c>
      <c r="L127" s="109">
        <v>0</v>
      </c>
      <c r="M127" s="110">
        <v>0</v>
      </c>
      <c r="N127" s="128"/>
    </row>
    <row r="128" spans="1:14" ht="12.75" customHeight="1" x14ac:dyDescent="0.25">
      <c r="A128" s="589" t="s">
        <v>1659</v>
      </c>
      <c r="B128" s="73"/>
      <c r="C128" s="130">
        <v>0</v>
      </c>
      <c r="D128" s="109">
        <v>0</v>
      </c>
      <c r="E128" s="109">
        <v>0</v>
      </c>
      <c r="F128" s="109">
        <v>0</v>
      </c>
      <c r="G128" s="109">
        <v>0</v>
      </c>
      <c r="H128" s="109">
        <v>0</v>
      </c>
      <c r="I128" s="109">
        <v>0</v>
      </c>
      <c r="J128" s="75">
        <f t="shared" si="13"/>
        <v>0</v>
      </c>
      <c r="K128" s="75">
        <f t="shared" si="14"/>
        <v>0</v>
      </c>
      <c r="L128" s="109">
        <v>0</v>
      </c>
      <c r="M128" s="110">
        <v>0</v>
      </c>
      <c r="N128" s="128"/>
    </row>
    <row r="129" spans="1:14" ht="12.75" customHeight="1" x14ac:dyDescent="0.25">
      <c r="A129" s="589" t="s">
        <v>1660</v>
      </c>
      <c r="B129" s="137"/>
      <c r="C129" s="130">
        <v>0</v>
      </c>
      <c r="D129" s="109">
        <v>0</v>
      </c>
      <c r="E129" s="109">
        <v>0</v>
      </c>
      <c r="F129" s="109">
        <v>0</v>
      </c>
      <c r="G129" s="109">
        <v>0</v>
      </c>
      <c r="H129" s="109">
        <v>0</v>
      </c>
      <c r="I129" s="109">
        <v>0</v>
      </c>
      <c r="J129" s="75">
        <f t="shared" si="13"/>
        <v>0</v>
      </c>
      <c r="K129" s="75">
        <f t="shared" si="14"/>
        <v>0</v>
      </c>
      <c r="L129" s="109">
        <v>0</v>
      </c>
      <c r="M129" s="110">
        <v>0</v>
      </c>
      <c r="N129" s="128"/>
    </row>
    <row r="130" spans="1:14" ht="12.75" customHeight="1" x14ac:dyDescent="0.25">
      <c r="A130" s="589" t="s">
        <v>1661</v>
      </c>
      <c r="B130" s="73"/>
      <c r="C130" s="130">
        <v>0</v>
      </c>
      <c r="D130" s="109">
        <v>0</v>
      </c>
      <c r="E130" s="109">
        <v>0</v>
      </c>
      <c r="F130" s="109">
        <v>0</v>
      </c>
      <c r="G130" s="109">
        <v>0</v>
      </c>
      <c r="H130" s="109">
        <v>0</v>
      </c>
      <c r="I130" s="109">
        <v>0</v>
      </c>
      <c r="J130" s="75">
        <f t="shared" si="13"/>
        <v>0</v>
      </c>
      <c r="K130" s="75">
        <f t="shared" si="14"/>
        <v>0</v>
      </c>
      <c r="L130" s="109">
        <v>0</v>
      </c>
      <c r="M130" s="110">
        <v>0</v>
      </c>
      <c r="N130" s="128"/>
    </row>
    <row r="131" spans="1:14" ht="12.75" customHeight="1" x14ac:dyDescent="0.25">
      <c r="A131" s="589" t="s">
        <v>1662</v>
      </c>
      <c r="B131" s="73"/>
      <c r="C131" s="130">
        <v>0</v>
      </c>
      <c r="D131" s="109">
        <v>0</v>
      </c>
      <c r="E131" s="109">
        <v>0</v>
      </c>
      <c r="F131" s="109">
        <v>0</v>
      </c>
      <c r="G131" s="109">
        <v>0</v>
      </c>
      <c r="H131" s="109">
        <v>0</v>
      </c>
      <c r="I131" s="109">
        <v>0</v>
      </c>
      <c r="J131" s="75">
        <f t="shared" si="13"/>
        <v>0</v>
      </c>
      <c r="K131" s="75">
        <f t="shared" si="14"/>
        <v>0</v>
      </c>
      <c r="L131" s="109">
        <v>0</v>
      </c>
      <c r="M131" s="110">
        <v>0</v>
      </c>
      <c r="N131" s="128"/>
    </row>
    <row r="132" spans="1:14" ht="12.75" customHeight="1" x14ac:dyDescent="0.25">
      <c r="A132" s="589" t="s">
        <v>1572</v>
      </c>
      <c r="B132" s="73"/>
      <c r="C132" s="130">
        <v>0</v>
      </c>
      <c r="D132" s="109">
        <v>0</v>
      </c>
      <c r="E132" s="109">
        <v>0</v>
      </c>
      <c r="F132" s="109">
        <v>0</v>
      </c>
      <c r="G132" s="109">
        <v>0</v>
      </c>
      <c r="H132" s="109">
        <v>0</v>
      </c>
      <c r="I132" s="109">
        <v>0</v>
      </c>
      <c r="J132" s="75">
        <f t="shared" si="13"/>
        <v>0</v>
      </c>
      <c r="K132" s="75">
        <f t="shared" si="14"/>
        <v>0</v>
      </c>
      <c r="L132" s="109">
        <v>0</v>
      </c>
      <c r="M132" s="110">
        <v>0</v>
      </c>
      <c r="N132" s="128"/>
    </row>
    <row r="133" spans="1:14" ht="10.15" customHeight="1" x14ac:dyDescent="0.25">
      <c r="A133" s="588" t="s">
        <v>619</v>
      </c>
      <c r="B133" s="73"/>
      <c r="C133" s="140">
        <f>SUM(C134:C136)</f>
        <v>0</v>
      </c>
      <c r="D133" s="141">
        <f>SUM(D134:D136)</f>
        <v>0</v>
      </c>
      <c r="E133" s="141">
        <f t="shared" ref="E133:M133" si="23">SUM(E134:E136)</f>
        <v>0</v>
      </c>
      <c r="F133" s="141">
        <f t="shared" si="23"/>
        <v>0</v>
      </c>
      <c r="G133" s="141">
        <f t="shared" si="23"/>
        <v>0</v>
      </c>
      <c r="H133" s="141">
        <f t="shared" si="23"/>
        <v>0</v>
      </c>
      <c r="I133" s="141">
        <f t="shared" si="23"/>
        <v>0</v>
      </c>
      <c r="J133" s="141">
        <f t="shared" si="13"/>
        <v>0</v>
      </c>
      <c r="K133" s="141">
        <f t="shared" si="14"/>
        <v>0</v>
      </c>
      <c r="L133" s="141">
        <f t="shared" si="23"/>
        <v>0</v>
      </c>
      <c r="M133" s="142">
        <f t="shared" si="23"/>
        <v>0</v>
      </c>
      <c r="N133" s="128"/>
    </row>
    <row r="134" spans="1:14" s="1234" customFormat="1" ht="12.75" customHeight="1" x14ac:dyDescent="0.25">
      <c r="A134" s="589" t="s">
        <v>1663</v>
      </c>
      <c r="B134" s="1228"/>
      <c r="C134" s="1229">
        <v>0</v>
      </c>
      <c r="D134" s="1230">
        <v>0</v>
      </c>
      <c r="E134" s="1230">
        <v>0</v>
      </c>
      <c r="F134" s="1230">
        <v>0</v>
      </c>
      <c r="G134" s="1230">
        <v>0</v>
      </c>
      <c r="H134" s="1230">
        <v>0</v>
      </c>
      <c r="I134" s="1230">
        <v>0</v>
      </c>
      <c r="J134" s="1231">
        <f t="shared" si="13"/>
        <v>0</v>
      </c>
      <c r="K134" s="1231">
        <f t="shared" si="14"/>
        <v>0</v>
      </c>
      <c r="L134" s="1230">
        <v>0</v>
      </c>
      <c r="M134" s="1232">
        <v>0</v>
      </c>
      <c r="N134" s="1233"/>
    </row>
    <row r="135" spans="1:14" ht="12.75" customHeight="1" x14ac:dyDescent="0.25">
      <c r="A135" s="589" t="s">
        <v>1664</v>
      </c>
      <c r="B135" s="73"/>
      <c r="C135" s="1229">
        <v>0</v>
      </c>
      <c r="D135" s="1230">
        <v>0</v>
      </c>
      <c r="E135" s="1230">
        <v>0</v>
      </c>
      <c r="F135" s="1230">
        <v>0</v>
      </c>
      <c r="G135" s="1230">
        <v>0</v>
      </c>
      <c r="H135" s="1230">
        <v>0</v>
      </c>
      <c r="I135" s="1230">
        <v>0</v>
      </c>
      <c r="J135" s="75">
        <f t="shared" si="13"/>
        <v>0</v>
      </c>
      <c r="K135" s="75">
        <f t="shared" si="14"/>
        <v>0</v>
      </c>
      <c r="L135" s="1230">
        <v>0</v>
      </c>
      <c r="M135" s="1232">
        <v>0</v>
      </c>
      <c r="N135" s="128"/>
    </row>
    <row r="136" spans="1:14" ht="12.75" customHeight="1" x14ac:dyDescent="0.25">
      <c r="A136" s="589" t="s">
        <v>1572</v>
      </c>
      <c r="B136" s="73"/>
      <c r="C136" s="1229">
        <v>0</v>
      </c>
      <c r="D136" s="1230">
        <v>0</v>
      </c>
      <c r="E136" s="1230">
        <v>0</v>
      </c>
      <c r="F136" s="1230">
        <v>0</v>
      </c>
      <c r="G136" s="1230">
        <v>0</v>
      </c>
      <c r="H136" s="1230">
        <v>0</v>
      </c>
      <c r="I136" s="1230">
        <v>0</v>
      </c>
      <c r="J136" s="75">
        <f t="shared" si="13"/>
        <v>0</v>
      </c>
      <c r="K136" s="75">
        <f t="shared" si="14"/>
        <v>0</v>
      </c>
      <c r="L136" s="1230">
        <v>0</v>
      </c>
      <c r="M136" s="1232">
        <v>0</v>
      </c>
      <c r="N136" s="128"/>
    </row>
    <row r="137" spans="1:14" ht="5.0999999999999996" customHeight="1" x14ac:dyDescent="0.25">
      <c r="A137" s="136"/>
      <c r="B137" s="73"/>
      <c r="C137" s="74"/>
      <c r="D137" s="75"/>
      <c r="E137" s="75"/>
      <c r="F137" s="75"/>
      <c r="G137" s="75"/>
      <c r="H137" s="75"/>
      <c r="I137" s="75"/>
      <c r="J137" s="75"/>
      <c r="K137" s="75"/>
      <c r="L137" s="75"/>
      <c r="M137" s="76"/>
      <c r="N137" s="128"/>
    </row>
    <row r="138" spans="1:14" ht="12.75" customHeight="1" x14ac:dyDescent="0.25">
      <c r="A138" s="486" t="s">
        <v>1665</v>
      </c>
      <c r="B138" s="73"/>
      <c r="C138" s="236">
        <f t="shared" ref="C138:M138" si="24">SUM(C139:C139)</f>
        <v>0</v>
      </c>
      <c r="D138" s="237">
        <f t="shared" si="24"/>
        <v>0</v>
      </c>
      <c r="E138" s="237">
        <f t="shared" si="24"/>
        <v>0</v>
      </c>
      <c r="F138" s="237">
        <f t="shared" si="24"/>
        <v>0</v>
      </c>
      <c r="G138" s="237">
        <f t="shared" si="24"/>
        <v>0</v>
      </c>
      <c r="H138" s="237">
        <f t="shared" si="24"/>
        <v>0</v>
      </c>
      <c r="I138" s="237">
        <f t="shared" si="24"/>
        <v>0</v>
      </c>
      <c r="J138" s="237">
        <f t="shared" si="13"/>
        <v>0</v>
      </c>
      <c r="K138" s="237">
        <f t="shared" si="14"/>
        <v>0</v>
      </c>
      <c r="L138" s="237">
        <f t="shared" si="24"/>
        <v>0</v>
      </c>
      <c r="M138" s="238">
        <f t="shared" si="24"/>
        <v>0</v>
      </c>
      <c r="N138" s="128"/>
    </row>
    <row r="139" spans="1:14" ht="12.75" customHeight="1" x14ac:dyDescent="0.25">
      <c r="A139" s="588" t="s">
        <v>1665</v>
      </c>
      <c r="B139" s="73"/>
      <c r="C139" s="130">
        <v>0</v>
      </c>
      <c r="D139" s="109">
        <v>0</v>
      </c>
      <c r="E139" s="109">
        <v>0</v>
      </c>
      <c r="F139" s="109">
        <v>0</v>
      </c>
      <c r="G139" s="109">
        <v>0</v>
      </c>
      <c r="H139" s="109">
        <v>0</v>
      </c>
      <c r="I139" s="109">
        <v>0</v>
      </c>
      <c r="J139" s="75">
        <f t="shared" si="13"/>
        <v>0</v>
      </c>
      <c r="K139" s="75">
        <f t="shared" si="14"/>
        <v>0</v>
      </c>
      <c r="L139" s="109">
        <v>0</v>
      </c>
      <c r="M139" s="110">
        <v>0</v>
      </c>
      <c r="N139" s="128"/>
    </row>
    <row r="140" spans="1:14" ht="5.0999999999999996" customHeight="1" x14ac:dyDescent="0.25">
      <c r="A140" s="1235"/>
      <c r="B140" s="73"/>
      <c r="C140" s="74"/>
      <c r="D140" s="75"/>
      <c r="E140" s="75"/>
      <c r="F140" s="75"/>
      <c r="G140" s="75"/>
      <c r="H140" s="75"/>
      <c r="I140" s="75"/>
      <c r="J140" s="75"/>
      <c r="K140" s="75"/>
      <c r="L140" s="75"/>
      <c r="M140" s="76"/>
      <c r="N140" s="128"/>
    </row>
    <row r="141" spans="1:14" ht="12.75" customHeight="1" x14ac:dyDescent="0.25">
      <c r="A141" s="486" t="s">
        <v>1666</v>
      </c>
      <c r="B141" s="73"/>
      <c r="C141" s="236">
        <f>SUM(C142:C143)</f>
        <v>0</v>
      </c>
      <c r="D141" s="237">
        <f t="shared" ref="D141:I141" si="25">SUM(D142:D143)</f>
        <v>0</v>
      </c>
      <c r="E141" s="237">
        <f t="shared" si="25"/>
        <v>0</v>
      </c>
      <c r="F141" s="237">
        <f t="shared" si="25"/>
        <v>0</v>
      </c>
      <c r="G141" s="237">
        <f t="shared" si="25"/>
        <v>0</v>
      </c>
      <c r="H141" s="237">
        <f t="shared" si="25"/>
        <v>0</v>
      </c>
      <c r="I141" s="237">
        <f t="shared" si="25"/>
        <v>0</v>
      </c>
      <c r="J141" s="237">
        <f t="shared" ref="J141:J149" si="26">SUM(E141:I141)</f>
        <v>0</v>
      </c>
      <c r="K141" s="237">
        <f t="shared" ref="K141:K149" si="27">IF(D141=0,C141+J141,D141+J141)</f>
        <v>0</v>
      </c>
      <c r="L141" s="237">
        <f>SUM(L142:L143)</f>
        <v>0</v>
      </c>
      <c r="M141" s="238">
        <f>SUM(M142:M143)</f>
        <v>0</v>
      </c>
      <c r="N141" s="128"/>
    </row>
    <row r="142" spans="1:14" ht="12.75" customHeight="1" x14ac:dyDescent="0.25">
      <c r="A142" s="590" t="s">
        <v>1667</v>
      </c>
      <c r="B142" s="73"/>
      <c r="C142" s="130">
        <v>0</v>
      </c>
      <c r="D142" s="109">
        <v>0</v>
      </c>
      <c r="E142" s="109">
        <v>0</v>
      </c>
      <c r="F142" s="109">
        <v>0</v>
      </c>
      <c r="G142" s="109">
        <v>0</v>
      </c>
      <c r="H142" s="109">
        <v>0</v>
      </c>
      <c r="I142" s="109">
        <v>0</v>
      </c>
      <c r="J142" s="75">
        <f t="shared" si="26"/>
        <v>0</v>
      </c>
      <c r="K142" s="75">
        <f t="shared" si="27"/>
        <v>0</v>
      </c>
      <c r="L142" s="109">
        <v>0</v>
      </c>
      <c r="M142" s="110">
        <v>0</v>
      </c>
      <c r="N142" s="128"/>
    </row>
    <row r="143" spans="1:14" ht="10.15" customHeight="1" x14ac:dyDescent="0.25">
      <c r="A143" s="590" t="s">
        <v>1668</v>
      </c>
      <c r="B143" s="73"/>
      <c r="C143" s="140">
        <f>SUM(C144:C149)</f>
        <v>0</v>
      </c>
      <c r="D143" s="141">
        <f t="shared" ref="D143:I143" si="28">SUM(D144:D149)</f>
        <v>0</v>
      </c>
      <c r="E143" s="141">
        <f t="shared" si="28"/>
        <v>0</v>
      </c>
      <c r="F143" s="141">
        <f t="shared" si="28"/>
        <v>0</v>
      </c>
      <c r="G143" s="141">
        <f t="shared" si="28"/>
        <v>0</v>
      </c>
      <c r="H143" s="141">
        <f t="shared" si="28"/>
        <v>0</v>
      </c>
      <c r="I143" s="141">
        <f t="shared" si="28"/>
        <v>0</v>
      </c>
      <c r="J143" s="141">
        <f t="shared" si="26"/>
        <v>0</v>
      </c>
      <c r="K143" s="141">
        <f t="shared" si="27"/>
        <v>0</v>
      </c>
      <c r="L143" s="141">
        <f>SUM(L144:L149)</f>
        <v>0</v>
      </c>
      <c r="M143" s="142">
        <f>SUM(M144:M149)</f>
        <v>0</v>
      </c>
      <c r="N143" s="128"/>
    </row>
    <row r="144" spans="1:14" ht="12.75" customHeight="1" x14ac:dyDescent="0.25">
      <c r="A144" s="589" t="s">
        <v>1669</v>
      </c>
      <c r="B144" s="73"/>
      <c r="C144" s="130">
        <v>0</v>
      </c>
      <c r="D144" s="109">
        <v>0</v>
      </c>
      <c r="E144" s="109">
        <v>0</v>
      </c>
      <c r="F144" s="109">
        <v>0</v>
      </c>
      <c r="G144" s="109">
        <v>0</v>
      </c>
      <c r="H144" s="109">
        <v>0</v>
      </c>
      <c r="I144" s="109">
        <v>0</v>
      </c>
      <c r="J144" s="75">
        <f t="shared" si="26"/>
        <v>0</v>
      </c>
      <c r="K144" s="75">
        <f t="shared" si="27"/>
        <v>0</v>
      </c>
      <c r="L144" s="109">
        <v>0</v>
      </c>
      <c r="M144" s="110">
        <v>0</v>
      </c>
      <c r="N144" s="128"/>
    </row>
    <row r="145" spans="1:14" ht="12.75" customHeight="1" x14ac:dyDescent="0.25">
      <c r="A145" s="589" t="s">
        <v>1670</v>
      </c>
      <c r="B145" s="137"/>
      <c r="C145" s="130">
        <v>0</v>
      </c>
      <c r="D145" s="109">
        <v>0</v>
      </c>
      <c r="E145" s="109">
        <v>0</v>
      </c>
      <c r="F145" s="109">
        <v>0</v>
      </c>
      <c r="G145" s="109">
        <v>0</v>
      </c>
      <c r="H145" s="109">
        <v>0</v>
      </c>
      <c r="I145" s="109">
        <v>0</v>
      </c>
      <c r="J145" s="75">
        <f t="shared" si="26"/>
        <v>0</v>
      </c>
      <c r="K145" s="75">
        <f t="shared" si="27"/>
        <v>0</v>
      </c>
      <c r="L145" s="109">
        <v>0</v>
      </c>
      <c r="M145" s="110">
        <v>0</v>
      </c>
      <c r="N145" s="128"/>
    </row>
    <row r="146" spans="1:14" ht="12.75" customHeight="1" x14ac:dyDescent="0.25">
      <c r="A146" s="589" t="s">
        <v>1671</v>
      </c>
      <c r="B146" s="73"/>
      <c r="C146" s="130">
        <v>0</v>
      </c>
      <c r="D146" s="109">
        <v>0</v>
      </c>
      <c r="E146" s="109">
        <v>0</v>
      </c>
      <c r="F146" s="109">
        <v>0</v>
      </c>
      <c r="G146" s="109">
        <v>0</v>
      </c>
      <c r="H146" s="109">
        <v>0</v>
      </c>
      <c r="I146" s="109">
        <v>0</v>
      </c>
      <c r="J146" s="75">
        <f t="shared" si="26"/>
        <v>0</v>
      </c>
      <c r="K146" s="75">
        <f t="shared" si="27"/>
        <v>0</v>
      </c>
      <c r="L146" s="109">
        <v>0</v>
      </c>
      <c r="M146" s="110">
        <v>0</v>
      </c>
      <c r="N146" s="128"/>
    </row>
    <row r="147" spans="1:14" ht="12.75" customHeight="1" x14ac:dyDescent="0.25">
      <c r="A147" s="589" t="s">
        <v>1672</v>
      </c>
      <c r="B147" s="73"/>
      <c r="C147" s="130">
        <v>0</v>
      </c>
      <c r="D147" s="109">
        <v>0</v>
      </c>
      <c r="E147" s="109">
        <v>0</v>
      </c>
      <c r="F147" s="109">
        <v>0</v>
      </c>
      <c r="G147" s="109">
        <v>0</v>
      </c>
      <c r="H147" s="109">
        <v>0</v>
      </c>
      <c r="I147" s="109">
        <v>0</v>
      </c>
      <c r="J147" s="75">
        <f t="shared" si="26"/>
        <v>0</v>
      </c>
      <c r="K147" s="75">
        <f t="shared" si="27"/>
        <v>0</v>
      </c>
      <c r="L147" s="109">
        <v>0</v>
      </c>
      <c r="M147" s="110">
        <v>0</v>
      </c>
      <c r="N147" s="128"/>
    </row>
    <row r="148" spans="1:14" ht="12.75" customHeight="1" x14ac:dyDescent="0.25">
      <c r="A148" s="589" t="s">
        <v>1673</v>
      </c>
      <c r="B148" s="73"/>
      <c r="C148" s="130">
        <v>0</v>
      </c>
      <c r="D148" s="109">
        <v>0</v>
      </c>
      <c r="E148" s="109">
        <v>0</v>
      </c>
      <c r="F148" s="109">
        <v>0</v>
      </c>
      <c r="G148" s="109">
        <v>0</v>
      </c>
      <c r="H148" s="109">
        <v>0</v>
      </c>
      <c r="I148" s="109">
        <v>0</v>
      </c>
      <c r="J148" s="75">
        <f t="shared" si="26"/>
        <v>0</v>
      </c>
      <c r="K148" s="75">
        <f t="shared" si="27"/>
        <v>0</v>
      </c>
      <c r="L148" s="109">
        <v>0</v>
      </c>
      <c r="M148" s="110">
        <v>0</v>
      </c>
      <c r="N148" s="128"/>
    </row>
    <row r="149" spans="1:14" ht="12.75" customHeight="1" x14ac:dyDescent="0.25">
      <c r="A149" s="589" t="s">
        <v>1674</v>
      </c>
      <c r="B149" s="73"/>
      <c r="C149" s="130">
        <v>0</v>
      </c>
      <c r="D149" s="109">
        <v>0</v>
      </c>
      <c r="E149" s="109">
        <v>0</v>
      </c>
      <c r="F149" s="109">
        <v>0</v>
      </c>
      <c r="G149" s="109">
        <v>0</v>
      </c>
      <c r="H149" s="109">
        <v>0</v>
      </c>
      <c r="I149" s="109">
        <v>0</v>
      </c>
      <c r="J149" s="75">
        <f t="shared" si="26"/>
        <v>0</v>
      </c>
      <c r="K149" s="75">
        <f t="shared" si="27"/>
        <v>0</v>
      </c>
      <c r="L149" s="109">
        <v>0</v>
      </c>
      <c r="M149" s="110">
        <v>0</v>
      </c>
      <c r="N149" s="128"/>
    </row>
    <row r="150" spans="1:14" ht="5.0999999999999996" customHeight="1" x14ac:dyDescent="0.25">
      <c r="A150" s="1235"/>
      <c r="B150" s="73"/>
      <c r="C150" s="74"/>
      <c r="D150" s="75"/>
      <c r="E150" s="75"/>
      <c r="F150" s="75"/>
      <c r="G150" s="75"/>
      <c r="H150" s="75"/>
      <c r="I150" s="75"/>
      <c r="J150" s="75"/>
      <c r="K150" s="75"/>
      <c r="L150" s="75"/>
      <c r="M150" s="76"/>
      <c r="N150" s="128"/>
    </row>
    <row r="151" spans="1:14" ht="12.75" customHeight="1" x14ac:dyDescent="0.25">
      <c r="A151" s="486" t="s">
        <v>1675</v>
      </c>
      <c r="B151" s="73"/>
      <c r="C151" s="236">
        <f t="shared" ref="C151:M151" si="29">SUM(C152:C152)</f>
        <v>0</v>
      </c>
      <c r="D151" s="237">
        <f t="shared" si="29"/>
        <v>0</v>
      </c>
      <c r="E151" s="237">
        <f t="shared" si="29"/>
        <v>0</v>
      </c>
      <c r="F151" s="237">
        <f t="shared" si="29"/>
        <v>0</v>
      </c>
      <c r="G151" s="237">
        <f t="shared" si="29"/>
        <v>0</v>
      </c>
      <c r="H151" s="237">
        <f t="shared" si="29"/>
        <v>0</v>
      </c>
      <c r="I151" s="237">
        <f t="shared" si="29"/>
        <v>0</v>
      </c>
      <c r="J151" s="237">
        <f t="shared" si="29"/>
        <v>0</v>
      </c>
      <c r="K151" s="237">
        <f t="shared" si="29"/>
        <v>0</v>
      </c>
      <c r="L151" s="237">
        <f t="shared" si="29"/>
        <v>0</v>
      </c>
      <c r="M151" s="238">
        <f t="shared" si="29"/>
        <v>0</v>
      </c>
      <c r="N151" s="128"/>
    </row>
    <row r="152" spans="1:14" ht="12.75" customHeight="1" x14ac:dyDescent="0.25">
      <c r="A152" s="588" t="s">
        <v>1675</v>
      </c>
      <c r="B152" s="73"/>
      <c r="C152" s="130">
        <v>0</v>
      </c>
      <c r="D152" s="109">
        <v>0</v>
      </c>
      <c r="E152" s="109">
        <v>0</v>
      </c>
      <c r="F152" s="109">
        <v>0</v>
      </c>
      <c r="G152" s="109">
        <v>0</v>
      </c>
      <c r="H152" s="109">
        <v>0</v>
      </c>
      <c r="I152" s="109">
        <v>0</v>
      </c>
      <c r="J152" s="75">
        <f>SUM(E152:I152)</f>
        <v>0</v>
      </c>
      <c r="K152" s="75">
        <f>IF(D152=0,C152+J152,D152+J152)</f>
        <v>0</v>
      </c>
      <c r="L152" s="109">
        <v>0</v>
      </c>
      <c r="M152" s="110">
        <v>0</v>
      </c>
      <c r="N152" s="128"/>
    </row>
    <row r="153" spans="1:14" ht="5.0999999999999996" customHeight="1" x14ac:dyDescent="0.25">
      <c r="A153" s="1235"/>
      <c r="B153" s="73"/>
      <c r="C153" s="74"/>
      <c r="D153" s="75"/>
      <c r="E153" s="75"/>
      <c r="F153" s="75"/>
      <c r="G153" s="75"/>
      <c r="H153" s="75"/>
      <c r="I153" s="75"/>
      <c r="J153" s="75"/>
      <c r="K153" s="75"/>
      <c r="L153" s="75"/>
      <c r="M153" s="76"/>
      <c r="N153" s="128"/>
    </row>
    <row r="154" spans="1:14" ht="12.75" customHeight="1" x14ac:dyDescent="0.25">
      <c r="A154" s="486" t="s">
        <v>1676</v>
      </c>
      <c r="B154" s="73"/>
      <c r="C154" s="236">
        <f t="shared" ref="C154:M154" si="30">SUM(C155:C155)</f>
        <v>0</v>
      </c>
      <c r="D154" s="237">
        <f t="shared" si="30"/>
        <v>0</v>
      </c>
      <c r="E154" s="237">
        <f t="shared" si="30"/>
        <v>0</v>
      </c>
      <c r="F154" s="237">
        <f t="shared" si="30"/>
        <v>0</v>
      </c>
      <c r="G154" s="237">
        <f t="shared" si="30"/>
        <v>0</v>
      </c>
      <c r="H154" s="237">
        <f t="shared" si="30"/>
        <v>0</v>
      </c>
      <c r="I154" s="237">
        <f t="shared" si="30"/>
        <v>0</v>
      </c>
      <c r="J154" s="237">
        <f>SUM(E154:I154)</f>
        <v>0</v>
      </c>
      <c r="K154" s="237">
        <f>IF(D154=0,C154+J154,D154+J154)</f>
        <v>0</v>
      </c>
      <c r="L154" s="237">
        <f t="shared" si="30"/>
        <v>0</v>
      </c>
      <c r="M154" s="238">
        <f t="shared" si="30"/>
        <v>0</v>
      </c>
      <c r="N154" s="128"/>
    </row>
    <row r="155" spans="1:14" ht="12.75" customHeight="1" x14ac:dyDescent="0.25">
      <c r="A155" s="588" t="s">
        <v>1676</v>
      </c>
      <c r="B155" s="73"/>
      <c r="C155" s="130">
        <v>0</v>
      </c>
      <c r="D155" s="109">
        <v>0</v>
      </c>
      <c r="E155" s="109">
        <v>0</v>
      </c>
      <c r="F155" s="109">
        <v>0</v>
      </c>
      <c r="G155" s="109">
        <v>0</v>
      </c>
      <c r="H155" s="109">
        <v>0</v>
      </c>
      <c r="I155" s="109">
        <v>0</v>
      </c>
      <c r="J155" s="75">
        <f>SUM(E155:I155)</f>
        <v>0</v>
      </c>
      <c r="K155" s="75">
        <f>IF(D155=0,C155+J155,D155+J155)</f>
        <v>0</v>
      </c>
      <c r="L155" s="109">
        <v>0</v>
      </c>
      <c r="M155" s="110">
        <v>0</v>
      </c>
      <c r="N155" s="128"/>
    </row>
    <row r="156" spans="1:14" ht="5.0999999999999996" customHeight="1" x14ac:dyDescent="0.25">
      <c r="A156" s="1235"/>
      <c r="B156" s="73"/>
      <c r="C156" s="74"/>
      <c r="D156" s="75"/>
      <c r="E156" s="75"/>
      <c r="F156" s="75"/>
      <c r="G156" s="75"/>
      <c r="H156" s="75"/>
      <c r="I156" s="75"/>
      <c r="J156" s="75"/>
      <c r="K156" s="75"/>
      <c r="L156" s="75"/>
      <c r="M156" s="76"/>
      <c r="N156" s="128"/>
    </row>
    <row r="157" spans="1:14" ht="12.75" customHeight="1" x14ac:dyDescent="0.25">
      <c r="A157" s="486" t="s">
        <v>1677</v>
      </c>
      <c r="B157" s="73"/>
      <c r="C157" s="236">
        <f t="shared" ref="C157:M157" si="31">SUM(C158:C158)</f>
        <v>0</v>
      </c>
      <c r="D157" s="237">
        <f t="shared" si="31"/>
        <v>0</v>
      </c>
      <c r="E157" s="237">
        <f t="shared" si="31"/>
        <v>0</v>
      </c>
      <c r="F157" s="237">
        <f t="shared" si="31"/>
        <v>0</v>
      </c>
      <c r="G157" s="237">
        <f t="shared" si="31"/>
        <v>0</v>
      </c>
      <c r="H157" s="237">
        <f t="shared" si="31"/>
        <v>0</v>
      </c>
      <c r="I157" s="237">
        <f t="shared" si="31"/>
        <v>0</v>
      </c>
      <c r="J157" s="237">
        <f>SUM(E157:I157)</f>
        <v>0</v>
      </c>
      <c r="K157" s="237">
        <f>IF(D157=0,C157+J157,D157+J157)</f>
        <v>0</v>
      </c>
      <c r="L157" s="237">
        <f t="shared" si="31"/>
        <v>0</v>
      </c>
      <c r="M157" s="238">
        <f t="shared" si="31"/>
        <v>0</v>
      </c>
      <c r="N157" s="128"/>
    </row>
    <row r="158" spans="1:14" ht="12.75" customHeight="1" x14ac:dyDescent="0.25">
      <c r="A158" s="588" t="s">
        <v>1677</v>
      </c>
      <c r="B158" s="73"/>
      <c r="C158" s="130">
        <v>0</v>
      </c>
      <c r="D158" s="109">
        <v>0</v>
      </c>
      <c r="E158" s="109">
        <v>0</v>
      </c>
      <c r="F158" s="109">
        <v>0</v>
      </c>
      <c r="G158" s="109">
        <v>0</v>
      </c>
      <c r="H158" s="109">
        <v>0</v>
      </c>
      <c r="I158" s="109">
        <v>0</v>
      </c>
      <c r="J158" s="75">
        <f>SUM(E158:I158)</f>
        <v>0</v>
      </c>
      <c r="K158" s="75">
        <f>IF(D158=0,C158+J158,D158+J158)</f>
        <v>0</v>
      </c>
      <c r="L158" s="109">
        <v>0</v>
      </c>
      <c r="M158" s="110">
        <v>0</v>
      </c>
      <c r="N158" s="128"/>
    </row>
    <row r="159" spans="1:14" ht="5.0999999999999996" customHeight="1" x14ac:dyDescent="0.25">
      <c r="A159" s="1235"/>
      <c r="B159" s="73"/>
      <c r="C159" s="74"/>
      <c r="D159" s="75"/>
      <c r="E159" s="75"/>
      <c r="F159" s="75"/>
      <c r="G159" s="75"/>
      <c r="H159" s="75"/>
      <c r="I159" s="75"/>
      <c r="J159" s="75"/>
      <c r="K159" s="75"/>
      <c r="L159" s="75"/>
      <c r="M159" s="76"/>
      <c r="N159" s="128"/>
    </row>
    <row r="160" spans="1:14" ht="12.75" customHeight="1" x14ac:dyDescent="0.25">
      <c r="A160" s="486" t="s">
        <v>1678</v>
      </c>
      <c r="B160" s="73"/>
      <c r="C160" s="236">
        <f t="shared" ref="C160:M160" si="32">SUM(C161:C161)</f>
        <v>0</v>
      </c>
      <c r="D160" s="237">
        <f t="shared" si="32"/>
        <v>0</v>
      </c>
      <c r="E160" s="237">
        <f t="shared" si="32"/>
        <v>0</v>
      </c>
      <c r="F160" s="237">
        <f t="shared" si="32"/>
        <v>0</v>
      </c>
      <c r="G160" s="237">
        <f t="shared" si="32"/>
        <v>0</v>
      </c>
      <c r="H160" s="237">
        <f t="shared" si="32"/>
        <v>0</v>
      </c>
      <c r="I160" s="237">
        <f t="shared" si="32"/>
        <v>0</v>
      </c>
      <c r="J160" s="237">
        <f>SUM(E160:I160)</f>
        <v>0</v>
      </c>
      <c r="K160" s="237">
        <f>IF(D160=0,C160+J160,D160+J160)</f>
        <v>0</v>
      </c>
      <c r="L160" s="237">
        <f t="shared" si="32"/>
        <v>0</v>
      </c>
      <c r="M160" s="238">
        <f t="shared" si="32"/>
        <v>0</v>
      </c>
      <c r="N160" s="128"/>
    </row>
    <row r="161" spans="1:14" ht="12.75" customHeight="1" x14ac:dyDescent="0.25">
      <c r="A161" s="588" t="s">
        <v>1678</v>
      </c>
      <c r="B161" s="73"/>
      <c r="C161" s="130">
        <v>0</v>
      </c>
      <c r="D161" s="109">
        <v>0</v>
      </c>
      <c r="E161" s="109">
        <v>0</v>
      </c>
      <c r="F161" s="109">
        <v>0</v>
      </c>
      <c r="G161" s="109">
        <v>0</v>
      </c>
      <c r="H161" s="109">
        <v>0</v>
      </c>
      <c r="I161" s="109">
        <v>0</v>
      </c>
      <c r="J161" s="75">
        <f>SUM(E161:I161)</f>
        <v>0</v>
      </c>
      <c r="K161" s="75">
        <f>IF(D161=0,C161+J161,D161+J161)</f>
        <v>0</v>
      </c>
      <c r="L161" s="109">
        <v>0</v>
      </c>
      <c r="M161" s="110">
        <v>0</v>
      </c>
      <c r="N161" s="128"/>
    </row>
    <row r="162" spans="1:14" ht="5.0999999999999996" customHeight="1" x14ac:dyDescent="0.25">
      <c r="A162" s="1235"/>
      <c r="B162" s="73"/>
      <c r="C162" s="74"/>
      <c r="D162" s="75"/>
      <c r="E162" s="75"/>
      <c r="F162" s="75"/>
      <c r="G162" s="75"/>
      <c r="H162" s="75"/>
      <c r="I162" s="75"/>
      <c r="J162" s="75"/>
      <c r="K162" s="75"/>
      <c r="L162" s="75"/>
      <c r="M162" s="76"/>
      <c r="N162" s="128"/>
    </row>
    <row r="163" spans="1:14" ht="12.75" customHeight="1" x14ac:dyDescent="0.25">
      <c r="A163" s="486" t="s">
        <v>1735</v>
      </c>
      <c r="B163" s="73"/>
      <c r="C163" s="236">
        <f t="shared" ref="C163:M163" si="33">SUM(C164:C164)</f>
        <v>0</v>
      </c>
      <c r="D163" s="237">
        <f t="shared" si="33"/>
        <v>0</v>
      </c>
      <c r="E163" s="237">
        <f t="shared" si="33"/>
        <v>0</v>
      </c>
      <c r="F163" s="237">
        <f t="shared" si="33"/>
        <v>0</v>
      </c>
      <c r="G163" s="237">
        <f t="shared" si="33"/>
        <v>0</v>
      </c>
      <c r="H163" s="237">
        <f t="shared" si="33"/>
        <v>0</v>
      </c>
      <c r="I163" s="237">
        <f t="shared" si="33"/>
        <v>0</v>
      </c>
      <c r="J163" s="237">
        <f>SUM(E163:I163)</f>
        <v>0</v>
      </c>
      <c r="K163" s="237">
        <f>IF(D163=0,C163+J163,D163+J163)</f>
        <v>0</v>
      </c>
      <c r="L163" s="237">
        <f t="shared" si="33"/>
        <v>0</v>
      </c>
      <c r="M163" s="238">
        <f t="shared" si="33"/>
        <v>0</v>
      </c>
      <c r="N163" s="128"/>
    </row>
    <row r="164" spans="1:14" ht="12.75" customHeight="1" x14ac:dyDescent="0.25">
      <c r="A164" s="588" t="s">
        <v>1735</v>
      </c>
      <c r="B164" s="73"/>
      <c r="C164" s="130">
        <v>0</v>
      </c>
      <c r="D164" s="109">
        <v>0</v>
      </c>
      <c r="E164" s="109">
        <v>0</v>
      </c>
      <c r="F164" s="109">
        <v>0</v>
      </c>
      <c r="G164" s="109">
        <v>0</v>
      </c>
      <c r="H164" s="109">
        <v>0</v>
      </c>
      <c r="I164" s="109">
        <v>0</v>
      </c>
      <c r="J164" s="75">
        <f>SUM(E164:I164)</f>
        <v>0</v>
      </c>
      <c r="K164" s="75">
        <f>IF(D164=0,C164+J164,D164+J164)</f>
        <v>0</v>
      </c>
      <c r="L164" s="109">
        <v>0</v>
      </c>
      <c r="M164" s="110">
        <v>0</v>
      </c>
      <c r="N164" s="128"/>
    </row>
    <row r="165" spans="1:14" ht="5.0999999999999996" customHeight="1" x14ac:dyDescent="0.25">
      <c r="A165" s="1235"/>
      <c r="B165" s="73"/>
      <c r="C165" s="74"/>
      <c r="D165" s="75"/>
      <c r="E165" s="75"/>
      <c r="F165" s="75"/>
      <c r="G165" s="75"/>
      <c r="H165" s="75"/>
      <c r="I165" s="75"/>
      <c r="J165" s="75"/>
      <c r="K165" s="75"/>
      <c r="L165" s="75"/>
      <c r="M165" s="76"/>
      <c r="N165" s="128"/>
    </row>
    <row r="166" spans="1:14" ht="12.75" customHeight="1" x14ac:dyDescent="0.25">
      <c r="A166" s="486" t="s">
        <v>1679</v>
      </c>
      <c r="B166" s="73"/>
      <c r="C166" s="236">
        <f t="shared" ref="C166:M166" si="34">SUM(C167:C167)</f>
        <v>0</v>
      </c>
      <c r="D166" s="237">
        <f t="shared" si="34"/>
        <v>0</v>
      </c>
      <c r="E166" s="237">
        <f t="shared" si="34"/>
        <v>0</v>
      </c>
      <c r="F166" s="237">
        <f t="shared" si="34"/>
        <v>0</v>
      </c>
      <c r="G166" s="237">
        <f t="shared" si="34"/>
        <v>0</v>
      </c>
      <c r="H166" s="237">
        <f t="shared" si="34"/>
        <v>0</v>
      </c>
      <c r="I166" s="237">
        <f t="shared" si="34"/>
        <v>0</v>
      </c>
      <c r="J166" s="237">
        <f>SUM(E166:I166)</f>
        <v>0</v>
      </c>
      <c r="K166" s="237">
        <f>IF(D166=0,C166+J166,D166+J166)</f>
        <v>0</v>
      </c>
      <c r="L166" s="237">
        <f t="shared" si="34"/>
        <v>0</v>
      </c>
      <c r="M166" s="238">
        <f t="shared" si="34"/>
        <v>0</v>
      </c>
      <c r="N166" s="128"/>
    </row>
    <row r="167" spans="1:14" ht="12.75" customHeight="1" x14ac:dyDescent="0.25">
      <c r="A167" s="588" t="s">
        <v>1679</v>
      </c>
      <c r="B167" s="73"/>
      <c r="C167" s="130">
        <v>0</v>
      </c>
      <c r="D167" s="109">
        <v>0</v>
      </c>
      <c r="E167" s="109">
        <v>0</v>
      </c>
      <c r="F167" s="109">
        <v>0</v>
      </c>
      <c r="G167" s="109">
        <v>0</v>
      </c>
      <c r="H167" s="109">
        <v>0</v>
      </c>
      <c r="I167" s="109">
        <v>0</v>
      </c>
      <c r="J167" s="75">
        <f>SUM(E167:I167)</f>
        <v>0</v>
      </c>
      <c r="K167" s="75">
        <f>IF(D167=0,C167+J167,D167+J167)</f>
        <v>0</v>
      </c>
      <c r="L167" s="109">
        <v>0</v>
      </c>
      <c r="M167" s="110">
        <v>0</v>
      </c>
      <c r="N167" s="128"/>
    </row>
    <row r="168" spans="1:14" ht="5.0999999999999996" customHeight="1" x14ac:dyDescent="0.25">
      <c r="A168" s="136"/>
      <c r="B168" s="73"/>
      <c r="C168" s="74"/>
      <c r="D168" s="75"/>
      <c r="E168" s="75"/>
      <c r="F168" s="75"/>
      <c r="G168" s="75"/>
      <c r="H168" s="75"/>
      <c r="I168" s="75"/>
      <c r="J168" s="75"/>
      <c r="K168" s="75"/>
      <c r="L168" s="75"/>
      <c r="M168" s="76"/>
      <c r="N168" s="128"/>
    </row>
    <row r="169" spans="1:14" ht="12.75" customHeight="1" x14ac:dyDescent="0.25">
      <c r="A169" s="848" t="s">
        <v>1187</v>
      </c>
      <c r="B169" s="156">
        <v>1</v>
      </c>
      <c r="C169" s="157">
        <f>C8+C76+C105+C112+C120+C151+C138+C141+C154+C157+C160+C163+C166</f>
        <v>10488284</v>
      </c>
      <c r="D169" s="117">
        <f t="shared" ref="D169:M169" si="35">D8+D76+D105+D112+D120+D151+D138+D141+D154+D157+D160+D163+D166</f>
        <v>18538284</v>
      </c>
      <c r="E169" s="117">
        <f t="shared" si="35"/>
        <v>0</v>
      </c>
      <c r="F169" s="117">
        <f t="shared" si="35"/>
        <v>0</v>
      </c>
      <c r="G169" s="117">
        <f t="shared" si="35"/>
        <v>0</v>
      </c>
      <c r="H169" s="117">
        <f t="shared" si="35"/>
        <v>0</v>
      </c>
      <c r="I169" s="117">
        <f t="shared" si="35"/>
        <v>14170916</v>
      </c>
      <c r="J169" s="117">
        <f>SUM(E169:I169)</f>
        <v>14170916</v>
      </c>
      <c r="K169" s="117">
        <f>IF(D169=0,C169+J169,D169+J169)</f>
        <v>32709200</v>
      </c>
      <c r="L169" s="117">
        <f t="shared" si="35"/>
        <v>11534295</v>
      </c>
      <c r="M169" s="118">
        <f t="shared" si="35"/>
        <v>13012070</v>
      </c>
      <c r="N169" s="128"/>
    </row>
    <row r="170" spans="1:14" ht="12.75" customHeight="1" x14ac:dyDescent="0.25">
      <c r="A170" s="500"/>
      <c r="B170" s="121"/>
      <c r="C170" s="501"/>
      <c r="D170" s="501"/>
      <c r="E170" s="501"/>
      <c r="F170" s="501"/>
      <c r="G170" s="501"/>
      <c r="H170" s="501"/>
      <c r="I170" s="501"/>
      <c r="J170" s="501"/>
      <c r="K170" s="501"/>
      <c r="L170" s="501"/>
      <c r="M170" s="501"/>
      <c r="N170" s="128"/>
    </row>
    <row r="171" spans="1:14" ht="12.75" customHeight="1" x14ac:dyDescent="0.25">
      <c r="A171" s="591" t="str">
        <f>head27a</f>
        <v>References</v>
      </c>
      <c r="B171" s="121"/>
      <c r="C171" s="53"/>
      <c r="D171" s="53"/>
      <c r="E171" s="53"/>
      <c r="F171" s="53"/>
      <c r="G171" s="53"/>
      <c r="H171" s="53"/>
      <c r="I171" s="53"/>
      <c r="J171" s="53"/>
      <c r="K171" s="53"/>
      <c r="L171" s="53"/>
      <c r="M171" s="53"/>
      <c r="N171" s="128"/>
    </row>
    <row r="172" spans="1:14" ht="12.75" customHeight="1" x14ac:dyDescent="0.25">
      <c r="A172" s="847" t="s">
        <v>1683</v>
      </c>
      <c r="B172" s="121"/>
      <c r="C172" s="53"/>
      <c r="D172" s="53"/>
      <c r="E172" s="53"/>
      <c r="F172" s="53"/>
      <c r="G172" s="53"/>
      <c r="H172" s="53"/>
      <c r="I172" s="53"/>
      <c r="J172" s="53"/>
      <c r="K172" s="53"/>
      <c r="L172" s="53"/>
      <c r="M172" s="53"/>
      <c r="N172" s="128"/>
    </row>
    <row r="173" spans="1:14" ht="12.75" customHeight="1" x14ac:dyDescent="0.25">
      <c r="A173" s="1408" t="s">
        <v>984</v>
      </c>
      <c r="B173" s="1408"/>
      <c r="C173" s="1408"/>
      <c r="D173" s="1408"/>
      <c r="E173" s="1408"/>
      <c r="F173" s="1408"/>
      <c r="G173" s="1408"/>
      <c r="H173" s="1408"/>
      <c r="I173" s="1408"/>
      <c r="J173" s="1408"/>
      <c r="K173" s="1408"/>
      <c r="L173" s="1408"/>
      <c r="M173" s="1408"/>
      <c r="N173" s="128"/>
    </row>
    <row r="174" spans="1:14" ht="12.75" customHeight="1" x14ac:dyDescent="0.25">
      <c r="A174" s="1408" t="s">
        <v>990</v>
      </c>
      <c r="B174" s="1408"/>
      <c r="C174" s="1408"/>
      <c r="D174" s="1408"/>
      <c r="E174" s="1408"/>
      <c r="F174" s="1408"/>
      <c r="G174" s="1408"/>
      <c r="H174" s="1408"/>
      <c r="I174" s="1408"/>
      <c r="J174" s="1408"/>
      <c r="K174" s="824"/>
      <c r="L174" s="824"/>
      <c r="M174" s="824"/>
      <c r="N174" s="128"/>
    </row>
    <row r="175" spans="1:14" ht="12.75" customHeight="1" x14ac:dyDescent="0.25">
      <c r="A175" s="1408" t="s">
        <v>991</v>
      </c>
      <c r="B175" s="1408"/>
      <c r="C175" s="1408"/>
      <c r="D175" s="1408"/>
      <c r="E175" s="1408"/>
      <c r="F175" s="1408"/>
      <c r="G175" s="1408"/>
      <c r="H175" s="1408"/>
      <c r="I175" s="1408"/>
      <c r="J175" s="1408"/>
      <c r="K175" s="824"/>
      <c r="L175" s="824"/>
      <c r="M175" s="824"/>
      <c r="N175" s="128"/>
    </row>
    <row r="176" spans="1:14" ht="12.75" customHeight="1" x14ac:dyDescent="0.25">
      <c r="A176" s="1408" t="s">
        <v>1014</v>
      </c>
      <c r="B176" s="1408"/>
      <c r="C176" s="1408"/>
      <c r="D176" s="1408"/>
      <c r="E176" s="1408"/>
      <c r="F176" s="1408"/>
      <c r="G176" s="1408"/>
      <c r="H176" s="1408"/>
      <c r="I176" s="1408"/>
      <c r="J176" s="1408"/>
      <c r="K176" s="1408"/>
      <c r="L176" s="1408"/>
      <c r="M176" s="1408"/>
      <c r="N176" s="128"/>
    </row>
    <row r="177" spans="1:14" ht="12.75" customHeight="1" x14ac:dyDescent="0.25">
      <c r="A177" s="159" t="s">
        <v>1015</v>
      </c>
      <c r="B177" s="160"/>
      <c r="C177" s="94"/>
      <c r="D177" s="94"/>
      <c r="E177" s="94"/>
      <c r="F177" s="94"/>
      <c r="G177" s="94"/>
      <c r="H177" s="94"/>
      <c r="I177" s="94"/>
      <c r="J177" s="94"/>
      <c r="K177" s="94"/>
      <c r="L177" s="94"/>
      <c r="M177" s="94"/>
      <c r="N177" s="128"/>
    </row>
    <row r="178" spans="1:14" ht="12.75" customHeight="1" x14ac:dyDescent="0.25">
      <c r="A178" s="1408" t="s">
        <v>1016</v>
      </c>
      <c r="B178" s="1408"/>
      <c r="C178" s="1408"/>
      <c r="D178" s="1408"/>
      <c r="E178" s="1408"/>
      <c r="F178" s="1408"/>
      <c r="G178" s="1408"/>
      <c r="H178" s="1408"/>
      <c r="I178" s="1408"/>
      <c r="J178" s="1408"/>
      <c r="K178" s="1408"/>
      <c r="L178" s="1408"/>
      <c r="M178" s="1408"/>
      <c r="N178" s="128"/>
    </row>
    <row r="179" spans="1:14" ht="12.75" customHeight="1" x14ac:dyDescent="0.25">
      <c r="A179" s="159" t="s">
        <v>1017</v>
      </c>
      <c r="B179" s="160"/>
      <c r="C179" s="94"/>
      <c r="D179" s="94"/>
      <c r="E179" s="94"/>
      <c r="F179" s="94"/>
      <c r="G179" s="94"/>
      <c r="H179" s="94"/>
      <c r="I179" s="94"/>
      <c r="J179" s="94"/>
      <c r="K179" s="94"/>
      <c r="L179" s="94"/>
      <c r="M179" s="94"/>
      <c r="N179" s="128"/>
    </row>
    <row r="180" spans="1:14" ht="12.75" customHeight="1" x14ac:dyDescent="0.25">
      <c r="A180" s="1408" t="s">
        <v>1018</v>
      </c>
      <c r="B180" s="1408"/>
      <c r="C180" s="1408"/>
      <c r="D180" s="1408"/>
      <c r="E180" s="1408"/>
      <c r="F180" s="1408"/>
      <c r="G180" s="1408"/>
      <c r="H180" s="1408"/>
      <c r="I180" s="1408"/>
      <c r="J180" s="1408"/>
      <c r="K180" s="1408"/>
      <c r="L180" s="1408"/>
      <c r="M180" s="1408"/>
      <c r="N180" s="128"/>
    </row>
    <row r="181" spans="1:14" ht="11.25" customHeight="1" x14ac:dyDescent="0.25">
      <c r="A181" s="338"/>
      <c r="B181" s="782"/>
      <c r="C181" s="545"/>
      <c r="D181" s="545"/>
      <c r="E181" s="545"/>
      <c r="F181" s="545"/>
      <c r="G181" s="545"/>
      <c r="H181" s="545"/>
      <c r="I181" s="545"/>
      <c r="J181" s="545"/>
      <c r="K181" s="545"/>
      <c r="L181" s="545"/>
      <c r="M181" s="545"/>
      <c r="N181" s="128"/>
    </row>
    <row r="182" spans="1:14" ht="11.25" customHeight="1" x14ac:dyDescent="0.25">
      <c r="A182" s="48"/>
      <c r="B182" s="121"/>
      <c r="C182" s="53"/>
      <c r="D182" s="53"/>
      <c r="E182" s="53"/>
      <c r="F182" s="53"/>
      <c r="G182" s="53"/>
      <c r="H182" s="53"/>
      <c r="I182" s="53"/>
      <c r="J182" s="53"/>
      <c r="K182" s="53"/>
      <c r="L182" s="53"/>
      <c r="M182" s="53"/>
      <c r="N182" s="128"/>
    </row>
    <row r="183" spans="1:14" ht="11.25" customHeight="1" x14ac:dyDescent="0.25">
      <c r="A183" s="122" t="s">
        <v>671</v>
      </c>
      <c r="B183" s="160"/>
      <c r="C183" s="784">
        <f>(C169+SB18a!C169+SB18e!C169)-'B5-Capex'!C65</f>
        <v>0</v>
      </c>
      <c r="D183" s="784"/>
      <c r="E183" s="784"/>
      <c r="F183" s="784"/>
      <c r="G183" s="784"/>
      <c r="H183" s="784"/>
      <c r="I183" s="784"/>
      <c r="J183" s="784"/>
      <c r="K183" s="784"/>
      <c r="L183" s="784">
        <f>(L169+SB18a!L169+SB18e!L169)-'B5-Capex'!L65</f>
        <v>0</v>
      </c>
      <c r="M183" s="784">
        <f>(M169+SB18a!M169+SB18e!M169)-'B5-Capex'!M65</f>
        <v>0</v>
      </c>
      <c r="N183" s="128"/>
    </row>
    <row r="184" spans="1:14" ht="11.25" customHeight="1" x14ac:dyDescent="0.25">
      <c r="N184" s="128"/>
    </row>
    <row r="185" spans="1:14" ht="11.25" customHeight="1" x14ac:dyDescent="0.25"/>
    <row r="186" spans="1:14" ht="11.25" customHeight="1" x14ac:dyDescent="0.25"/>
    <row r="187" spans="1:14" ht="11.25" customHeight="1" x14ac:dyDescent="0.25"/>
    <row r="188" spans="1:14" ht="11.25" customHeight="1" x14ac:dyDescent="0.25"/>
    <row r="189" spans="1:14" ht="11.25" customHeight="1" x14ac:dyDescent="0.25"/>
    <row r="190" spans="1:14" ht="11.25" customHeight="1" x14ac:dyDescent="0.25"/>
    <row r="191" spans="1:14" ht="11.25" customHeight="1" x14ac:dyDescent="0.25"/>
    <row r="192" spans="1:14" ht="11.25" customHeight="1" x14ac:dyDescent="0.25"/>
    <row r="193" ht="11.25" customHeight="1" x14ac:dyDescent="0.25"/>
    <row r="194" ht="11.25" customHeight="1" x14ac:dyDescent="0.25"/>
    <row r="195" ht="11.25" customHeight="1" x14ac:dyDescent="0.25"/>
    <row r="196" ht="11.25" customHeight="1" x14ac:dyDescent="0.25"/>
    <row r="197" ht="11.25" customHeight="1" x14ac:dyDescent="0.25"/>
    <row r="198" ht="11.25" customHeight="1" x14ac:dyDescent="0.25"/>
    <row r="199" ht="11.25" customHeight="1" x14ac:dyDescent="0.25"/>
    <row r="200" ht="11.25" customHeight="1" x14ac:dyDescent="0.25"/>
    <row r="201" ht="11.25" customHeight="1" x14ac:dyDescent="0.25"/>
    <row r="202" ht="11.25" customHeight="1" x14ac:dyDescent="0.25"/>
    <row r="203" ht="11.25" customHeight="1" x14ac:dyDescent="0.25"/>
    <row r="204" ht="11.25" customHeight="1" x14ac:dyDescent="0.25"/>
    <row r="205" ht="11.25" customHeight="1" x14ac:dyDescent="0.25"/>
    <row r="206" ht="11.25" customHeight="1" x14ac:dyDescent="0.25"/>
    <row r="207" ht="11.25" customHeight="1" x14ac:dyDescent="0.25"/>
    <row r="208" ht="11.25" customHeight="1" x14ac:dyDescent="0.25"/>
    <row r="209" ht="11.25" customHeight="1" x14ac:dyDescent="0.25"/>
    <row r="210" ht="11.25" customHeight="1" x14ac:dyDescent="0.25"/>
    <row r="211" ht="11.25" customHeight="1" x14ac:dyDescent="0.25"/>
    <row r="212" ht="11.25" customHeight="1" x14ac:dyDescent="0.25"/>
    <row r="213" ht="11.25" customHeight="1" x14ac:dyDescent="0.25"/>
    <row r="214" ht="11.25" customHeight="1" x14ac:dyDescent="0.25"/>
    <row r="215" ht="11.25" customHeight="1" x14ac:dyDescent="0.25"/>
    <row r="216" ht="11.25" customHeight="1" x14ac:dyDescent="0.25"/>
    <row r="217" ht="11.25" customHeight="1" x14ac:dyDescent="0.25"/>
    <row r="218" ht="11.25" customHeight="1" x14ac:dyDescent="0.25"/>
  </sheetData>
  <sheetProtection sheet="1" objects="1" scenarios="1"/>
  <mergeCells count="9">
    <mergeCell ref="A2:A4"/>
    <mergeCell ref="B2:B4"/>
    <mergeCell ref="C2:K2"/>
    <mergeCell ref="A173:M173"/>
    <mergeCell ref="A180:M180"/>
    <mergeCell ref="A174:J174"/>
    <mergeCell ref="A175:J175"/>
    <mergeCell ref="A176:M176"/>
    <mergeCell ref="A178:M178"/>
  </mergeCells>
  <phoneticPr fontId="4" type="noConversion"/>
  <pageMargins left="0.75" right="0.75" top="1" bottom="1" header="0.5" footer="0.5"/>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42"/>
  </sheetPr>
  <dimension ref="A1:N217"/>
  <sheetViews>
    <sheetView showGridLines="0" workbookViewId="0">
      <pane xSplit="2" ySplit="5" topLeftCell="C6" activePane="bottomRight" state="frozen"/>
      <selection activeCell="C6" sqref="C6"/>
      <selection pane="topRight" activeCell="C6" sqref="C6"/>
      <selection pane="bottomLeft" activeCell="C6" sqref="C6"/>
      <selection pane="bottomRight" activeCell="M169" sqref="C8:M169"/>
    </sheetView>
  </sheetViews>
  <sheetFormatPr defaultColWidth="9.140625" defaultRowHeight="12.75" x14ac:dyDescent="0.25"/>
  <cols>
    <col min="1" max="1" width="34.140625" style="5" bestFit="1" customWidth="1"/>
    <col min="2" max="2" width="3.140625" style="58" customWidth="1"/>
    <col min="3" max="13" width="9.140625" style="5"/>
    <col min="14" max="14" width="13.28515625" style="5" customWidth="1"/>
    <col min="15" max="15" width="9.5703125" style="5" customWidth="1"/>
    <col min="16" max="16" width="9.85546875" style="5" customWidth="1"/>
    <col min="17" max="19" width="9.5703125" style="5" customWidth="1"/>
    <col min="20" max="20" width="9.85546875" style="5" customWidth="1"/>
    <col min="21" max="23" width="9.5703125" style="5" customWidth="1"/>
    <col min="24" max="25" width="9.85546875" style="5" customWidth="1"/>
    <col min="26" max="16384" width="9.140625" style="5"/>
  </cols>
  <sheetData>
    <row r="1" spans="1:14" ht="13.5" x14ac:dyDescent="0.25">
      <c r="A1" s="57" t="str">
        <f>muni&amp;" - "&amp;ADJB18c&amp;" - "&amp;Date</f>
        <v>LIM354 Polokwane - Supporting Table SB18c Adjustments Budget - expenditure on repairs and maintenance by asset class - 2020</v>
      </c>
      <c r="B1" s="5"/>
      <c r="C1" s="58"/>
    </row>
    <row r="2" spans="1:14" ht="25.5" x14ac:dyDescent="0.25">
      <c r="A2" s="1406" t="str">
        <f>desc</f>
        <v>Description</v>
      </c>
      <c r="B2" s="1406" t="str">
        <f>head27</f>
        <v>Ref</v>
      </c>
      <c r="C2" s="1403" t="str">
        <f>Head2</f>
        <v>Budget Year 2020/21</v>
      </c>
      <c r="D2" s="1404"/>
      <c r="E2" s="1404"/>
      <c r="F2" s="1404"/>
      <c r="G2" s="1404"/>
      <c r="H2" s="1404"/>
      <c r="I2" s="1404"/>
      <c r="J2" s="1404"/>
      <c r="K2" s="1405"/>
      <c r="L2" s="169" t="str">
        <f>Head10</f>
        <v>Budget Year +1 2021/22</v>
      </c>
      <c r="M2" s="170" t="str">
        <f>Head11</f>
        <v>Budget Year +2 2022/23</v>
      </c>
    </row>
    <row r="3" spans="1:14" ht="25.5" x14ac:dyDescent="0.25">
      <c r="A3" s="1407"/>
      <c r="B3" s="1407"/>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x14ac:dyDescent="0.25">
      <c r="A4" s="1407"/>
      <c r="B4" s="1407"/>
      <c r="C4" s="65"/>
      <c r="D4" s="15">
        <v>7</v>
      </c>
      <c r="E4" s="15">
        <v>8</v>
      </c>
      <c r="F4" s="15">
        <v>9</v>
      </c>
      <c r="G4" s="15">
        <v>10</v>
      </c>
      <c r="H4" s="15">
        <v>11</v>
      </c>
      <c r="I4" s="15">
        <v>12</v>
      </c>
      <c r="J4" s="15">
        <v>13</v>
      </c>
      <c r="K4" s="15">
        <v>14</v>
      </c>
      <c r="L4" s="15"/>
      <c r="M4" s="17"/>
    </row>
    <row r="5" spans="1:14" x14ac:dyDescent="0.25">
      <c r="A5" s="66" t="s">
        <v>603</v>
      </c>
      <c r="B5" s="104"/>
      <c r="C5" s="67" t="s">
        <v>547</v>
      </c>
      <c r="D5" s="68" t="s">
        <v>548</v>
      </c>
      <c r="E5" s="68" t="s">
        <v>549</v>
      </c>
      <c r="F5" s="69" t="s">
        <v>550</v>
      </c>
      <c r="G5" s="69" t="s">
        <v>551</v>
      </c>
      <c r="H5" s="69" t="s">
        <v>552</v>
      </c>
      <c r="I5" s="70" t="s">
        <v>553</v>
      </c>
      <c r="J5" s="70" t="s">
        <v>554</v>
      </c>
      <c r="K5" s="70" t="s">
        <v>555</v>
      </c>
      <c r="L5" s="70"/>
      <c r="M5" s="71"/>
    </row>
    <row r="6" spans="1:14" ht="12.75" customHeight="1" x14ac:dyDescent="0.25">
      <c r="A6" s="845" t="s">
        <v>1188</v>
      </c>
      <c r="B6" s="73"/>
      <c r="C6" s="74"/>
      <c r="D6" s="75"/>
      <c r="E6" s="75"/>
      <c r="F6" s="75"/>
      <c r="G6" s="75"/>
      <c r="H6" s="75"/>
      <c r="I6" s="75"/>
      <c r="J6" s="75"/>
      <c r="K6" s="75"/>
      <c r="L6" s="75"/>
      <c r="M6" s="76"/>
      <c r="N6" s="128"/>
    </row>
    <row r="7" spans="1:14" ht="5.0999999999999996" customHeight="1" x14ac:dyDescent="0.25">
      <c r="A7" s="126"/>
      <c r="B7" s="73"/>
      <c r="C7" s="74"/>
      <c r="D7" s="75"/>
      <c r="E7" s="75"/>
      <c r="F7" s="75"/>
      <c r="G7" s="75"/>
      <c r="H7" s="75"/>
      <c r="I7" s="75"/>
      <c r="J7" s="75"/>
      <c r="K7" s="75"/>
      <c r="L7" s="75"/>
      <c r="M7" s="76"/>
      <c r="N7" s="128"/>
    </row>
    <row r="8" spans="1:14" ht="12.75" customHeight="1" x14ac:dyDescent="0.25">
      <c r="A8" s="126" t="s">
        <v>764</v>
      </c>
      <c r="B8" s="73"/>
      <c r="C8" s="693">
        <f>C9+C14+C18+C28+C70+C39+C46+C54+C64</f>
        <v>390956497</v>
      </c>
      <c r="D8" s="693">
        <f t="shared" ref="D8:I8" si="0">D9+D14+D18+D28+D70+D39+D46+D54+D64</f>
        <v>390956497</v>
      </c>
      <c r="E8" s="693">
        <f t="shared" si="0"/>
        <v>0</v>
      </c>
      <c r="F8" s="693">
        <f t="shared" si="0"/>
        <v>0</v>
      </c>
      <c r="G8" s="693">
        <f t="shared" si="0"/>
        <v>0</v>
      </c>
      <c r="H8" s="693">
        <f t="shared" si="0"/>
        <v>0</v>
      </c>
      <c r="I8" s="693">
        <f t="shared" si="0"/>
        <v>124857022</v>
      </c>
      <c r="J8" s="694">
        <f>SUM(E8:I8)</f>
        <v>124857022</v>
      </c>
      <c r="K8" s="694">
        <f>IF(D8=0,C8+J8,D8+J8)</f>
        <v>515813519</v>
      </c>
      <c r="L8" s="693">
        <f>L9+L14+L18+L28+L70+L39+L46+L54+L64</f>
        <v>419658329</v>
      </c>
      <c r="M8" s="695">
        <f>M9+M14+M18+M28+M70+M39+M46+M54+M64</f>
        <v>432696363</v>
      </c>
      <c r="N8" s="839"/>
    </row>
    <row r="9" spans="1:14" ht="12.75" customHeight="1" x14ac:dyDescent="0.25">
      <c r="A9" s="588" t="s">
        <v>1569</v>
      </c>
      <c r="B9" s="73"/>
      <c r="C9" s="265">
        <f>SUM(C10:C13)</f>
        <v>77031479</v>
      </c>
      <c r="D9" s="265">
        <f t="shared" ref="D9:M9" si="1">SUM(D10:D13)</f>
        <v>77031479</v>
      </c>
      <c r="E9" s="265">
        <f t="shared" si="1"/>
        <v>0</v>
      </c>
      <c r="F9" s="265">
        <f t="shared" si="1"/>
        <v>0</v>
      </c>
      <c r="G9" s="265">
        <f t="shared" si="1"/>
        <v>0</v>
      </c>
      <c r="H9" s="265">
        <f t="shared" si="1"/>
        <v>0</v>
      </c>
      <c r="I9" s="265">
        <f t="shared" si="1"/>
        <v>19376290</v>
      </c>
      <c r="J9" s="75">
        <f t="shared" ref="J9:J72" si="2">SUM(E9:I9)</f>
        <v>19376290</v>
      </c>
      <c r="K9" s="75">
        <f t="shared" ref="K9:K72" si="3">IF(D9=0,C9+J9,D9+J9)</f>
        <v>96407769</v>
      </c>
      <c r="L9" s="265">
        <f t="shared" si="1"/>
        <v>78350803</v>
      </c>
      <c r="M9" s="266">
        <f t="shared" si="1"/>
        <v>82087489</v>
      </c>
      <c r="N9" s="128"/>
    </row>
    <row r="10" spans="1:14" ht="12.75" customHeight="1" x14ac:dyDescent="0.25">
      <c r="A10" s="589" t="s">
        <v>1000</v>
      </c>
      <c r="B10" s="73"/>
      <c r="C10" s="109">
        <v>77031479</v>
      </c>
      <c r="D10" s="109">
        <v>77031479</v>
      </c>
      <c r="E10" s="109">
        <v>0</v>
      </c>
      <c r="F10" s="109">
        <v>0</v>
      </c>
      <c r="G10" s="109">
        <v>0</v>
      </c>
      <c r="H10" s="109">
        <v>0</v>
      </c>
      <c r="I10" s="109">
        <v>19376290</v>
      </c>
      <c r="J10" s="75">
        <f t="shared" si="2"/>
        <v>19376290</v>
      </c>
      <c r="K10" s="75">
        <f t="shared" si="3"/>
        <v>96407769</v>
      </c>
      <c r="L10" s="109">
        <v>78350803</v>
      </c>
      <c r="M10" s="110">
        <v>82087489</v>
      </c>
      <c r="N10" s="839"/>
    </row>
    <row r="11" spans="1:14" ht="12.75" customHeight="1" x14ac:dyDescent="0.25">
      <c r="A11" s="589" t="s">
        <v>1570</v>
      </c>
      <c r="B11" s="73"/>
      <c r="C11" s="109">
        <v>0</v>
      </c>
      <c r="D11" s="109">
        <v>0</v>
      </c>
      <c r="E11" s="109">
        <v>0</v>
      </c>
      <c r="F11" s="109">
        <v>0</v>
      </c>
      <c r="G11" s="109">
        <v>0</v>
      </c>
      <c r="H11" s="109">
        <v>0</v>
      </c>
      <c r="I11" s="109">
        <v>0</v>
      </c>
      <c r="J11" s="75">
        <f t="shared" si="2"/>
        <v>0</v>
      </c>
      <c r="K11" s="75">
        <f t="shared" si="3"/>
        <v>0</v>
      </c>
      <c r="L11" s="109">
        <v>0</v>
      </c>
      <c r="M11" s="110">
        <v>0</v>
      </c>
      <c r="N11" s="844"/>
    </row>
    <row r="12" spans="1:14" ht="12.75" customHeight="1" x14ac:dyDescent="0.25">
      <c r="A12" s="589" t="s">
        <v>1571</v>
      </c>
      <c r="B12" s="73"/>
      <c r="C12" s="109">
        <v>0</v>
      </c>
      <c r="D12" s="109">
        <v>0</v>
      </c>
      <c r="E12" s="109">
        <v>0</v>
      </c>
      <c r="F12" s="109">
        <v>0</v>
      </c>
      <c r="G12" s="109">
        <v>0</v>
      </c>
      <c r="H12" s="109">
        <v>0</v>
      </c>
      <c r="I12" s="109">
        <v>0</v>
      </c>
      <c r="J12" s="75">
        <f t="shared" si="2"/>
        <v>0</v>
      </c>
      <c r="K12" s="75">
        <f t="shared" si="3"/>
        <v>0</v>
      </c>
      <c r="L12" s="109">
        <v>0</v>
      </c>
      <c r="M12" s="110">
        <v>0</v>
      </c>
      <c r="N12" s="839"/>
    </row>
    <row r="13" spans="1:14" ht="12.75" customHeight="1" x14ac:dyDescent="0.25">
      <c r="A13" s="589" t="s">
        <v>1572</v>
      </c>
      <c r="B13" s="73"/>
      <c r="C13" s="109">
        <v>0</v>
      </c>
      <c r="D13" s="109">
        <v>0</v>
      </c>
      <c r="E13" s="109">
        <v>0</v>
      </c>
      <c r="F13" s="109">
        <v>0</v>
      </c>
      <c r="G13" s="109">
        <v>0</v>
      </c>
      <c r="H13" s="109">
        <v>0</v>
      </c>
      <c r="I13" s="109">
        <v>0</v>
      </c>
      <c r="J13" s="75">
        <f t="shared" si="2"/>
        <v>0</v>
      </c>
      <c r="K13" s="75">
        <f t="shared" si="3"/>
        <v>0</v>
      </c>
      <c r="L13" s="109">
        <v>0</v>
      </c>
      <c r="M13" s="110">
        <v>0</v>
      </c>
      <c r="N13" s="844"/>
    </row>
    <row r="14" spans="1:14" ht="12.75" customHeight="1" x14ac:dyDescent="0.25">
      <c r="A14" s="588" t="s">
        <v>1573</v>
      </c>
      <c r="B14" s="73"/>
      <c r="C14" s="132">
        <f t="shared" ref="C14:I14" si="4">SUM(C15:C17)</f>
        <v>0</v>
      </c>
      <c r="D14" s="132">
        <f t="shared" si="4"/>
        <v>0</v>
      </c>
      <c r="E14" s="132">
        <f t="shared" si="4"/>
        <v>0</v>
      </c>
      <c r="F14" s="132">
        <f t="shared" si="4"/>
        <v>0</v>
      </c>
      <c r="G14" s="132">
        <f t="shared" si="4"/>
        <v>0</v>
      </c>
      <c r="H14" s="132">
        <f t="shared" si="4"/>
        <v>0</v>
      </c>
      <c r="I14" s="132">
        <f t="shared" si="4"/>
        <v>0</v>
      </c>
      <c r="J14" s="75">
        <f t="shared" si="2"/>
        <v>0</v>
      </c>
      <c r="K14" s="75">
        <f t="shared" si="3"/>
        <v>0</v>
      </c>
      <c r="L14" s="132">
        <f>SUM(L15:L17)</f>
        <v>0</v>
      </c>
      <c r="M14" s="133">
        <f>SUM(M15:M17)</f>
        <v>0</v>
      </c>
      <c r="N14" s="844"/>
    </row>
    <row r="15" spans="1:14" ht="12.75" customHeight="1" x14ac:dyDescent="0.25">
      <c r="A15" s="589" t="s">
        <v>1574</v>
      </c>
      <c r="B15" s="73"/>
      <c r="C15" s="109">
        <v>0</v>
      </c>
      <c r="D15" s="109">
        <v>0</v>
      </c>
      <c r="E15" s="109">
        <v>0</v>
      </c>
      <c r="F15" s="109">
        <v>0</v>
      </c>
      <c r="G15" s="109">
        <v>0</v>
      </c>
      <c r="H15" s="109">
        <v>0</v>
      </c>
      <c r="I15" s="109">
        <v>0</v>
      </c>
      <c r="J15" s="75">
        <f t="shared" si="2"/>
        <v>0</v>
      </c>
      <c r="K15" s="75">
        <f t="shared" si="3"/>
        <v>0</v>
      </c>
      <c r="L15" s="109">
        <v>0</v>
      </c>
      <c r="M15" s="110">
        <v>0</v>
      </c>
      <c r="N15" s="844"/>
    </row>
    <row r="16" spans="1:14" ht="12.75" customHeight="1" x14ac:dyDescent="0.25">
      <c r="A16" s="589" t="s">
        <v>1575</v>
      </c>
      <c r="B16" s="73"/>
      <c r="C16" s="109">
        <v>0</v>
      </c>
      <c r="D16" s="109">
        <v>0</v>
      </c>
      <c r="E16" s="109">
        <v>0</v>
      </c>
      <c r="F16" s="109">
        <v>0</v>
      </c>
      <c r="G16" s="109">
        <v>0</v>
      </c>
      <c r="H16" s="109">
        <v>0</v>
      </c>
      <c r="I16" s="109">
        <v>0</v>
      </c>
      <c r="J16" s="75">
        <f t="shared" si="2"/>
        <v>0</v>
      </c>
      <c r="K16" s="75">
        <f t="shared" si="3"/>
        <v>0</v>
      </c>
      <c r="L16" s="109">
        <v>0</v>
      </c>
      <c r="M16" s="110">
        <v>0</v>
      </c>
      <c r="N16" s="844"/>
    </row>
    <row r="17" spans="1:14" ht="12.75" customHeight="1" x14ac:dyDescent="0.25">
      <c r="A17" s="589" t="s">
        <v>1576</v>
      </c>
      <c r="B17" s="73"/>
      <c r="C17" s="109">
        <v>0</v>
      </c>
      <c r="D17" s="109">
        <v>0</v>
      </c>
      <c r="E17" s="109">
        <v>0</v>
      </c>
      <c r="F17" s="109">
        <v>0</v>
      </c>
      <c r="G17" s="109">
        <v>0</v>
      </c>
      <c r="H17" s="109">
        <v>0</v>
      </c>
      <c r="I17" s="109">
        <v>0</v>
      </c>
      <c r="J17" s="75">
        <f t="shared" si="2"/>
        <v>0</v>
      </c>
      <c r="K17" s="75">
        <f t="shared" si="3"/>
        <v>0</v>
      </c>
      <c r="L17" s="109">
        <v>0</v>
      </c>
      <c r="M17" s="110">
        <v>0</v>
      </c>
      <c r="N17" s="844"/>
    </row>
    <row r="18" spans="1:14" ht="12.75" customHeight="1" x14ac:dyDescent="0.25">
      <c r="A18" s="588" t="s">
        <v>1577</v>
      </c>
      <c r="B18" s="73"/>
      <c r="C18" s="132">
        <f t="shared" ref="C18:M18" si="5">SUM(C19:C27)</f>
        <v>114437734</v>
      </c>
      <c r="D18" s="132">
        <f t="shared" si="5"/>
        <v>114437734</v>
      </c>
      <c r="E18" s="132">
        <f t="shared" si="5"/>
        <v>0</v>
      </c>
      <c r="F18" s="132">
        <f t="shared" si="5"/>
        <v>0</v>
      </c>
      <c r="G18" s="132">
        <f t="shared" si="5"/>
        <v>0</v>
      </c>
      <c r="H18" s="132">
        <f t="shared" si="5"/>
        <v>0</v>
      </c>
      <c r="I18" s="132">
        <f t="shared" si="5"/>
        <v>-100000</v>
      </c>
      <c r="J18" s="75">
        <f t="shared" si="2"/>
        <v>-100000</v>
      </c>
      <c r="K18" s="75">
        <f t="shared" si="3"/>
        <v>114337734</v>
      </c>
      <c r="L18" s="132">
        <f t="shared" si="5"/>
        <v>128600401</v>
      </c>
      <c r="M18" s="133">
        <f t="shared" si="5"/>
        <v>127060770</v>
      </c>
      <c r="N18" s="844"/>
    </row>
    <row r="19" spans="1:14" ht="12.75" customHeight="1" x14ac:dyDescent="0.25">
      <c r="A19" s="589" t="s">
        <v>1578</v>
      </c>
      <c r="B19" s="73"/>
      <c r="C19" s="109">
        <v>0</v>
      </c>
      <c r="D19" s="109">
        <v>0</v>
      </c>
      <c r="E19" s="109">
        <v>0</v>
      </c>
      <c r="F19" s="109">
        <v>0</v>
      </c>
      <c r="G19" s="109">
        <v>0</v>
      </c>
      <c r="H19" s="109">
        <v>0</v>
      </c>
      <c r="I19" s="109">
        <v>0</v>
      </c>
      <c r="J19" s="75">
        <f t="shared" si="2"/>
        <v>0</v>
      </c>
      <c r="K19" s="75">
        <f t="shared" si="3"/>
        <v>0</v>
      </c>
      <c r="L19" s="109">
        <v>0</v>
      </c>
      <c r="M19" s="110">
        <v>0</v>
      </c>
      <c r="N19" s="844"/>
    </row>
    <row r="20" spans="1:14" ht="12.6" customHeight="1" x14ac:dyDescent="0.25">
      <c r="A20" s="589" t="s">
        <v>1579</v>
      </c>
      <c r="B20" s="73"/>
      <c r="C20" s="109">
        <v>0</v>
      </c>
      <c r="D20" s="109">
        <v>0</v>
      </c>
      <c r="E20" s="109">
        <v>0</v>
      </c>
      <c r="F20" s="109">
        <v>0</v>
      </c>
      <c r="G20" s="109">
        <v>0</v>
      </c>
      <c r="H20" s="109">
        <v>0</v>
      </c>
      <c r="I20" s="109">
        <v>0</v>
      </c>
      <c r="J20" s="75">
        <f t="shared" si="2"/>
        <v>0</v>
      </c>
      <c r="K20" s="75">
        <f t="shared" si="3"/>
        <v>0</v>
      </c>
      <c r="L20" s="109">
        <v>0</v>
      </c>
      <c r="M20" s="110">
        <v>0</v>
      </c>
      <c r="N20" s="844"/>
    </row>
    <row r="21" spans="1:14" ht="12.75" customHeight="1" x14ac:dyDescent="0.25">
      <c r="A21" s="589" t="s">
        <v>1580</v>
      </c>
      <c r="B21" s="73"/>
      <c r="C21" s="109">
        <v>0</v>
      </c>
      <c r="D21" s="109">
        <v>0</v>
      </c>
      <c r="E21" s="109">
        <v>0</v>
      </c>
      <c r="F21" s="109">
        <v>0</v>
      </c>
      <c r="G21" s="109">
        <v>0</v>
      </c>
      <c r="H21" s="109">
        <v>0</v>
      </c>
      <c r="I21" s="109">
        <v>0</v>
      </c>
      <c r="J21" s="75">
        <f t="shared" si="2"/>
        <v>0</v>
      </c>
      <c r="K21" s="75">
        <f t="shared" si="3"/>
        <v>0</v>
      </c>
      <c r="L21" s="109">
        <v>0</v>
      </c>
      <c r="M21" s="110">
        <v>0</v>
      </c>
      <c r="N21" s="844"/>
    </row>
    <row r="22" spans="1:14" ht="12.75" customHeight="1" x14ac:dyDescent="0.25">
      <c r="A22" s="589" t="s">
        <v>1581</v>
      </c>
      <c r="B22" s="73"/>
      <c r="C22" s="109">
        <v>0</v>
      </c>
      <c r="D22" s="109">
        <v>0</v>
      </c>
      <c r="E22" s="109">
        <v>0</v>
      </c>
      <c r="F22" s="109">
        <v>0</v>
      </c>
      <c r="G22" s="109">
        <v>0</v>
      </c>
      <c r="H22" s="109">
        <v>0</v>
      </c>
      <c r="I22" s="109">
        <v>0</v>
      </c>
      <c r="J22" s="75">
        <f t="shared" si="2"/>
        <v>0</v>
      </c>
      <c r="K22" s="75">
        <f t="shared" si="3"/>
        <v>0</v>
      </c>
      <c r="L22" s="109">
        <v>0</v>
      </c>
      <c r="M22" s="110">
        <v>0</v>
      </c>
      <c r="N22" s="839"/>
    </row>
    <row r="23" spans="1:14" ht="12.75" customHeight="1" x14ac:dyDescent="0.25">
      <c r="A23" s="589" t="s">
        <v>1582</v>
      </c>
      <c r="B23" s="73"/>
      <c r="C23" s="109">
        <v>114437734</v>
      </c>
      <c r="D23" s="109">
        <v>114437734</v>
      </c>
      <c r="E23" s="109">
        <v>0</v>
      </c>
      <c r="F23" s="109">
        <v>0</v>
      </c>
      <c r="G23" s="109">
        <v>0</v>
      </c>
      <c r="H23" s="109">
        <v>0</v>
      </c>
      <c r="I23" s="109">
        <v>-100000</v>
      </c>
      <c r="J23" s="75">
        <f t="shared" si="2"/>
        <v>-100000</v>
      </c>
      <c r="K23" s="75">
        <f t="shared" si="3"/>
        <v>114337734</v>
      </c>
      <c r="L23" s="109">
        <v>128600401</v>
      </c>
      <c r="M23" s="110">
        <v>127060770</v>
      </c>
      <c r="N23" s="844"/>
    </row>
    <row r="24" spans="1:14" ht="12.75" customHeight="1" x14ac:dyDescent="0.25">
      <c r="A24" s="589" t="s">
        <v>1583</v>
      </c>
      <c r="B24" s="73"/>
      <c r="C24" s="109">
        <v>0</v>
      </c>
      <c r="D24" s="109">
        <v>0</v>
      </c>
      <c r="E24" s="109">
        <v>0</v>
      </c>
      <c r="F24" s="109">
        <v>0</v>
      </c>
      <c r="G24" s="109">
        <v>0</v>
      </c>
      <c r="H24" s="109">
        <v>0</v>
      </c>
      <c r="I24" s="109">
        <v>0</v>
      </c>
      <c r="J24" s="75">
        <f t="shared" si="2"/>
        <v>0</v>
      </c>
      <c r="K24" s="75">
        <f t="shared" si="3"/>
        <v>0</v>
      </c>
      <c r="L24" s="109">
        <v>0</v>
      </c>
      <c r="M24" s="110">
        <v>0</v>
      </c>
      <c r="N24" s="839"/>
    </row>
    <row r="25" spans="1:14" ht="12.75" customHeight="1" x14ac:dyDescent="0.25">
      <c r="A25" s="589" t="s">
        <v>1584</v>
      </c>
      <c r="B25" s="73"/>
      <c r="C25" s="109">
        <v>0</v>
      </c>
      <c r="D25" s="109">
        <v>0</v>
      </c>
      <c r="E25" s="109">
        <v>0</v>
      </c>
      <c r="F25" s="109">
        <v>0</v>
      </c>
      <c r="G25" s="109">
        <v>0</v>
      </c>
      <c r="H25" s="109">
        <v>0</v>
      </c>
      <c r="I25" s="109">
        <v>0</v>
      </c>
      <c r="J25" s="75">
        <f t="shared" si="2"/>
        <v>0</v>
      </c>
      <c r="K25" s="75">
        <f t="shared" si="3"/>
        <v>0</v>
      </c>
      <c r="L25" s="109">
        <v>0</v>
      </c>
      <c r="M25" s="110">
        <v>0</v>
      </c>
      <c r="N25" s="844"/>
    </row>
    <row r="26" spans="1:14" ht="12.75" customHeight="1" x14ac:dyDescent="0.25">
      <c r="A26" s="589" t="s">
        <v>1585</v>
      </c>
      <c r="B26" s="73"/>
      <c r="C26" s="109">
        <v>0</v>
      </c>
      <c r="D26" s="109">
        <v>0</v>
      </c>
      <c r="E26" s="109">
        <v>0</v>
      </c>
      <c r="F26" s="109">
        <v>0</v>
      </c>
      <c r="G26" s="109">
        <v>0</v>
      </c>
      <c r="H26" s="109">
        <v>0</v>
      </c>
      <c r="I26" s="109">
        <v>0</v>
      </c>
      <c r="J26" s="75">
        <f t="shared" si="2"/>
        <v>0</v>
      </c>
      <c r="K26" s="75">
        <f t="shared" si="3"/>
        <v>0</v>
      </c>
      <c r="L26" s="109">
        <v>0</v>
      </c>
      <c r="M26" s="110">
        <v>0</v>
      </c>
      <c r="N26" s="839"/>
    </row>
    <row r="27" spans="1:14" ht="12.75" customHeight="1" x14ac:dyDescent="0.25">
      <c r="A27" s="589" t="s">
        <v>1572</v>
      </c>
      <c r="B27" s="73"/>
      <c r="C27" s="109">
        <v>0</v>
      </c>
      <c r="D27" s="109">
        <v>0</v>
      </c>
      <c r="E27" s="109">
        <v>0</v>
      </c>
      <c r="F27" s="109">
        <v>0</v>
      </c>
      <c r="G27" s="109">
        <v>0</v>
      </c>
      <c r="H27" s="109">
        <v>0</v>
      </c>
      <c r="I27" s="109">
        <v>0</v>
      </c>
      <c r="J27" s="75">
        <f t="shared" si="2"/>
        <v>0</v>
      </c>
      <c r="K27" s="75">
        <f t="shared" si="3"/>
        <v>0</v>
      </c>
      <c r="L27" s="109">
        <v>0</v>
      </c>
      <c r="M27" s="110">
        <v>0</v>
      </c>
      <c r="N27" s="844"/>
    </row>
    <row r="28" spans="1:14" ht="12.75" customHeight="1" x14ac:dyDescent="0.25">
      <c r="A28" s="590" t="s">
        <v>1586</v>
      </c>
      <c r="B28" s="73"/>
      <c r="C28" s="132">
        <f t="shared" ref="C28:M28" si="6">SUM(C29:C38)</f>
        <v>130506825</v>
      </c>
      <c r="D28" s="132">
        <f t="shared" si="6"/>
        <v>130506825</v>
      </c>
      <c r="E28" s="132">
        <f t="shared" si="6"/>
        <v>0</v>
      </c>
      <c r="F28" s="132">
        <f t="shared" si="6"/>
        <v>0</v>
      </c>
      <c r="G28" s="132">
        <f t="shared" si="6"/>
        <v>0</v>
      </c>
      <c r="H28" s="132">
        <f t="shared" si="6"/>
        <v>0</v>
      </c>
      <c r="I28" s="132">
        <f t="shared" si="6"/>
        <v>84080732</v>
      </c>
      <c r="J28" s="75">
        <f t="shared" si="2"/>
        <v>84080732</v>
      </c>
      <c r="K28" s="75">
        <f t="shared" si="3"/>
        <v>214587557</v>
      </c>
      <c r="L28" s="132">
        <f t="shared" si="6"/>
        <v>144703603</v>
      </c>
      <c r="M28" s="133">
        <f t="shared" si="6"/>
        <v>152280414</v>
      </c>
      <c r="N28" s="844"/>
    </row>
    <row r="29" spans="1:14" ht="12.75" customHeight="1" x14ac:dyDescent="0.25">
      <c r="A29" s="589" t="s">
        <v>1587</v>
      </c>
      <c r="B29" s="73"/>
      <c r="C29" s="109">
        <v>0</v>
      </c>
      <c r="D29" s="109">
        <v>0</v>
      </c>
      <c r="E29" s="109">
        <v>0</v>
      </c>
      <c r="F29" s="109">
        <v>0</v>
      </c>
      <c r="G29" s="109">
        <v>0</v>
      </c>
      <c r="H29" s="109">
        <v>0</v>
      </c>
      <c r="I29" s="109">
        <v>0</v>
      </c>
      <c r="J29" s="75">
        <f t="shared" si="2"/>
        <v>0</v>
      </c>
      <c r="K29" s="75">
        <f t="shared" si="3"/>
        <v>0</v>
      </c>
      <c r="L29" s="109">
        <v>0</v>
      </c>
      <c r="M29" s="110">
        <v>0</v>
      </c>
      <c r="N29" s="844"/>
    </row>
    <row r="30" spans="1:14" ht="12.6" customHeight="1" x14ac:dyDescent="0.25">
      <c r="A30" s="589" t="s">
        <v>1588</v>
      </c>
      <c r="B30" s="73"/>
      <c r="C30" s="109">
        <v>0</v>
      </c>
      <c r="D30" s="109">
        <v>0</v>
      </c>
      <c r="E30" s="109">
        <v>0</v>
      </c>
      <c r="F30" s="109">
        <v>0</v>
      </c>
      <c r="G30" s="109">
        <v>0</v>
      </c>
      <c r="H30" s="109">
        <v>0</v>
      </c>
      <c r="I30" s="109">
        <v>0</v>
      </c>
      <c r="J30" s="75">
        <f t="shared" si="2"/>
        <v>0</v>
      </c>
      <c r="K30" s="75">
        <f t="shared" si="3"/>
        <v>0</v>
      </c>
      <c r="L30" s="109">
        <v>0</v>
      </c>
      <c r="M30" s="110">
        <v>0</v>
      </c>
      <c r="N30" s="844"/>
    </row>
    <row r="31" spans="1:14" ht="12.75" customHeight="1" x14ac:dyDescent="0.25">
      <c r="A31" s="589" t="s">
        <v>1589</v>
      </c>
      <c r="B31" s="73"/>
      <c r="C31" s="109">
        <v>0</v>
      </c>
      <c r="D31" s="109">
        <v>0</v>
      </c>
      <c r="E31" s="109">
        <v>0</v>
      </c>
      <c r="F31" s="109">
        <v>0</v>
      </c>
      <c r="G31" s="109">
        <v>0</v>
      </c>
      <c r="H31" s="109">
        <v>0</v>
      </c>
      <c r="I31" s="109">
        <v>0</v>
      </c>
      <c r="J31" s="75">
        <f t="shared" si="2"/>
        <v>0</v>
      </c>
      <c r="K31" s="75">
        <f t="shared" si="3"/>
        <v>0</v>
      </c>
      <c r="L31" s="109">
        <v>0</v>
      </c>
      <c r="M31" s="110">
        <v>0</v>
      </c>
      <c r="N31" s="844"/>
    </row>
    <row r="32" spans="1:14" ht="12.75" customHeight="1" x14ac:dyDescent="0.25">
      <c r="A32" s="589" t="s">
        <v>1590</v>
      </c>
      <c r="B32" s="73"/>
      <c r="C32" s="109">
        <v>0</v>
      </c>
      <c r="D32" s="109">
        <v>0</v>
      </c>
      <c r="E32" s="109">
        <v>0</v>
      </c>
      <c r="F32" s="109">
        <v>0</v>
      </c>
      <c r="G32" s="109">
        <v>0</v>
      </c>
      <c r="H32" s="109">
        <v>0</v>
      </c>
      <c r="I32" s="109">
        <v>0</v>
      </c>
      <c r="J32" s="75">
        <f t="shared" si="2"/>
        <v>0</v>
      </c>
      <c r="K32" s="75">
        <f t="shared" si="3"/>
        <v>0</v>
      </c>
      <c r="L32" s="109">
        <v>0</v>
      </c>
      <c r="M32" s="110">
        <v>0</v>
      </c>
      <c r="N32" s="839"/>
    </row>
    <row r="33" spans="1:14" ht="12.75" customHeight="1" x14ac:dyDescent="0.25">
      <c r="A33" s="589" t="s">
        <v>1591</v>
      </c>
      <c r="B33" s="73"/>
      <c r="C33" s="109">
        <v>0</v>
      </c>
      <c r="D33" s="109">
        <v>0</v>
      </c>
      <c r="E33" s="109">
        <v>0</v>
      </c>
      <c r="F33" s="109">
        <v>0</v>
      </c>
      <c r="G33" s="109">
        <v>0</v>
      </c>
      <c r="H33" s="109">
        <v>0</v>
      </c>
      <c r="I33" s="109">
        <v>0</v>
      </c>
      <c r="J33" s="75">
        <f t="shared" si="2"/>
        <v>0</v>
      </c>
      <c r="K33" s="75">
        <f t="shared" si="3"/>
        <v>0</v>
      </c>
      <c r="L33" s="109">
        <v>0</v>
      </c>
      <c r="M33" s="110">
        <v>0</v>
      </c>
      <c r="N33" s="844"/>
    </row>
    <row r="34" spans="1:14" ht="12.75" customHeight="1" x14ac:dyDescent="0.25">
      <c r="A34" s="589" t="s">
        <v>1592</v>
      </c>
      <c r="B34" s="73"/>
      <c r="C34" s="109">
        <v>0</v>
      </c>
      <c r="D34" s="109">
        <v>0</v>
      </c>
      <c r="E34" s="109">
        <v>0</v>
      </c>
      <c r="F34" s="109">
        <v>0</v>
      </c>
      <c r="G34" s="109">
        <v>0</v>
      </c>
      <c r="H34" s="109">
        <v>0</v>
      </c>
      <c r="I34" s="109">
        <v>0</v>
      </c>
      <c r="J34" s="75">
        <f t="shared" si="2"/>
        <v>0</v>
      </c>
      <c r="K34" s="75">
        <f t="shared" si="3"/>
        <v>0</v>
      </c>
      <c r="L34" s="109">
        <v>0</v>
      </c>
      <c r="M34" s="110">
        <v>0</v>
      </c>
      <c r="N34" s="839"/>
    </row>
    <row r="35" spans="1:14" ht="12.75" customHeight="1" x14ac:dyDescent="0.25">
      <c r="A35" s="589" t="s">
        <v>1593</v>
      </c>
      <c r="B35" s="73"/>
      <c r="C35" s="109">
        <v>130506825</v>
      </c>
      <c r="D35" s="109">
        <v>130506825</v>
      </c>
      <c r="E35" s="109">
        <v>0</v>
      </c>
      <c r="F35" s="109">
        <v>0</v>
      </c>
      <c r="G35" s="109">
        <v>0</v>
      </c>
      <c r="H35" s="109">
        <v>0</v>
      </c>
      <c r="I35" s="109">
        <v>84080732</v>
      </c>
      <c r="J35" s="75">
        <f t="shared" si="2"/>
        <v>84080732</v>
      </c>
      <c r="K35" s="75">
        <f t="shared" si="3"/>
        <v>214587557</v>
      </c>
      <c r="L35" s="109">
        <v>144703603</v>
      </c>
      <c r="M35" s="110">
        <v>152280414</v>
      </c>
      <c r="N35" s="844"/>
    </row>
    <row r="36" spans="1:14" ht="12.75" customHeight="1" x14ac:dyDescent="0.25">
      <c r="A36" s="589" t="s">
        <v>1594</v>
      </c>
      <c r="B36" s="73"/>
      <c r="C36" s="109">
        <v>0</v>
      </c>
      <c r="D36" s="109">
        <v>0</v>
      </c>
      <c r="E36" s="109">
        <v>0</v>
      </c>
      <c r="F36" s="109">
        <v>0</v>
      </c>
      <c r="G36" s="109">
        <v>0</v>
      </c>
      <c r="H36" s="109">
        <v>0</v>
      </c>
      <c r="I36" s="109">
        <v>0</v>
      </c>
      <c r="J36" s="75">
        <f t="shared" si="2"/>
        <v>0</v>
      </c>
      <c r="K36" s="75">
        <f t="shared" si="3"/>
        <v>0</v>
      </c>
      <c r="L36" s="109">
        <v>0</v>
      </c>
      <c r="M36" s="110">
        <v>0</v>
      </c>
      <c r="N36" s="839"/>
    </row>
    <row r="37" spans="1:14" ht="12.75" customHeight="1" x14ac:dyDescent="0.25">
      <c r="A37" s="589" t="s">
        <v>1595</v>
      </c>
      <c r="B37" s="73"/>
      <c r="C37" s="109">
        <v>0</v>
      </c>
      <c r="D37" s="109">
        <v>0</v>
      </c>
      <c r="E37" s="109">
        <v>0</v>
      </c>
      <c r="F37" s="109">
        <v>0</v>
      </c>
      <c r="G37" s="109">
        <v>0</v>
      </c>
      <c r="H37" s="109">
        <v>0</v>
      </c>
      <c r="I37" s="109">
        <v>0</v>
      </c>
      <c r="J37" s="75">
        <f t="shared" si="2"/>
        <v>0</v>
      </c>
      <c r="K37" s="75">
        <f t="shared" si="3"/>
        <v>0</v>
      </c>
      <c r="L37" s="109">
        <v>0</v>
      </c>
      <c r="M37" s="110">
        <v>0</v>
      </c>
      <c r="N37" s="844"/>
    </row>
    <row r="38" spans="1:14" ht="12.75" customHeight="1" x14ac:dyDescent="0.25">
      <c r="A38" s="589" t="s">
        <v>1572</v>
      </c>
      <c r="B38" s="73"/>
      <c r="C38" s="109">
        <v>0</v>
      </c>
      <c r="D38" s="109">
        <v>0</v>
      </c>
      <c r="E38" s="109">
        <v>0</v>
      </c>
      <c r="F38" s="109">
        <v>0</v>
      </c>
      <c r="G38" s="109">
        <v>0</v>
      </c>
      <c r="H38" s="109">
        <v>0</v>
      </c>
      <c r="I38" s="109">
        <v>0</v>
      </c>
      <c r="J38" s="75">
        <f t="shared" si="2"/>
        <v>0</v>
      </c>
      <c r="K38" s="75">
        <f t="shared" si="3"/>
        <v>0</v>
      </c>
      <c r="L38" s="109">
        <v>0</v>
      </c>
      <c r="M38" s="110">
        <v>0</v>
      </c>
      <c r="N38" s="844"/>
    </row>
    <row r="39" spans="1:14" ht="12.75" customHeight="1" x14ac:dyDescent="0.25">
      <c r="A39" s="590" t="s">
        <v>1596</v>
      </c>
      <c r="B39" s="73"/>
      <c r="C39" s="1122">
        <f>SUM(C40:C45)</f>
        <v>11132574</v>
      </c>
      <c r="D39" s="132">
        <f t="shared" ref="D39:M39" si="7">SUM(D40:D45)</f>
        <v>11132574</v>
      </c>
      <c r="E39" s="132">
        <f t="shared" si="7"/>
        <v>0</v>
      </c>
      <c r="F39" s="132">
        <f t="shared" si="7"/>
        <v>0</v>
      </c>
      <c r="G39" s="132">
        <f t="shared" si="7"/>
        <v>0</v>
      </c>
      <c r="H39" s="132">
        <f t="shared" si="7"/>
        <v>0</v>
      </c>
      <c r="I39" s="132">
        <f t="shared" si="7"/>
        <v>0</v>
      </c>
      <c r="J39" s="75">
        <f t="shared" si="2"/>
        <v>0</v>
      </c>
      <c r="K39" s="75">
        <f t="shared" si="3"/>
        <v>11132574</v>
      </c>
      <c r="L39" s="132">
        <f t="shared" si="7"/>
        <v>11666938</v>
      </c>
      <c r="M39" s="133">
        <f t="shared" si="7"/>
        <v>12226951</v>
      </c>
      <c r="N39" s="128"/>
    </row>
    <row r="40" spans="1:14" ht="12.75" customHeight="1" x14ac:dyDescent="0.25">
      <c r="A40" s="589" t="s">
        <v>1597</v>
      </c>
      <c r="B40" s="73"/>
      <c r="C40" s="109">
        <v>0</v>
      </c>
      <c r="D40" s="109">
        <v>0</v>
      </c>
      <c r="E40" s="109">
        <v>0</v>
      </c>
      <c r="F40" s="109">
        <v>0</v>
      </c>
      <c r="G40" s="109">
        <v>0</v>
      </c>
      <c r="H40" s="109">
        <v>0</v>
      </c>
      <c r="I40" s="109">
        <v>0</v>
      </c>
      <c r="J40" s="75">
        <f t="shared" si="2"/>
        <v>0</v>
      </c>
      <c r="K40" s="75">
        <f t="shared" si="3"/>
        <v>0</v>
      </c>
      <c r="L40" s="109">
        <v>0</v>
      </c>
      <c r="M40" s="110">
        <v>0</v>
      </c>
      <c r="N40" s="839"/>
    </row>
    <row r="41" spans="1:14" ht="12.75" customHeight="1" x14ac:dyDescent="0.25">
      <c r="A41" s="589" t="s">
        <v>485</v>
      </c>
      <c r="B41" s="73"/>
      <c r="C41" s="109">
        <v>0</v>
      </c>
      <c r="D41" s="109">
        <v>0</v>
      </c>
      <c r="E41" s="109">
        <v>0</v>
      </c>
      <c r="F41" s="109">
        <v>0</v>
      </c>
      <c r="G41" s="109">
        <v>0</v>
      </c>
      <c r="H41" s="109">
        <v>0</v>
      </c>
      <c r="I41" s="109">
        <v>0</v>
      </c>
      <c r="J41" s="75">
        <f t="shared" si="2"/>
        <v>0</v>
      </c>
      <c r="K41" s="75">
        <f t="shared" si="3"/>
        <v>0</v>
      </c>
      <c r="L41" s="109">
        <v>0</v>
      </c>
      <c r="M41" s="110">
        <v>0</v>
      </c>
      <c r="N41" s="839"/>
    </row>
    <row r="42" spans="1:14" ht="12.75" customHeight="1" x14ac:dyDescent="0.25">
      <c r="A42" s="589" t="s">
        <v>1598</v>
      </c>
      <c r="B42" s="73"/>
      <c r="C42" s="109">
        <v>11132574</v>
      </c>
      <c r="D42" s="109">
        <v>11132574</v>
      </c>
      <c r="E42" s="109">
        <v>0</v>
      </c>
      <c r="F42" s="109">
        <v>0</v>
      </c>
      <c r="G42" s="109">
        <v>0</v>
      </c>
      <c r="H42" s="109">
        <v>0</v>
      </c>
      <c r="I42" s="109">
        <v>0</v>
      </c>
      <c r="J42" s="75">
        <f t="shared" si="2"/>
        <v>0</v>
      </c>
      <c r="K42" s="75">
        <f t="shared" si="3"/>
        <v>11132574</v>
      </c>
      <c r="L42" s="109">
        <v>11666938</v>
      </c>
      <c r="M42" s="110">
        <v>12226951</v>
      </c>
      <c r="N42" s="844"/>
    </row>
    <row r="43" spans="1:14" ht="12.75" customHeight="1" x14ac:dyDescent="0.25">
      <c r="A43" s="589" t="s">
        <v>1599</v>
      </c>
      <c r="B43" s="73"/>
      <c r="C43" s="109">
        <v>0</v>
      </c>
      <c r="D43" s="109">
        <v>0</v>
      </c>
      <c r="E43" s="109">
        <v>0</v>
      </c>
      <c r="F43" s="109">
        <v>0</v>
      </c>
      <c r="G43" s="109">
        <v>0</v>
      </c>
      <c r="H43" s="109">
        <v>0</v>
      </c>
      <c r="I43" s="109">
        <v>0</v>
      </c>
      <c r="J43" s="75">
        <f t="shared" si="2"/>
        <v>0</v>
      </c>
      <c r="K43" s="75">
        <f t="shared" si="3"/>
        <v>0</v>
      </c>
      <c r="L43" s="109">
        <v>0</v>
      </c>
      <c r="M43" s="110">
        <v>0</v>
      </c>
      <c r="N43" s="844"/>
    </row>
    <row r="44" spans="1:14" ht="12.75" customHeight="1" x14ac:dyDescent="0.25">
      <c r="A44" s="589" t="s">
        <v>1600</v>
      </c>
      <c r="B44" s="73"/>
      <c r="C44" s="109">
        <v>0</v>
      </c>
      <c r="D44" s="109">
        <v>0</v>
      </c>
      <c r="E44" s="109">
        <v>0</v>
      </c>
      <c r="F44" s="109">
        <v>0</v>
      </c>
      <c r="G44" s="109">
        <v>0</v>
      </c>
      <c r="H44" s="109">
        <v>0</v>
      </c>
      <c r="I44" s="109">
        <v>0</v>
      </c>
      <c r="J44" s="75">
        <f t="shared" si="2"/>
        <v>0</v>
      </c>
      <c r="K44" s="75">
        <f t="shared" si="3"/>
        <v>0</v>
      </c>
      <c r="L44" s="109">
        <v>0</v>
      </c>
      <c r="M44" s="110">
        <v>0</v>
      </c>
      <c r="N44" s="839"/>
    </row>
    <row r="45" spans="1:14" ht="12.75" customHeight="1" x14ac:dyDescent="0.25">
      <c r="A45" s="589" t="s">
        <v>1572</v>
      </c>
      <c r="B45" s="73"/>
      <c r="C45" s="109">
        <v>0</v>
      </c>
      <c r="D45" s="109">
        <v>0</v>
      </c>
      <c r="E45" s="109">
        <v>0</v>
      </c>
      <c r="F45" s="109">
        <v>0</v>
      </c>
      <c r="G45" s="109">
        <v>0</v>
      </c>
      <c r="H45" s="109">
        <v>0</v>
      </c>
      <c r="I45" s="109">
        <v>0</v>
      </c>
      <c r="J45" s="75">
        <f t="shared" si="2"/>
        <v>0</v>
      </c>
      <c r="K45" s="75">
        <f t="shared" si="3"/>
        <v>0</v>
      </c>
      <c r="L45" s="109">
        <v>0</v>
      </c>
      <c r="M45" s="110">
        <v>0</v>
      </c>
      <c r="N45" s="844"/>
    </row>
    <row r="46" spans="1:14" ht="12.75" customHeight="1" x14ac:dyDescent="0.25">
      <c r="A46" s="590" t="s">
        <v>1601</v>
      </c>
      <c r="B46" s="73"/>
      <c r="C46" s="1122">
        <f>SUM(C47:C53)</f>
        <v>57847885</v>
      </c>
      <c r="D46" s="132">
        <f t="shared" ref="D46:M46" si="8">SUM(D47:D53)</f>
        <v>57847885</v>
      </c>
      <c r="E46" s="132">
        <f t="shared" si="8"/>
        <v>0</v>
      </c>
      <c r="F46" s="132">
        <f t="shared" si="8"/>
        <v>0</v>
      </c>
      <c r="G46" s="132">
        <f t="shared" si="8"/>
        <v>0</v>
      </c>
      <c r="H46" s="132">
        <f t="shared" si="8"/>
        <v>0</v>
      </c>
      <c r="I46" s="132">
        <f t="shared" si="8"/>
        <v>21500000</v>
      </c>
      <c r="J46" s="75">
        <f t="shared" si="2"/>
        <v>21500000</v>
      </c>
      <c r="K46" s="75">
        <f t="shared" si="3"/>
        <v>79347885</v>
      </c>
      <c r="L46" s="132">
        <f t="shared" si="8"/>
        <v>56336584</v>
      </c>
      <c r="M46" s="133">
        <f t="shared" si="8"/>
        <v>59040739</v>
      </c>
      <c r="N46" s="128"/>
    </row>
    <row r="47" spans="1:14" ht="12.75" customHeight="1" x14ac:dyDescent="0.25">
      <c r="A47" s="589" t="s">
        <v>1602</v>
      </c>
      <c r="B47" s="73"/>
      <c r="C47" s="382">
        <v>0</v>
      </c>
      <c r="D47" s="109">
        <v>0</v>
      </c>
      <c r="E47" s="109">
        <v>0</v>
      </c>
      <c r="F47" s="109">
        <v>0</v>
      </c>
      <c r="G47" s="109">
        <v>0</v>
      </c>
      <c r="H47" s="109">
        <v>0</v>
      </c>
      <c r="I47" s="109">
        <v>0</v>
      </c>
      <c r="J47" s="75">
        <f t="shared" si="2"/>
        <v>0</v>
      </c>
      <c r="K47" s="75">
        <f t="shared" si="3"/>
        <v>0</v>
      </c>
      <c r="L47" s="109">
        <v>0</v>
      </c>
      <c r="M47" s="110">
        <v>0</v>
      </c>
      <c r="N47" s="839"/>
    </row>
    <row r="48" spans="1:14" ht="12.75" customHeight="1" x14ac:dyDescent="0.25">
      <c r="A48" s="589" t="s">
        <v>1603</v>
      </c>
      <c r="B48" s="73"/>
      <c r="C48" s="109">
        <v>0</v>
      </c>
      <c r="D48" s="109">
        <v>0</v>
      </c>
      <c r="E48" s="109">
        <v>0</v>
      </c>
      <c r="F48" s="109">
        <v>0</v>
      </c>
      <c r="G48" s="109">
        <v>0</v>
      </c>
      <c r="H48" s="109">
        <v>0</v>
      </c>
      <c r="I48" s="109">
        <v>0</v>
      </c>
      <c r="J48" s="75">
        <f t="shared" si="2"/>
        <v>0</v>
      </c>
      <c r="K48" s="75">
        <f t="shared" si="3"/>
        <v>0</v>
      </c>
      <c r="L48" s="109">
        <v>0</v>
      </c>
      <c r="M48" s="110">
        <v>0</v>
      </c>
      <c r="N48" s="839"/>
    </row>
    <row r="49" spans="1:14" ht="12.75" customHeight="1" x14ac:dyDescent="0.25">
      <c r="A49" s="589" t="s">
        <v>1604</v>
      </c>
      <c r="B49" s="73"/>
      <c r="C49" s="109">
        <v>57847885</v>
      </c>
      <c r="D49" s="109">
        <v>57847885</v>
      </c>
      <c r="E49" s="109">
        <v>0</v>
      </c>
      <c r="F49" s="109">
        <v>0</v>
      </c>
      <c r="G49" s="109">
        <v>0</v>
      </c>
      <c r="H49" s="109">
        <v>0</v>
      </c>
      <c r="I49" s="109">
        <v>21500000</v>
      </c>
      <c r="J49" s="75">
        <f t="shared" si="2"/>
        <v>21500000</v>
      </c>
      <c r="K49" s="75">
        <f t="shared" si="3"/>
        <v>79347885</v>
      </c>
      <c r="L49" s="109">
        <v>56336584</v>
      </c>
      <c r="M49" s="110">
        <v>59040739</v>
      </c>
      <c r="N49" s="844"/>
    </row>
    <row r="50" spans="1:14" ht="12.75" customHeight="1" x14ac:dyDescent="0.25">
      <c r="A50" s="589" t="s">
        <v>1605</v>
      </c>
      <c r="B50" s="73"/>
      <c r="C50" s="109">
        <v>0</v>
      </c>
      <c r="D50" s="109">
        <v>0</v>
      </c>
      <c r="E50" s="109">
        <v>0</v>
      </c>
      <c r="F50" s="109">
        <v>0</v>
      </c>
      <c r="G50" s="109">
        <v>0</v>
      </c>
      <c r="H50" s="109">
        <v>0</v>
      </c>
      <c r="I50" s="109">
        <v>0</v>
      </c>
      <c r="J50" s="75">
        <f t="shared" si="2"/>
        <v>0</v>
      </c>
      <c r="K50" s="75">
        <f t="shared" si="3"/>
        <v>0</v>
      </c>
      <c r="L50" s="109">
        <v>0</v>
      </c>
      <c r="M50" s="110">
        <v>0</v>
      </c>
      <c r="N50" s="844"/>
    </row>
    <row r="51" spans="1:14" ht="12.75" customHeight="1" x14ac:dyDescent="0.25">
      <c r="A51" s="589" t="s">
        <v>1606</v>
      </c>
      <c r="B51" s="73"/>
      <c r="C51" s="109">
        <v>0</v>
      </c>
      <c r="D51" s="109">
        <v>0</v>
      </c>
      <c r="E51" s="109">
        <v>0</v>
      </c>
      <c r="F51" s="109">
        <v>0</v>
      </c>
      <c r="G51" s="109">
        <v>0</v>
      </c>
      <c r="H51" s="109">
        <v>0</v>
      </c>
      <c r="I51" s="109">
        <v>0</v>
      </c>
      <c r="J51" s="75">
        <f t="shared" si="2"/>
        <v>0</v>
      </c>
      <c r="K51" s="75">
        <f t="shared" si="3"/>
        <v>0</v>
      </c>
      <c r="L51" s="109">
        <v>0</v>
      </c>
      <c r="M51" s="110">
        <v>0</v>
      </c>
      <c r="N51" s="844"/>
    </row>
    <row r="52" spans="1:14" ht="12.75" customHeight="1" x14ac:dyDescent="0.25">
      <c r="A52" s="589" t="s">
        <v>1607</v>
      </c>
      <c r="B52" s="73"/>
      <c r="C52" s="109">
        <v>0</v>
      </c>
      <c r="D52" s="109">
        <v>0</v>
      </c>
      <c r="E52" s="109">
        <v>0</v>
      </c>
      <c r="F52" s="109">
        <v>0</v>
      </c>
      <c r="G52" s="109">
        <v>0</v>
      </c>
      <c r="H52" s="109">
        <v>0</v>
      </c>
      <c r="I52" s="109">
        <v>0</v>
      </c>
      <c r="J52" s="75">
        <f t="shared" si="2"/>
        <v>0</v>
      </c>
      <c r="K52" s="75">
        <f t="shared" si="3"/>
        <v>0</v>
      </c>
      <c r="L52" s="109">
        <v>0</v>
      </c>
      <c r="M52" s="110">
        <v>0</v>
      </c>
      <c r="N52" s="839"/>
    </row>
    <row r="53" spans="1:14" ht="12.75" customHeight="1" x14ac:dyDescent="0.25">
      <c r="A53" s="589" t="s">
        <v>1572</v>
      </c>
      <c r="B53" s="73"/>
      <c r="C53" s="109">
        <v>0</v>
      </c>
      <c r="D53" s="109">
        <v>0</v>
      </c>
      <c r="E53" s="109">
        <v>0</v>
      </c>
      <c r="F53" s="109">
        <v>0</v>
      </c>
      <c r="G53" s="109">
        <v>0</v>
      </c>
      <c r="H53" s="109">
        <v>0</v>
      </c>
      <c r="I53" s="109">
        <v>0</v>
      </c>
      <c r="J53" s="75">
        <f t="shared" si="2"/>
        <v>0</v>
      </c>
      <c r="K53" s="75">
        <f t="shared" si="3"/>
        <v>0</v>
      </c>
      <c r="L53" s="109">
        <v>0</v>
      </c>
      <c r="M53" s="110">
        <v>0</v>
      </c>
      <c r="N53" s="844"/>
    </row>
    <row r="54" spans="1:14" ht="12.75" customHeight="1" x14ac:dyDescent="0.25">
      <c r="A54" s="588" t="s">
        <v>1608</v>
      </c>
      <c r="B54" s="73"/>
      <c r="C54" s="1122">
        <f>SUM(C55:C63)</f>
        <v>0</v>
      </c>
      <c r="D54" s="132">
        <f t="shared" ref="D54:M54" si="9">SUM(D55:D63)</f>
        <v>0</v>
      </c>
      <c r="E54" s="132">
        <f t="shared" si="9"/>
        <v>0</v>
      </c>
      <c r="F54" s="132">
        <f t="shared" si="9"/>
        <v>0</v>
      </c>
      <c r="G54" s="132">
        <f t="shared" si="9"/>
        <v>0</v>
      </c>
      <c r="H54" s="132">
        <f t="shared" si="9"/>
        <v>0</v>
      </c>
      <c r="I54" s="132">
        <f t="shared" si="9"/>
        <v>0</v>
      </c>
      <c r="J54" s="75">
        <f t="shared" si="2"/>
        <v>0</v>
      </c>
      <c r="K54" s="75">
        <f t="shared" si="3"/>
        <v>0</v>
      </c>
      <c r="L54" s="132">
        <f t="shared" si="9"/>
        <v>0</v>
      </c>
      <c r="M54" s="133">
        <f t="shared" si="9"/>
        <v>0</v>
      </c>
      <c r="N54" s="128"/>
    </row>
    <row r="55" spans="1:14" ht="12.75" customHeight="1" x14ac:dyDescent="0.25">
      <c r="A55" s="589" t="s">
        <v>1609</v>
      </c>
      <c r="B55" s="73"/>
      <c r="C55" s="109">
        <v>0</v>
      </c>
      <c r="D55" s="109">
        <v>0</v>
      </c>
      <c r="E55" s="109">
        <v>0</v>
      </c>
      <c r="F55" s="109">
        <v>0</v>
      </c>
      <c r="G55" s="109">
        <v>0</v>
      </c>
      <c r="H55" s="109">
        <v>0</v>
      </c>
      <c r="I55" s="109">
        <v>0</v>
      </c>
      <c r="J55" s="75">
        <f t="shared" si="2"/>
        <v>0</v>
      </c>
      <c r="K55" s="75">
        <f t="shared" si="3"/>
        <v>0</v>
      </c>
      <c r="L55" s="109">
        <v>0</v>
      </c>
      <c r="M55" s="110">
        <v>0</v>
      </c>
      <c r="N55" s="839"/>
    </row>
    <row r="56" spans="1:14" ht="12.75" customHeight="1" x14ac:dyDescent="0.25">
      <c r="A56" s="589" t="s">
        <v>1610</v>
      </c>
      <c r="B56" s="73"/>
      <c r="C56" s="109">
        <v>0</v>
      </c>
      <c r="D56" s="109">
        <v>0</v>
      </c>
      <c r="E56" s="109">
        <v>0</v>
      </c>
      <c r="F56" s="109">
        <v>0</v>
      </c>
      <c r="G56" s="109">
        <v>0</v>
      </c>
      <c r="H56" s="109">
        <v>0</v>
      </c>
      <c r="I56" s="109">
        <v>0</v>
      </c>
      <c r="J56" s="75">
        <f t="shared" si="2"/>
        <v>0</v>
      </c>
      <c r="K56" s="75">
        <f t="shared" si="3"/>
        <v>0</v>
      </c>
      <c r="L56" s="109">
        <v>0</v>
      </c>
      <c r="M56" s="110">
        <v>0</v>
      </c>
      <c r="N56" s="839"/>
    </row>
    <row r="57" spans="1:14" ht="12.75" customHeight="1" x14ac:dyDescent="0.25">
      <c r="A57" s="589" t="s">
        <v>1611</v>
      </c>
      <c r="B57" s="73"/>
      <c r="C57" s="109">
        <v>0</v>
      </c>
      <c r="D57" s="109">
        <v>0</v>
      </c>
      <c r="E57" s="109">
        <v>0</v>
      </c>
      <c r="F57" s="109">
        <v>0</v>
      </c>
      <c r="G57" s="109">
        <v>0</v>
      </c>
      <c r="H57" s="109">
        <v>0</v>
      </c>
      <c r="I57" s="109">
        <v>0</v>
      </c>
      <c r="J57" s="75">
        <f t="shared" si="2"/>
        <v>0</v>
      </c>
      <c r="K57" s="75">
        <f t="shared" si="3"/>
        <v>0</v>
      </c>
      <c r="L57" s="109">
        <v>0</v>
      </c>
      <c r="M57" s="110">
        <v>0</v>
      </c>
      <c r="N57" s="844"/>
    </row>
    <row r="58" spans="1:14" ht="12.75" customHeight="1" x14ac:dyDescent="0.25">
      <c r="A58" s="589" t="s">
        <v>1574</v>
      </c>
      <c r="B58" s="73"/>
      <c r="C58" s="109">
        <v>0</v>
      </c>
      <c r="D58" s="109">
        <v>0</v>
      </c>
      <c r="E58" s="109">
        <v>0</v>
      </c>
      <c r="F58" s="109">
        <v>0</v>
      </c>
      <c r="G58" s="109">
        <v>0</v>
      </c>
      <c r="H58" s="109">
        <v>0</v>
      </c>
      <c r="I58" s="109">
        <v>0</v>
      </c>
      <c r="J58" s="75">
        <f t="shared" si="2"/>
        <v>0</v>
      </c>
      <c r="K58" s="75">
        <f t="shared" si="3"/>
        <v>0</v>
      </c>
      <c r="L58" s="109">
        <v>0</v>
      </c>
      <c r="M58" s="110">
        <v>0</v>
      </c>
      <c r="N58" s="844"/>
    </row>
    <row r="59" spans="1:14" ht="12.75" customHeight="1" x14ac:dyDescent="0.25">
      <c r="A59" s="589" t="s">
        <v>1575</v>
      </c>
      <c r="B59" s="73"/>
      <c r="C59" s="109">
        <v>0</v>
      </c>
      <c r="D59" s="109">
        <v>0</v>
      </c>
      <c r="E59" s="109">
        <v>0</v>
      </c>
      <c r="F59" s="109">
        <v>0</v>
      </c>
      <c r="G59" s="109">
        <v>0</v>
      </c>
      <c r="H59" s="109">
        <v>0</v>
      </c>
      <c r="I59" s="109">
        <v>0</v>
      </c>
      <c r="J59" s="75">
        <f t="shared" si="2"/>
        <v>0</v>
      </c>
      <c r="K59" s="75">
        <f t="shared" si="3"/>
        <v>0</v>
      </c>
      <c r="L59" s="109">
        <v>0</v>
      </c>
      <c r="M59" s="110">
        <v>0</v>
      </c>
      <c r="N59" s="844"/>
    </row>
    <row r="60" spans="1:14" ht="12.75" customHeight="1" x14ac:dyDescent="0.25">
      <c r="A60" s="589" t="s">
        <v>1576</v>
      </c>
      <c r="B60" s="73"/>
      <c r="C60" s="109">
        <v>0</v>
      </c>
      <c r="D60" s="109">
        <v>0</v>
      </c>
      <c r="E60" s="109">
        <v>0</v>
      </c>
      <c r="F60" s="109">
        <v>0</v>
      </c>
      <c r="G60" s="109">
        <v>0</v>
      </c>
      <c r="H60" s="109">
        <v>0</v>
      </c>
      <c r="I60" s="109">
        <v>0</v>
      </c>
      <c r="J60" s="75">
        <f t="shared" si="2"/>
        <v>0</v>
      </c>
      <c r="K60" s="75">
        <f t="shared" si="3"/>
        <v>0</v>
      </c>
      <c r="L60" s="109">
        <v>0</v>
      </c>
      <c r="M60" s="110">
        <v>0</v>
      </c>
      <c r="N60" s="844"/>
    </row>
    <row r="61" spans="1:14" ht="12.75" customHeight="1" x14ac:dyDescent="0.25">
      <c r="A61" s="589" t="s">
        <v>1582</v>
      </c>
      <c r="B61" s="73"/>
      <c r="C61" s="109">
        <v>0</v>
      </c>
      <c r="D61" s="109">
        <v>0</v>
      </c>
      <c r="E61" s="109">
        <v>0</v>
      </c>
      <c r="F61" s="109">
        <v>0</v>
      </c>
      <c r="G61" s="109">
        <v>0</v>
      </c>
      <c r="H61" s="109">
        <v>0</v>
      </c>
      <c r="I61" s="109">
        <v>0</v>
      </c>
      <c r="J61" s="75">
        <f t="shared" si="2"/>
        <v>0</v>
      </c>
      <c r="K61" s="75">
        <f t="shared" si="3"/>
        <v>0</v>
      </c>
      <c r="L61" s="109">
        <v>0</v>
      </c>
      <c r="M61" s="110">
        <v>0</v>
      </c>
      <c r="N61" s="844"/>
    </row>
    <row r="62" spans="1:14" ht="12.75" customHeight="1" x14ac:dyDescent="0.25">
      <c r="A62" s="589" t="s">
        <v>1585</v>
      </c>
      <c r="B62" s="73"/>
      <c r="C62" s="109">
        <v>0</v>
      </c>
      <c r="D62" s="109">
        <v>0</v>
      </c>
      <c r="E62" s="109">
        <v>0</v>
      </c>
      <c r="F62" s="109">
        <v>0</v>
      </c>
      <c r="G62" s="109">
        <v>0</v>
      </c>
      <c r="H62" s="109">
        <v>0</v>
      </c>
      <c r="I62" s="109">
        <v>0</v>
      </c>
      <c r="J62" s="75">
        <f t="shared" si="2"/>
        <v>0</v>
      </c>
      <c r="K62" s="75">
        <f t="shared" si="3"/>
        <v>0</v>
      </c>
      <c r="L62" s="109">
        <v>0</v>
      </c>
      <c r="M62" s="110">
        <v>0</v>
      </c>
      <c r="N62" s="839"/>
    </row>
    <row r="63" spans="1:14" ht="12.75" customHeight="1" x14ac:dyDescent="0.25">
      <c r="A63" s="589" t="s">
        <v>1572</v>
      </c>
      <c r="B63" s="73"/>
      <c r="C63" s="109">
        <v>0</v>
      </c>
      <c r="D63" s="109">
        <v>0</v>
      </c>
      <c r="E63" s="109">
        <v>0</v>
      </c>
      <c r="F63" s="109">
        <v>0</v>
      </c>
      <c r="G63" s="109">
        <v>0</v>
      </c>
      <c r="H63" s="109">
        <v>0</v>
      </c>
      <c r="I63" s="109">
        <v>0</v>
      </c>
      <c r="J63" s="75">
        <f t="shared" si="2"/>
        <v>0</v>
      </c>
      <c r="K63" s="75">
        <f t="shared" si="3"/>
        <v>0</v>
      </c>
      <c r="L63" s="109">
        <v>0</v>
      </c>
      <c r="M63" s="110">
        <v>0</v>
      </c>
      <c r="N63" s="844"/>
    </row>
    <row r="64" spans="1:14" ht="12.75" customHeight="1" x14ac:dyDescent="0.25">
      <c r="A64" s="590" t="s">
        <v>1612</v>
      </c>
      <c r="B64" s="73"/>
      <c r="C64" s="1122">
        <f t="shared" ref="C64:M64" si="10">SUM(C65:C69)</f>
        <v>0</v>
      </c>
      <c r="D64" s="132">
        <f t="shared" si="10"/>
        <v>0</v>
      </c>
      <c r="E64" s="132">
        <f t="shared" si="10"/>
        <v>0</v>
      </c>
      <c r="F64" s="132">
        <f t="shared" si="10"/>
        <v>0</v>
      </c>
      <c r="G64" s="132">
        <f t="shared" si="10"/>
        <v>0</v>
      </c>
      <c r="H64" s="132">
        <f t="shared" si="10"/>
        <v>0</v>
      </c>
      <c r="I64" s="132">
        <f t="shared" si="10"/>
        <v>0</v>
      </c>
      <c r="J64" s="75">
        <f t="shared" si="2"/>
        <v>0</v>
      </c>
      <c r="K64" s="75">
        <f t="shared" si="3"/>
        <v>0</v>
      </c>
      <c r="L64" s="132">
        <f t="shared" si="10"/>
        <v>0</v>
      </c>
      <c r="M64" s="133">
        <f t="shared" si="10"/>
        <v>0</v>
      </c>
      <c r="N64" s="128"/>
    </row>
    <row r="65" spans="1:14" ht="12.75" customHeight="1" x14ac:dyDescent="0.25">
      <c r="A65" s="589" t="s">
        <v>1613</v>
      </c>
      <c r="B65" s="73"/>
      <c r="C65" s="109">
        <v>0</v>
      </c>
      <c r="D65" s="109">
        <v>0</v>
      </c>
      <c r="E65" s="109">
        <v>0</v>
      </c>
      <c r="F65" s="109">
        <v>0</v>
      </c>
      <c r="G65" s="109">
        <v>0</v>
      </c>
      <c r="H65" s="109">
        <v>0</v>
      </c>
      <c r="I65" s="109">
        <v>0</v>
      </c>
      <c r="J65" s="75">
        <f t="shared" si="2"/>
        <v>0</v>
      </c>
      <c r="K65" s="75">
        <f t="shared" si="3"/>
        <v>0</v>
      </c>
      <c r="L65" s="109">
        <v>0</v>
      </c>
      <c r="M65" s="110">
        <v>0</v>
      </c>
      <c r="N65" s="839"/>
    </row>
    <row r="66" spans="1:14" ht="12.75" customHeight="1" x14ac:dyDescent="0.25">
      <c r="A66" s="589" t="s">
        <v>1614</v>
      </c>
      <c r="B66" s="73"/>
      <c r="C66" s="109">
        <v>0</v>
      </c>
      <c r="D66" s="109">
        <v>0</v>
      </c>
      <c r="E66" s="109">
        <v>0</v>
      </c>
      <c r="F66" s="109">
        <v>0</v>
      </c>
      <c r="G66" s="109">
        <v>0</v>
      </c>
      <c r="H66" s="109">
        <v>0</v>
      </c>
      <c r="I66" s="109">
        <v>0</v>
      </c>
      <c r="J66" s="75">
        <f t="shared" si="2"/>
        <v>0</v>
      </c>
      <c r="K66" s="75">
        <f t="shared" si="3"/>
        <v>0</v>
      </c>
      <c r="L66" s="109">
        <v>0</v>
      </c>
      <c r="M66" s="110">
        <v>0</v>
      </c>
      <c r="N66" s="839"/>
    </row>
    <row r="67" spans="1:14" ht="12.75" customHeight="1" x14ac:dyDescent="0.25">
      <c r="A67" s="589" t="s">
        <v>1615</v>
      </c>
      <c r="B67" s="73"/>
      <c r="C67" s="109">
        <v>0</v>
      </c>
      <c r="D67" s="109">
        <v>0</v>
      </c>
      <c r="E67" s="109">
        <v>0</v>
      </c>
      <c r="F67" s="109">
        <v>0</v>
      </c>
      <c r="G67" s="109">
        <v>0</v>
      </c>
      <c r="H67" s="109">
        <v>0</v>
      </c>
      <c r="I67" s="109">
        <v>0</v>
      </c>
      <c r="J67" s="75">
        <f t="shared" si="2"/>
        <v>0</v>
      </c>
      <c r="K67" s="75">
        <f t="shared" si="3"/>
        <v>0</v>
      </c>
      <c r="L67" s="109">
        <v>0</v>
      </c>
      <c r="M67" s="110">
        <v>0</v>
      </c>
      <c r="N67" s="844"/>
    </row>
    <row r="68" spans="1:14" ht="12.75" customHeight="1" x14ac:dyDescent="0.25">
      <c r="A68" s="589" t="s">
        <v>1616</v>
      </c>
      <c r="B68" s="73"/>
      <c r="C68" s="109">
        <v>0</v>
      </c>
      <c r="D68" s="109">
        <v>0</v>
      </c>
      <c r="E68" s="109">
        <v>0</v>
      </c>
      <c r="F68" s="109">
        <v>0</v>
      </c>
      <c r="G68" s="109">
        <v>0</v>
      </c>
      <c r="H68" s="109">
        <v>0</v>
      </c>
      <c r="I68" s="109">
        <v>0</v>
      </c>
      <c r="J68" s="75">
        <f t="shared" si="2"/>
        <v>0</v>
      </c>
      <c r="K68" s="75">
        <f t="shared" si="3"/>
        <v>0</v>
      </c>
      <c r="L68" s="109">
        <v>0</v>
      </c>
      <c r="M68" s="110">
        <v>0</v>
      </c>
      <c r="N68" s="839"/>
    </row>
    <row r="69" spans="1:14" ht="12.75" customHeight="1" x14ac:dyDescent="0.25">
      <c r="A69" s="589" t="s">
        <v>1572</v>
      </c>
      <c r="B69" s="73"/>
      <c r="C69" s="109">
        <v>0</v>
      </c>
      <c r="D69" s="109">
        <v>0</v>
      </c>
      <c r="E69" s="109">
        <v>0</v>
      </c>
      <c r="F69" s="109">
        <v>0</v>
      </c>
      <c r="G69" s="109">
        <v>0</v>
      </c>
      <c r="H69" s="109">
        <v>0</v>
      </c>
      <c r="I69" s="109">
        <v>0</v>
      </c>
      <c r="J69" s="75">
        <f t="shared" si="2"/>
        <v>0</v>
      </c>
      <c r="K69" s="75">
        <f t="shared" si="3"/>
        <v>0</v>
      </c>
      <c r="L69" s="109">
        <v>0</v>
      </c>
      <c r="M69" s="110">
        <v>0</v>
      </c>
      <c r="N69" s="844"/>
    </row>
    <row r="70" spans="1:14" ht="12.75" customHeight="1" x14ac:dyDescent="0.25">
      <c r="A70" s="588" t="s">
        <v>1617</v>
      </c>
      <c r="B70" s="73"/>
      <c r="C70" s="132">
        <f t="shared" ref="C70:M70" si="11">SUM(C71:C74)</f>
        <v>0</v>
      </c>
      <c r="D70" s="132">
        <f t="shared" si="11"/>
        <v>0</v>
      </c>
      <c r="E70" s="132">
        <f t="shared" si="11"/>
        <v>0</v>
      </c>
      <c r="F70" s="132">
        <f t="shared" si="11"/>
        <v>0</v>
      </c>
      <c r="G70" s="132">
        <f t="shared" si="11"/>
        <v>0</v>
      </c>
      <c r="H70" s="132">
        <f t="shared" si="11"/>
        <v>0</v>
      </c>
      <c r="I70" s="132">
        <f t="shared" si="11"/>
        <v>0</v>
      </c>
      <c r="J70" s="75">
        <f t="shared" si="2"/>
        <v>0</v>
      </c>
      <c r="K70" s="75">
        <f t="shared" si="3"/>
        <v>0</v>
      </c>
      <c r="L70" s="132">
        <f t="shared" si="11"/>
        <v>0</v>
      </c>
      <c r="M70" s="133">
        <f t="shared" si="11"/>
        <v>0</v>
      </c>
      <c r="N70" s="844"/>
    </row>
    <row r="71" spans="1:14" ht="12.75" customHeight="1" x14ac:dyDescent="0.25">
      <c r="A71" s="589" t="s">
        <v>1618</v>
      </c>
      <c r="B71" s="73"/>
      <c r="C71" s="109">
        <v>0</v>
      </c>
      <c r="D71" s="109">
        <v>0</v>
      </c>
      <c r="E71" s="109">
        <v>0</v>
      </c>
      <c r="F71" s="109">
        <v>0</v>
      </c>
      <c r="G71" s="109">
        <v>0</v>
      </c>
      <c r="H71" s="109">
        <v>0</v>
      </c>
      <c r="I71" s="109">
        <v>0</v>
      </c>
      <c r="J71" s="75">
        <f t="shared" si="2"/>
        <v>0</v>
      </c>
      <c r="K71" s="75">
        <f t="shared" si="3"/>
        <v>0</v>
      </c>
      <c r="L71" s="109">
        <v>0</v>
      </c>
      <c r="M71" s="110">
        <v>0</v>
      </c>
      <c r="N71" s="844"/>
    </row>
    <row r="72" spans="1:14" ht="12.75" customHeight="1" x14ac:dyDescent="0.25">
      <c r="A72" s="589" t="s">
        <v>1619</v>
      </c>
      <c r="B72" s="73"/>
      <c r="C72" s="109">
        <v>0</v>
      </c>
      <c r="D72" s="109">
        <v>0</v>
      </c>
      <c r="E72" s="109">
        <v>0</v>
      </c>
      <c r="F72" s="109">
        <v>0</v>
      </c>
      <c r="G72" s="109">
        <v>0</v>
      </c>
      <c r="H72" s="109">
        <v>0</v>
      </c>
      <c r="I72" s="109">
        <v>0</v>
      </c>
      <c r="J72" s="75">
        <f t="shared" si="2"/>
        <v>0</v>
      </c>
      <c r="K72" s="75">
        <f t="shared" si="3"/>
        <v>0</v>
      </c>
      <c r="L72" s="109">
        <v>0</v>
      </c>
      <c r="M72" s="110">
        <v>0</v>
      </c>
      <c r="N72" s="844"/>
    </row>
    <row r="73" spans="1:14" ht="12.75" customHeight="1" x14ac:dyDescent="0.25">
      <c r="A73" s="589" t="s">
        <v>1620</v>
      </c>
      <c r="B73" s="73"/>
      <c r="C73" s="109">
        <v>0</v>
      </c>
      <c r="D73" s="109">
        <v>0</v>
      </c>
      <c r="E73" s="109">
        <v>0</v>
      </c>
      <c r="F73" s="109">
        <v>0</v>
      </c>
      <c r="G73" s="109">
        <v>0</v>
      </c>
      <c r="H73" s="109">
        <v>0</v>
      </c>
      <c r="I73" s="109">
        <v>0</v>
      </c>
      <c r="J73" s="75">
        <f t="shared" ref="J73:J136" si="12">SUM(E73:I73)</f>
        <v>0</v>
      </c>
      <c r="K73" s="75">
        <f t="shared" ref="K73:K136" si="13">IF(D73=0,C73+J73,D73+J73)</f>
        <v>0</v>
      </c>
      <c r="L73" s="109">
        <v>0</v>
      </c>
      <c r="M73" s="110">
        <v>0</v>
      </c>
      <c r="N73" s="844"/>
    </row>
    <row r="74" spans="1:14" ht="12.75" customHeight="1" x14ac:dyDescent="0.25">
      <c r="A74" s="589" t="s">
        <v>1572</v>
      </c>
      <c r="B74" s="73"/>
      <c r="C74" s="109">
        <v>0</v>
      </c>
      <c r="D74" s="109">
        <v>0</v>
      </c>
      <c r="E74" s="109">
        <v>0</v>
      </c>
      <c r="F74" s="109">
        <v>0</v>
      </c>
      <c r="G74" s="109">
        <v>0</v>
      </c>
      <c r="H74" s="109">
        <v>0</v>
      </c>
      <c r="I74" s="109">
        <v>0</v>
      </c>
      <c r="J74" s="75">
        <f t="shared" si="12"/>
        <v>0</v>
      </c>
      <c r="K74" s="75">
        <f t="shared" si="13"/>
        <v>0</v>
      </c>
      <c r="L74" s="109">
        <v>0</v>
      </c>
      <c r="M74" s="110">
        <v>0</v>
      </c>
      <c r="N74" s="844"/>
    </row>
    <row r="75" spans="1:14" ht="5.0999999999999996" customHeight="1" x14ac:dyDescent="0.25">
      <c r="A75" s="136"/>
      <c r="B75" s="73"/>
      <c r="C75" s="74"/>
      <c r="D75" s="75"/>
      <c r="E75" s="75"/>
      <c r="F75" s="75"/>
      <c r="G75" s="75"/>
      <c r="H75" s="75"/>
      <c r="I75" s="75"/>
      <c r="J75" s="75"/>
      <c r="K75" s="75"/>
      <c r="L75" s="75"/>
      <c r="M75" s="76"/>
      <c r="N75" s="128"/>
    </row>
    <row r="76" spans="1:14" ht="12.75" customHeight="1" x14ac:dyDescent="0.25">
      <c r="A76" s="486" t="s">
        <v>1621</v>
      </c>
      <c r="B76" s="73"/>
      <c r="C76" s="236">
        <f>+C77+C100</f>
        <v>40122433</v>
      </c>
      <c r="D76" s="237">
        <f>+D77+D100</f>
        <v>40122433</v>
      </c>
      <c r="E76" s="237">
        <f t="shared" ref="E76:M76" si="14">+E77+E100</f>
        <v>0</v>
      </c>
      <c r="F76" s="237">
        <f t="shared" si="14"/>
        <v>0</v>
      </c>
      <c r="G76" s="237">
        <f t="shared" si="14"/>
        <v>0</v>
      </c>
      <c r="H76" s="237">
        <f t="shared" si="14"/>
        <v>0</v>
      </c>
      <c r="I76" s="237">
        <f t="shared" si="14"/>
        <v>2827900</v>
      </c>
      <c r="J76" s="145">
        <f t="shared" si="12"/>
        <v>2827900</v>
      </c>
      <c r="K76" s="145">
        <f t="shared" si="13"/>
        <v>42950333</v>
      </c>
      <c r="L76" s="237">
        <f t="shared" si="14"/>
        <v>39812699</v>
      </c>
      <c r="M76" s="238">
        <f t="shared" si="14"/>
        <v>42019505</v>
      </c>
      <c r="N76" s="128"/>
    </row>
    <row r="77" spans="1:14" ht="12.75" customHeight="1" x14ac:dyDescent="0.25">
      <c r="A77" s="588" t="s">
        <v>1622</v>
      </c>
      <c r="B77" s="73"/>
      <c r="C77" s="132">
        <f>SUM(C78:C99)</f>
        <v>7588114</v>
      </c>
      <c r="D77" s="132">
        <f>SUM(D78:D99)</f>
        <v>7588114</v>
      </c>
      <c r="E77" s="132">
        <f t="shared" ref="E77:M77" si="15">SUM(E78:E99)</f>
        <v>0</v>
      </c>
      <c r="F77" s="132">
        <f t="shared" si="15"/>
        <v>0</v>
      </c>
      <c r="G77" s="132">
        <f t="shared" si="15"/>
        <v>0</v>
      </c>
      <c r="H77" s="132">
        <f t="shared" si="15"/>
        <v>0</v>
      </c>
      <c r="I77" s="132">
        <f t="shared" si="15"/>
        <v>1400000</v>
      </c>
      <c r="J77" s="75">
        <f t="shared" si="12"/>
        <v>1400000</v>
      </c>
      <c r="K77" s="75">
        <f t="shared" si="13"/>
        <v>8988114</v>
      </c>
      <c r="L77" s="132">
        <f t="shared" si="15"/>
        <v>5437143</v>
      </c>
      <c r="M77" s="133">
        <f t="shared" si="15"/>
        <v>5698125</v>
      </c>
      <c r="N77" s="844"/>
    </row>
    <row r="78" spans="1:14" ht="12.75" customHeight="1" x14ac:dyDescent="0.25">
      <c r="A78" s="589" t="s">
        <v>1623</v>
      </c>
      <c r="B78" s="73"/>
      <c r="C78" s="130">
        <v>7588114</v>
      </c>
      <c r="D78" s="109">
        <v>7588114</v>
      </c>
      <c r="E78" s="109">
        <v>0</v>
      </c>
      <c r="F78" s="109">
        <v>0</v>
      </c>
      <c r="G78" s="109">
        <v>0</v>
      </c>
      <c r="H78" s="109">
        <v>0</v>
      </c>
      <c r="I78" s="109">
        <v>-7588114</v>
      </c>
      <c r="J78" s="75">
        <f t="shared" si="12"/>
        <v>-7588114</v>
      </c>
      <c r="K78" s="75">
        <f t="shared" si="13"/>
        <v>0</v>
      </c>
      <c r="L78" s="109">
        <v>5437143</v>
      </c>
      <c r="M78" s="110">
        <v>5698125</v>
      </c>
      <c r="N78" s="128"/>
    </row>
    <row r="79" spans="1:14" ht="12.75" customHeight="1" x14ac:dyDescent="0.25">
      <c r="A79" s="589" t="s">
        <v>1624</v>
      </c>
      <c r="B79" s="73"/>
      <c r="C79" s="130">
        <v>0</v>
      </c>
      <c r="D79" s="109">
        <v>0</v>
      </c>
      <c r="E79" s="109">
        <v>0</v>
      </c>
      <c r="F79" s="109">
        <v>0</v>
      </c>
      <c r="G79" s="109">
        <v>0</v>
      </c>
      <c r="H79" s="109">
        <v>0</v>
      </c>
      <c r="I79" s="109">
        <v>0</v>
      </c>
      <c r="J79" s="75">
        <f t="shared" si="12"/>
        <v>0</v>
      </c>
      <c r="K79" s="75">
        <f t="shared" si="13"/>
        <v>0</v>
      </c>
      <c r="L79" s="109">
        <v>0</v>
      </c>
      <c r="M79" s="110">
        <v>0</v>
      </c>
      <c r="N79" s="128"/>
    </row>
    <row r="80" spans="1:14" ht="12.75" customHeight="1" x14ac:dyDescent="0.25">
      <c r="A80" s="589" t="s">
        <v>1625</v>
      </c>
      <c r="B80" s="73"/>
      <c r="C80" s="130">
        <v>0</v>
      </c>
      <c r="D80" s="109">
        <v>0</v>
      </c>
      <c r="E80" s="109">
        <v>0</v>
      </c>
      <c r="F80" s="109">
        <v>0</v>
      </c>
      <c r="G80" s="109">
        <v>0</v>
      </c>
      <c r="H80" s="109">
        <v>0</v>
      </c>
      <c r="I80" s="109">
        <v>0</v>
      </c>
      <c r="J80" s="75">
        <f t="shared" si="12"/>
        <v>0</v>
      </c>
      <c r="K80" s="75">
        <f t="shared" si="13"/>
        <v>0</v>
      </c>
      <c r="L80" s="109">
        <v>0</v>
      </c>
      <c r="M80" s="110">
        <v>0</v>
      </c>
      <c r="N80" s="128"/>
    </row>
    <row r="81" spans="1:14" ht="12.75" customHeight="1" x14ac:dyDescent="0.25">
      <c r="A81" s="589" t="s">
        <v>1626</v>
      </c>
      <c r="B81" s="73"/>
      <c r="C81" s="130">
        <v>0</v>
      </c>
      <c r="D81" s="109">
        <v>0</v>
      </c>
      <c r="E81" s="109">
        <v>0</v>
      </c>
      <c r="F81" s="109">
        <v>0</v>
      </c>
      <c r="G81" s="109">
        <v>0</v>
      </c>
      <c r="H81" s="109">
        <v>0</v>
      </c>
      <c r="I81" s="109">
        <v>0</v>
      </c>
      <c r="J81" s="75">
        <f t="shared" si="12"/>
        <v>0</v>
      </c>
      <c r="K81" s="75">
        <f t="shared" si="13"/>
        <v>0</v>
      </c>
      <c r="L81" s="109">
        <v>0</v>
      </c>
      <c r="M81" s="110">
        <v>0</v>
      </c>
      <c r="N81" s="128"/>
    </row>
    <row r="82" spans="1:14" ht="12.75" customHeight="1" x14ac:dyDescent="0.25">
      <c r="A82" s="589" t="s">
        <v>1627</v>
      </c>
      <c r="B82" s="73"/>
      <c r="C82" s="130">
        <v>0</v>
      </c>
      <c r="D82" s="109">
        <v>0</v>
      </c>
      <c r="E82" s="109">
        <v>0</v>
      </c>
      <c r="F82" s="109">
        <v>0</v>
      </c>
      <c r="G82" s="109">
        <v>0</v>
      </c>
      <c r="H82" s="109">
        <v>0</v>
      </c>
      <c r="I82" s="109">
        <v>0</v>
      </c>
      <c r="J82" s="75">
        <f t="shared" si="12"/>
        <v>0</v>
      </c>
      <c r="K82" s="75">
        <f t="shared" si="13"/>
        <v>0</v>
      </c>
      <c r="L82" s="109">
        <v>0</v>
      </c>
      <c r="M82" s="110">
        <v>0</v>
      </c>
      <c r="N82" s="128"/>
    </row>
    <row r="83" spans="1:14" ht="12.75" customHeight="1" x14ac:dyDescent="0.25">
      <c r="A83" s="589" t="s">
        <v>1628</v>
      </c>
      <c r="B83" s="73"/>
      <c r="C83" s="130">
        <v>0</v>
      </c>
      <c r="D83" s="109">
        <v>0</v>
      </c>
      <c r="E83" s="109">
        <v>0</v>
      </c>
      <c r="F83" s="109">
        <v>0</v>
      </c>
      <c r="G83" s="109">
        <v>0</v>
      </c>
      <c r="H83" s="109">
        <v>0</v>
      </c>
      <c r="I83" s="109">
        <v>0</v>
      </c>
      <c r="J83" s="75">
        <f t="shared" si="12"/>
        <v>0</v>
      </c>
      <c r="K83" s="75">
        <f t="shared" si="13"/>
        <v>0</v>
      </c>
      <c r="L83" s="109">
        <v>0</v>
      </c>
      <c r="M83" s="110">
        <v>0</v>
      </c>
      <c r="N83" s="128"/>
    </row>
    <row r="84" spans="1:14" ht="12.75" customHeight="1" x14ac:dyDescent="0.25">
      <c r="A84" s="589" t="s">
        <v>1629</v>
      </c>
      <c r="B84" s="73"/>
      <c r="C84" s="130">
        <v>0</v>
      </c>
      <c r="D84" s="109">
        <v>0</v>
      </c>
      <c r="E84" s="109">
        <v>0</v>
      </c>
      <c r="F84" s="109">
        <v>0</v>
      </c>
      <c r="G84" s="109">
        <v>0</v>
      </c>
      <c r="H84" s="109">
        <v>0</v>
      </c>
      <c r="I84" s="109">
        <v>22002</v>
      </c>
      <c r="J84" s="75">
        <f t="shared" si="12"/>
        <v>22002</v>
      </c>
      <c r="K84" s="75">
        <f t="shared" si="13"/>
        <v>22002</v>
      </c>
      <c r="L84" s="109">
        <v>0</v>
      </c>
      <c r="M84" s="110">
        <v>0</v>
      </c>
      <c r="N84" s="128"/>
    </row>
    <row r="85" spans="1:14" ht="12.75" customHeight="1" x14ac:dyDescent="0.25">
      <c r="A85" s="589" t="s">
        <v>1630</v>
      </c>
      <c r="B85" s="73"/>
      <c r="C85" s="130">
        <v>0</v>
      </c>
      <c r="D85" s="109">
        <v>0</v>
      </c>
      <c r="E85" s="109">
        <v>0</v>
      </c>
      <c r="F85" s="109">
        <v>0</v>
      </c>
      <c r="G85" s="109">
        <v>0</v>
      </c>
      <c r="H85" s="109">
        <v>0</v>
      </c>
      <c r="I85" s="109">
        <v>0</v>
      </c>
      <c r="J85" s="75">
        <f t="shared" si="12"/>
        <v>0</v>
      </c>
      <c r="K85" s="75">
        <f t="shared" si="13"/>
        <v>0</v>
      </c>
      <c r="L85" s="109">
        <v>0</v>
      </c>
      <c r="M85" s="110">
        <v>0</v>
      </c>
      <c r="N85" s="128"/>
    </row>
    <row r="86" spans="1:14" ht="12.75" customHeight="1" x14ac:dyDescent="0.25">
      <c r="A86" s="589" t="s">
        <v>1512</v>
      </c>
      <c r="B86" s="73"/>
      <c r="C86" s="130">
        <v>0</v>
      </c>
      <c r="D86" s="109">
        <v>0</v>
      </c>
      <c r="E86" s="109">
        <v>0</v>
      </c>
      <c r="F86" s="109">
        <v>0</v>
      </c>
      <c r="G86" s="109">
        <v>0</v>
      </c>
      <c r="H86" s="109">
        <v>0</v>
      </c>
      <c r="I86" s="109">
        <v>0</v>
      </c>
      <c r="J86" s="75">
        <f t="shared" si="12"/>
        <v>0</v>
      </c>
      <c r="K86" s="75">
        <f t="shared" si="13"/>
        <v>0</v>
      </c>
      <c r="L86" s="109">
        <v>0</v>
      </c>
      <c r="M86" s="110">
        <v>0</v>
      </c>
      <c r="N86" s="128"/>
    </row>
    <row r="87" spans="1:14" ht="12.75" customHeight="1" x14ac:dyDescent="0.25">
      <c r="A87" s="589" t="s">
        <v>492</v>
      </c>
      <c r="B87" s="73"/>
      <c r="C87" s="130">
        <v>0</v>
      </c>
      <c r="D87" s="109">
        <v>0</v>
      </c>
      <c r="E87" s="109">
        <v>0</v>
      </c>
      <c r="F87" s="109">
        <v>0</v>
      </c>
      <c r="G87" s="109">
        <v>0</v>
      </c>
      <c r="H87" s="109">
        <v>0</v>
      </c>
      <c r="I87" s="109">
        <v>0</v>
      </c>
      <c r="J87" s="75">
        <f t="shared" si="12"/>
        <v>0</v>
      </c>
      <c r="K87" s="75">
        <f t="shared" si="13"/>
        <v>0</v>
      </c>
      <c r="L87" s="109">
        <v>0</v>
      </c>
      <c r="M87" s="110">
        <v>0</v>
      </c>
      <c r="N87" s="128"/>
    </row>
    <row r="88" spans="1:14" ht="12.75" customHeight="1" x14ac:dyDescent="0.25">
      <c r="A88" s="589" t="s">
        <v>1631</v>
      </c>
      <c r="B88" s="73"/>
      <c r="C88" s="130">
        <v>0</v>
      </c>
      <c r="D88" s="109">
        <v>0</v>
      </c>
      <c r="E88" s="109">
        <v>0</v>
      </c>
      <c r="F88" s="109">
        <v>0</v>
      </c>
      <c r="G88" s="109">
        <v>0</v>
      </c>
      <c r="H88" s="109">
        <v>0</v>
      </c>
      <c r="I88" s="109">
        <v>0</v>
      </c>
      <c r="J88" s="75">
        <f t="shared" si="12"/>
        <v>0</v>
      </c>
      <c r="K88" s="75">
        <f t="shared" si="13"/>
        <v>0</v>
      </c>
      <c r="L88" s="109">
        <v>0</v>
      </c>
      <c r="M88" s="110">
        <v>0</v>
      </c>
      <c r="N88" s="128"/>
    </row>
    <row r="89" spans="1:14" ht="12.75" customHeight="1" x14ac:dyDescent="0.25">
      <c r="A89" s="589" t="s">
        <v>1632</v>
      </c>
      <c r="B89" s="73"/>
      <c r="C89" s="130">
        <v>0</v>
      </c>
      <c r="D89" s="109">
        <v>0</v>
      </c>
      <c r="E89" s="109">
        <v>0</v>
      </c>
      <c r="F89" s="109">
        <v>0</v>
      </c>
      <c r="G89" s="109">
        <v>0</v>
      </c>
      <c r="H89" s="109">
        <v>0</v>
      </c>
      <c r="I89" s="109">
        <v>0</v>
      </c>
      <c r="J89" s="75">
        <f t="shared" si="12"/>
        <v>0</v>
      </c>
      <c r="K89" s="75">
        <f t="shared" si="13"/>
        <v>0</v>
      </c>
      <c r="L89" s="109">
        <v>0</v>
      </c>
      <c r="M89" s="110">
        <v>0</v>
      </c>
      <c r="N89" s="128"/>
    </row>
    <row r="90" spans="1:14" ht="12.75" customHeight="1" x14ac:dyDescent="0.25">
      <c r="A90" s="589" t="s">
        <v>1633</v>
      </c>
      <c r="B90" s="73"/>
      <c r="C90" s="130">
        <v>0</v>
      </c>
      <c r="D90" s="109">
        <v>0</v>
      </c>
      <c r="E90" s="109">
        <v>0</v>
      </c>
      <c r="F90" s="109">
        <v>0</v>
      </c>
      <c r="G90" s="109">
        <v>0</v>
      </c>
      <c r="H90" s="109">
        <v>0</v>
      </c>
      <c r="I90" s="109">
        <v>2400000</v>
      </c>
      <c r="J90" s="75">
        <f t="shared" si="12"/>
        <v>2400000</v>
      </c>
      <c r="K90" s="75">
        <f t="shared" si="13"/>
        <v>2400000</v>
      </c>
      <c r="L90" s="109">
        <v>0</v>
      </c>
      <c r="M90" s="110">
        <v>0</v>
      </c>
      <c r="N90" s="128"/>
    </row>
    <row r="91" spans="1:14" ht="12.75" customHeight="1" x14ac:dyDescent="0.25">
      <c r="A91" s="589" t="s">
        <v>1634</v>
      </c>
      <c r="B91" s="73"/>
      <c r="C91" s="130">
        <v>0</v>
      </c>
      <c r="D91" s="109">
        <v>0</v>
      </c>
      <c r="E91" s="109">
        <v>0</v>
      </c>
      <c r="F91" s="109">
        <v>0</v>
      </c>
      <c r="G91" s="109">
        <v>0</v>
      </c>
      <c r="H91" s="109">
        <v>0</v>
      </c>
      <c r="I91" s="109">
        <v>0</v>
      </c>
      <c r="J91" s="75">
        <f t="shared" si="12"/>
        <v>0</v>
      </c>
      <c r="K91" s="75">
        <f t="shared" si="13"/>
        <v>0</v>
      </c>
      <c r="L91" s="109">
        <v>0</v>
      </c>
      <c r="M91" s="110">
        <v>0</v>
      </c>
      <c r="N91" s="128"/>
    </row>
    <row r="92" spans="1:14" ht="12.75" customHeight="1" x14ac:dyDescent="0.25">
      <c r="A92" s="589" t="s">
        <v>1635</v>
      </c>
      <c r="B92" s="73"/>
      <c r="C92" s="130">
        <v>0</v>
      </c>
      <c r="D92" s="109">
        <v>0</v>
      </c>
      <c r="E92" s="109">
        <v>0</v>
      </c>
      <c r="F92" s="109">
        <v>0</v>
      </c>
      <c r="G92" s="109">
        <v>0</v>
      </c>
      <c r="H92" s="109">
        <v>0</v>
      </c>
      <c r="I92" s="109">
        <v>7096</v>
      </c>
      <c r="J92" s="75">
        <f t="shared" si="12"/>
        <v>7096</v>
      </c>
      <c r="K92" s="75">
        <f t="shared" si="13"/>
        <v>7096</v>
      </c>
      <c r="L92" s="109">
        <v>0</v>
      </c>
      <c r="M92" s="110">
        <v>0</v>
      </c>
      <c r="N92" s="128"/>
    </row>
    <row r="93" spans="1:14" ht="12.75" customHeight="1" x14ac:dyDescent="0.25">
      <c r="A93" s="589" t="s">
        <v>1636</v>
      </c>
      <c r="B93" s="73"/>
      <c r="C93" s="130">
        <v>0</v>
      </c>
      <c r="D93" s="109">
        <v>0</v>
      </c>
      <c r="E93" s="109">
        <v>0</v>
      </c>
      <c r="F93" s="109">
        <v>0</v>
      </c>
      <c r="G93" s="109">
        <v>0</v>
      </c>
      <c r="H93" s="109">
        <v>0</v>
      </c>
      <c r="I93" s="109">
        <v>0</v>
      </c>
      <c r="J93" s="75">
        <f t="shared" si="12"/>
        <v>0</v>
      </c>
      <c r="K93" s="75">
        <f t="shared" si="13"/>
        <v>0</v>
      </c>
      <c r="L93" s="109">
        <v>0</v>
      </c>
      <c r="M93" s="110">
        <v>0</v>
      </c>
      <c r="N93" s="128"/>
    </row>
    <row r="94" spans="1:14" ht="12.75" customHeight="1" x14ac:dyDescent="0.25">
      <c r="A94" s="589" t="s">
        <v>508</v>
      </c>
      <c r="B94" s="73"/>
      <c r="C94" s="130">
        <v>0</v>
      </c>
      <c r="D94" s="109">
        <v>0</v>
      </c>
      <c r="E94" s="109">
        <v>0</v>
      </c>
      <c r="F94" s="109">
        <v>0</v>
      </c>
      <c r="G94" s="109">
        <v>0</v>
      </c>
      <c r="H94" s="109">
        <v>0</v>
      </c>
      <c r="I94" s="109">
        <v>0</v>
      </c>
      <c r="J94" s="75">
        <f t="shared" si="12"/>
        <v>0</v>
      </c>
      <c r="K94" s="75">
        <f t="shared" si="13"/>
        <v>0</v>
      </c>
      <c r="L94" s="109">
        <v>0</v>
      </c>
      <c r="M94" s="110">
        <v>0</v>
      </c>
      <c r="N94" s="128"/>
    </row>
    <row r="95" spans="1:14" ht="12.75" customHeight="1" x14ac:dyDescent="0.25">
      <c r="A95" s="589" t="s">
        <v>1637</v>
      </c>
      <c r="B95" s="73"/>
      <c r="C95" s="130">
        <v>0</v>
      </c>
      <c r="D95" s="109">
        <v>0</v>
      </c>
      <c r="E95" s="109">
        <v>0</v>
      </c>
      <c r="F95" s="109">
        <v>0</v>
      </c>
      <c r="G95" s="109">
        <v>0</v>
      </c>
      <c r="H95" s="109">
        <v>0</v>
      </c>
      <c r="I95" s="109">
        <v>0</v>
      </c>
      <c r="J95" s="75">
        <f t="shared" si="12"/>
        <v>0</v>
      </c>
      <c r="K95" s="75">
        <f t="shared" si="13"/>
        <v>0</v>
      </c>
      <c r="L95" s="109">
        <v>0</v>
      </c>
      <c r="M95" s="110">
        <v>0</v>
      </c>
      <c r="N95" s="128"/>
    </row>
    <row r="96" spans="1:14" ht="12.75" customHeight="1" x14ac:dyDescent="0.25">
      <c r="A96" s="589" t="s">
        <v>507</v>
      </c>
      <c r="B96" s="73"/>
      <c r="C96" s="130">
        <v>0</v>
      </c>
      <c r="D96" s="109">
        <v>0</v>
      </c>
      <c r="E96" s="109">
        <v>0</v>
      </c>
      <c r="F96" s="109">
        <v>0</v>
      </c>
      <c r="G96" s="109">
        <v>0</v>
      </c>
      <c r="H96" s="109">
        <v>0</v>
      </c>
      <c r="I96" s="109">
        <v>0</v>
      </c>
      <c r="J96" s="75">
        <f t="shared" si="12"/>
        <v>0</v>
      </c>
      <c r="K96" s="75">
        <f t="shared" si="13"/>
        <v>0</v>
      </c>
      <c r="L96" s="109">
        <v>0</v>
      </c>
      <c r="M96" s="110">
        <v>0</v>
      </c>
      <c r="N96" s="844"/>
    </row>
    <row r="97" spans="1:14" ht="12.75" customHeight="1" x14ac:dyDescent="0.25">
      <c r="A97" s="589" t="s">
        <v>1638</v>
      </c>
      <c r="B97" s="73"/>
      <c r="C97" s="130">
        <v>0</v>
      </c>
      <c r="D97" s="109">
        <v>0</v>
      </c>
      <c r="E97" s="109">
        <v>0</v>
      </c>
      <c r="F97" s="109">
        <v>0</v>
      </c>
      <c r="G97" s="109">
        <v>0</v>
      </c>
      <c r="H97" s="109">
        <v>0</v>
      </c>
      <c r="I97" s="109">
        <v>0</v>
      </c>
      <c r="J97" s="75">
        <f t="shared" si="12"/>
        <v>0</v>
      </c>
      <c r="K97" s="75">
        <f t="shared" si="13"/>
        <v>0</v>
      </c>
      <c r="L97" s="109">
        <v>0</v>
      </c>
      <c r="M97" s="110">
        <v>0</v>
      </c>
      <c r="N97" s="128"/>
    </row>
    <row r="98" spans="1:14" ht="12.75" customHeight="1" x14ac:dyDescent="0.25">
      <c r="A98" s="589" t="s">
        <v>1639</v>
      </c>
      <c r="B98" s="73"/>
      <c r="C98" s="130">
        <v>0</v>
      </c>
      <c r="D98" s="109">
        <v>0</v>
      </c>
      <c r="E98" s="109">
        <v>0</v>
      </c>
      <c r="F98" s="109">
        <v>0</v>
      </c>
      <c r="G98" s="109">
        <v>0</v>
      </c>
      <c r="H98" s="109">
        <v>0</v>
      </c>
      <c r="I98" s="109">
        <v>0</v>
      </c>
      <c r="J98" s="75">
        <f t="shared" si="12"/>
        <v>0</v>
      </c>
      <c r="K98" s="75">
        <f t="shared" si="13"/>
        <v>0</v>
      </c>
      <c r="L98" s="109">
        <v>0</v>
      </c>
      <c r="M98" s="110">
        <v>0</v>
      </c>
      <c r="N98" s="128"/>
    </row>
    <row r="99" spans="1:14" ht="12.75" customHeight="1" x14ac:dyDescent="0.25">
      <c r="A99" s="589" t="s">
        <v>1572</v>
      </c>
      <c r="B99" s="73"/>
      <c r="C99" s="130">
        <v>0</v>
      </c>
      <c r="D99" s="109">
        <v>0</v>
      </c>
      <c r="E99" s="109">
        <v>0</v>
      </c>
      <c r="F99" s="109">
        <v>0</v>
      </c>
      <c r="G99" s="109">
        <v>0</v>
      </c>
      <c r="H99" s="109">
        <v>0</v>
      </c>
      <c r="I99" s="109">
        <v>6559016</v>
      </c>
      <c r="J99" s="75">
        <f t="shared" si="12"/>
        <v>6559016</v>
      </c>
      <c r="K99" s="75">
        <f t="shared" si="13"/>
        <v>6559016</v>
      </c>
      <c r="L99" s="109">
        <v>0</v>
      </c>
      <c r="M99" s="110">
        <v>0</v>
      </c>
      <c r="N99" s="128"/>
    </row>
    <row r="100" spans="1:14" ht="10.15" customHeight="1" x14ac:dyDescent="0.25">
      <c r="A100" s="588" t="s">
        <v>1640</v>
      </c>
      <c r="B100" s="73"/>
      <c r="C100" s="140">
        <f>SUM(C101:C103)</f>
        <v>32534319</v>
      </c>
      <c r="D100" s="141">
        <f t="shared" ref="D100:M100" si="16">SUM(D101:D103)</f>
        <v>32534319</v>
      </c>
      <c r="E100" s="141">
        <f t="shared" si="16"/>
        <v>0</v>
      </c>
      <c r="F100" s="141">
        <f t="shared" si="16"/>
        <v>0</v>
      </c>
      <c r="G100" s="141">
        <f t="shared" si="16"/>
        <v>0</v>
      </c>
      <c r="H100" s="141">
        <f t="shared" si="16"/>
        <v>0</v>
      </c>
      <c r="I100" s="141">
        <f t="shared" si="16"/>
        <v>1427900</v>
      </c>
      <c r="J100" s="141">
        <f t="shared" si="12"/>
        <v>1427900</v>
      </c>
      <c r="K100" s="141">
        <f t="shared" si="13"/>
        <v>33962219</v>
      </c>
      <c r="L100" s="141">
        <f t="shared" si="16"/>
        <v>34375556</v>
      </c>
      <c r="M100" s="142">
        <f t="shared" si="16"/>
        <v>36321380</v>
      </c>
      <c r="N100" s="128"/>
    </row>
    <row r="101" spans="1:14" ht="12.75" customHeight="1" x14ac:dyDescent="0.25">
      <c r="A101" s="589" t="s">
        <v>1641</v>
      </c>
      <c r="B101" s="73"/>
      <c r="C101" s="130">
        <v>0</v>
      </c>
      <c r="D101" s="109">
        <v>0</v>
      </c>
      <c r="E101" s="109">
        <v>0</v>
      </c>
      <c r="F101" s="109">
        <v>0</v>
      </c>
      <c r="G101" s="109">
        <v>0</v>
      </c>
      <c r="H101" s="109">
        <v>0</v>
      </c>
      <c r="I101" s="109">
        <v>0</v>
      </c>
      <c r="J101" s="75">
        <f t="shared" si="12"/>
        <v>0</v>
      </c>
      <c r="K101" s="75">
        <f t="shared" si="13"/>
        <v>0</v>
      </c>
      <c r="L101" s="109">
        <v>0</v>
      </c>
      <c r="M101" s="110">
        <v>0</v>
      </c>
      <c r="N101" s="128"/>
    </row>
    <row r="102" spans="1:14" ht="12.75" customHeight="1" x14ac:dyDescent="0.25">
      <c r="A102" s="589" t="s">
        <v>1642</v>
      </c>
      <c r="B102" s="73"/>
      <c r="C102" s="130">
        <v>32534319</v>
      </c>
      <c r="D102" s="109">
        <v>32534319</v>
      </c>
      <c r="E102" s="109">
        <v>0</v>
      </c>
      <c r="F102" s="109">
        <v>0</v>
      </c>
      <c r="G102" s="109">
        <v>0</v>
      </c>
      <c r="H102" s="109">
        <v>0</v>
      </c>
      <c r="I102" s="109">
        <v>1427900</v>
      </c>
      <c r="J102" s="75">
        <f t="shared" si="12"/>
        <v>1427900</v>
      </c>
      <c r="K102" s="75">
        <f t="shared" si="13"/>
        <v>33962219</v>
      </c>
      <c r="L102" s="109">
        <v>34375556</v>
      </c>
      <c r="M102" s="110">
        <v>36321380</v>
      </c>
      <c r="N102" s="128"/>
    </row>
    <row r="103" spans="1:14" ht="12.75" customHeight="1" x14ac:dyDescent="0.25">
      <c r="A103" s="589" t="s">
        <v>1572</v>
      </c>
      <c r="B103" s="73"/>
      <c r="C103" s="130">
        <v>0</v>
      </c>
      <c r="D103" s="109">
        <v>0</v>
      </c>
      <c r="E103" s="109">
        <v>0</v>
      </c>
      <c r="F103" s="109">
        <v>0</v>
      </c>
      <c r="G103" s="109">
        <v>0</v>
      </c>
      <c r="H103" s="109">
        <v>0</v>
      </c>
      <c r="I103" s="109">
        <v>0</v>
      </c>
      <c r="J103" s="75">
        <f t="shared" si="12"/>
        <v>0</v>
      </c>
      <c r="K103" s="75">
        <f t="shared" si="13"/>
        <v>0</v>
      </c>
      <c r="L103" s="109">
        <v>0</v>
      </c>
      <c r="M103" s="110">
        <v>0</v>
      </c>
      <c r="N103" s="128"/>
    </row>
    <row r="104" spans="1:14" ht="5.0999999999999996" customHeight="1" x14ac:dyDescent="0.25">
      <c r="A104" s="136"/>
      <c r="B104" s="73"/>
      <c r="C104" s="127"/>
      <c r="D104" s="171"/>
      <c r="E104" s="171"/>
      <c r="F104" s="171"/>
      <c r="G104" s="171"/>
      <c r="H104" s="171"/>
      <c r="I104" s="171"/>
      <c r="J104" s="75"/>
      <c r="K104" s="75"/>
      <c r="L104" s="75"/>
      <c r="M104" s="76"/>
      <c r="N104" s="128"/>
    </row>
    <row r="105" spans="1:14" ht="12.75" customHeight="1" x14ac:dyDescent="0.25">
      <c r="A105" s="486" t="s">
        <v>765</v>
      </c>
      <c r="B105" s="73"/>
      <c r="C105" s="236">
        <f t="shared" ref="C105:M105" si="17">SUM(C106:C110)</f>
        <v>0</v>
      </c>
      <c r="D105" s="237">
        <f t="shared" si="17"/>
        <v>0</v>
      </c>
      <c r="E105" s="237">
        <f t="shared" si="17"/>
        <v>0</v>
      </c>
      <c r="F105" s="237">
        <f t="shared" si="17"/>
        <v>0</v>
      </c>
      <c r="G105" s="237">
        <f t="shared" si="17"/>
        <v>0</v>
      </c>
      <c r="H105" s="237">
        <f t="shared" si="17"/>
        <v>0</v>
      </c>
      <c r="I105" s="237">
        <f t="shared" si="17"/>
        <v>0</v>
      </c>
      <c r="J105" s="237">
        <f t="shared" si="12"/>
        <v>0</v>
      </c>
      <c r="K105" s="237">
        <f t="shared" si="13"/>
        <v>0</v>
      </c>
      <c r="L105" s="237">
        <f t="shared" si="17"/>
        <v>0</v>
      </c>
      <c r="M105" s="238">
        <f t="shared" si="17"/>
        <v>0</v>
      </c>
      <c r="N105" s="128"/>
    </row>
    <row r="106" spans="1:14" ht="12.75" customHeight="1" x14ac:dyDescent="0.25">
      <c r="A106" s="588" t="s">
        <v>1643</v>
      </c>
      <c r="B106" s="73"/>
      <c r="C106" s="130">
        <v>0</v>
      </c>
      <c r="D106" s="109">
        <v>0</v>
      </c>
      <c r="E106" s="109">
        <v>0</v>
      </c>
      <c r="F106" s="109">
        <v>0</v>
      </c>
      <c r="G106" s="109">
        <v>0</v>
      </c>
      <c r="H106" s="109">
        <v>0</v>
      </c>
      <c r="I106" s="109">
        <v>0</v>
      </c>
      <c r="J106" s="75">
        <f t="shared" si="12"/>
        <v>0</v>
      </c>
      <c r="K106" s="75">
        <f t="shared" si="13"/>
        <v>0</v>
      </c>
      <c r="L106" s="109">
        <v>0</v>
      </c>
      <c r="M106" s="110">
        <v>0</v>
      </c>
      <c r="N106" s="128"/>
    </row>
    <row r="107" spans="1:14" ht="12.75" customHeight="1" x14ac:dyDescent="0.25">
      <c r="A107" s="590" t="s">
        <v>1644</v>
      </c>
      <c r="B107" s="73"/>
      <c r="C107" s="130">
        <v>0</v>
      </c>
      <c r="D107" s="109">
        <v>0</v>
      </c>
      <c r="E107" s="109">
        <v>0</v>
      </c>
      <c r="F107" s="109">
        <v>0</v>
      </c>
      <c r="G107" s="109">
        <v>0</v>
      </c>
      <c r="H107" s="109">
        <v>0</v>
      </c>
      <c r="I107" s="109">
        <v>0</v>
      </c>
      <c r="J107" s="75">
        <f t="shared" si="12"/>
        <v>0</v>
      </c>
      <c r="K107" s="75">
        <f t="shared" si="13"/>
        <v>0</v>
      </c>
      <c r="L107" s="109">
        <v>0</v>
      </c>
      <c r="M107" s="110">
        <v>0</v>
      </c>
      <c r="N107" s="128"/>
    </row>
    <row r="108" spans="1:14" ht="12.75" customHeight="1" x14ac:dyDescent="0.25">
      <c r="A108" s="588" t="s">
        <v>1645</v>
      </c>
      <c r="B108" s="73"/>
      <c r="C108" s="130">
        <v>0</v>
      </c>
      <c r="D108" s="109">
        <v>0</v>
      </c>
      <c r="E108" s="109">
        <v>0</v>
      </c>
      <c r="F108" s="109">
        <v>0</v>
      </c>
      <c r="G108" s="109">
        <v>0</v>
      </c>
      <c r="H108" s="109">
        <v>0</v>
      </c>
      <c r="I108" s="109">
        <v>0</v>
      </c>
      <c r="J108" s="75">
        <f t="shared" si="12"/>
        <v>0</v>
      </c>
      <c r="K108" s="75">
        <f t="shared" si="13"/>
        <v>0</v>
      </c>
      <c r="L108" s="109">
        <v>0</v>
      </c>
      <c r="M108" s="110">
        <v>0</v>
      </c>
      <c r="N108" s="128"/>
    </row>
    <row r="109" spans="1:14" ht="12.75" customHeight="1" x14ac:dyDescent="0.25">
      <c r="A109" s="588" t="s">
        <v>1646</v>
      </c>
      <c r="B109" s="73"/>
      <c r="C109" s="130">
        <v>0</v>
      </c>
      <c r="D109" s="109">
        <v>0</v>
      </c>
      <c r="E109" s="109">
        <v>0</v>
      </c>
      <c r="F109" s="109">
        <v>0</v>
      </c>
      <c r="G109" s="109">
        <v>0</v>
      </c>
      <c r="H109" s="109">
        <v>0</v>
      </c>
      <c r="I109" s="109">
        <v>0</v>
      </c>
      <c r="J109" s="75">
        <f t="shared" si="12"/>
        <v>0</v>
      </c>
      <c r="K109" s="75">
        <f t="shared" si="13"/>
        <v>0</v>
      </c>
      <c r="L109" s="109">
        <v>0</v>
      </c>
      <c r="M109" s="110">
        <v>0</v>
      </c>
      <c r="N109" s="128"/>
    </row>
    <row r="110" spans="1:14" ht="12.75" customHeight="1" x14ac:dyDescent="0.25">
      <c r="A110" s="590" t="s">
        <v>1647</v>
      </c>
      <c r="B110" s="73"/>
      <c r="C110" s="130">
        <v>0</v>
      </c>
      <c r="D110" s="109">
        <v>0</v>
      </c>
      <c r="E110" s="109">
        <v>0</v>
      </c>
      <c r="F110" s="109">
        <v>0</v>
      </c>
      <c r="G110" s="109">
        <v>0</v>
      </c>
      <c r="H110" s="109">
        <v>0</v>
      </c>
      <c r="I110" s="109">
        <v>0</v>
      </c>
      <c r="J110" s="75">
        <f t="shared" si="12"/>
        <v>0</v>
      </c>
      <c r="K110" s="75">
        <f t="shared" si="13"/>
        <v>0</v>
      </c>
      <c r="L110" s="109">
        <v>0</v>
      </c>
      <c r="M110" s="110">
        <v>0</v>
      </c>
      <c r="N110" s="128"/>
    </row>
    <row r="111" spans="1:14" ht="5.0999999999999996" customHeight="1" x14ac:dyDescent="0.25">
      <c r="A111" s="1226"/>
      <c r="B111" s="73"/>
      <c r="C111" s="74"/>
      <c r="D111" s="75"/>
      <c r="E111" s="75"/>
      <c r="F111" s="75"/>
      <c r="G111" s="75"/>
      <c r="H111" s="75"/>
      <c r="I111" s="75"/>
      <c r="J111" s="75"/>
      <c r="K111" s="75"/>
      <c r="L111" s="75"/>
      <c r="M111" s="76"/>
      <c r="N111" s="128"/>
    </row>
    <row r="112" spans="1:14" ht="12.75" customHeight="1" x14ac:dyDescent="0.25">
      <c r="A112" s="1227" t="s">
        <v>766</v>
      </c>
      <c r="B112" s="73"/>
      <c r="C112" s="236">
        <f>+C113+C116</f>
        <v>0</v>
      </c>
      <c r="D112" s="237">
        <f t="shared" ref="D112:I112" si="18">+D113+D116</f>
        <v>0</v>
      </c>
      <c r="E112" s="237">
        <f t="shared" si="18"/>
        <v>0</v>
      </c>
      <c r="F112" s="237">
        <f t="shared" si="18"/>
        <v>0</v>
      </c>
      <c r="G112" s="237">
        <f t="shared" si="18"/>
        <v>0</v>
      </c>
      <c r="H112" s="237">
        <f t="shared" si="18"/>
        <v>0</v>
      </c>
      <c r="I112" s="237">
        <f t="shared" si="18"/>
        <v>0</v>
      </c>
      <c r="J112" s="237">
        <f t="shared" si="12"/>
        <v>0</v>
      </c>
      <c r="K112" s="237">
        <f t="shared" si="13"/>
        <v>0</v>
      </c>
      <c r="L112" s="237">
        <f>+L113+L116</f>
        <v>0</v>
      </c>
      <c r="M112" s="238">
        <f>+M113+M116</f>
        <v>0</v>
      </c>
      <c r="N112" s="128"/>
    </row>
    <row r="113" spans="1:14" ht="10.15" customHeight="1" x14ac:dyDescent="0.25">
      <c r="A113" s="588" t="s">
        <v>1648</v>
      </c>
      <c r="B113" s="73"/>
      <c r="C113" s="140">
        <f>SUM(C114:C115)</f>
        <v>0</v>
      </c>
      <c r="D113" s="141">
        <f>SUM(D114:D115)</f>
        <v>0</v>
      </c>
      <c r="E113" s="141">
        <f t="shared" ref="E113:M113" si="19">SUM(E114:E115)</f>
        <v>0</v>
      </c>
      <c r="F113" s="141">
        <f t="shared" si="19"/>
        <v>0</v>
      </c>
      <c r="G113" s="141">
        <f t="shared" si="19"/>
        <v>0</v>
      </c>
      <c r="H113" s="141">
        <f t="shared" si="19"/>
        <v>0</v>
      </c>
      <c r="I113" s="141">
        <f t="shared" si="19"/>
        <v>0</v>
      </c>
      <c r="J113" s="141">
        <f t="shared" si="12"/>
        <v>0</v>
      </c>
      <c r="K113" s="141">
        <f t="shared" si="13"/>
        <v>0</v>
      </c>
      <c r="L113" s="141">
        <f t="shared" si="19"/>
        <v>0</v>
      </c>
      <c r="M113" s="142">
        <f t="shared" si="19"/>
        <v>0</v>
      </c>
      <c r="N113" s="128"/>
    </row>
    <row r="114" spans="1:14" ht="12.75" customHeight="1" x14ac:dyDescent="0.25">
      <c r="A114" s="589" t="s">
        <v>1649</v>
      </c>
      <c r="B114" s="73"/>
      <c r="C114" s="130">
        <v>0</v>
      </c>
      <c r="D114" s="109">
        <v>0</v>
      </c>
      <c r="E114" s="109">
        <v>0</v>
      </c>
      <c r="F114" s="109">
        <v>0</v>
      </c>
      <c r="G114" s="109">
        <v>0</v>
      </c>
      <c r="H114" s="109">
        <v>0</v>
      </c>
      <c r="I114" s="109">
        <v>0</v>
      </c>
      <c r="J114" s="75">
        <f t="shared" si="12"/>
        <v>0</v>
      </c>
      <c r="K114" s="75">
        <f t="shared" si="13"/>
        <v>0</v>
      </c>
      <c r="L114" s="109">
        <v>0</v>
      </c>
      <c r="M114" s="110">
        <v>0</v>
      </c>
      <c r="N114" s="128"/>
    </row>
    <row r="115" spans="1:14" ht="12.75" customHeight="1" x14ac:dyDescent="0.25">
      <c r="A115" s="589" t="s">
        <v>1650</v>
      </c>
      <c r="B115" s="73"/>
      <c r="C115" s="130">
        <v>0</v>
      </c>
      <c r="D115" s="109">
        <v>0</v>
      </c>
      <c r="E115" s="109">
        <v>0</v>
      </c>
      <c r="F115" s="109">
        <v>0</v>
      </c>
      <c r="G115" s="109">
        <v>0</v>
      </c>
      <c r="H115" s="109">
        <v>0</v>
      </c>
      <c r="I115" s="109">
        <v>0</v>
      </c>
      <c r="J115" s="75">
        <f t="shared" si="12"/>
        <v>0</v>
      </c>
      <c r="K115" s="75">
        <f t="shared" si="13"/>
        <v>0</v>
      </c>
      <c r="L115" s="109">
        <v>0</v>
      </c>
      <c r="M115" s="110">
        <v>0</v>
      </c>
      <c r="N115" s="128"/>
    </row>
    <row r="116" spans="1:14" ht="10.15" customHeight="1" x14ac:dyDescent="0.25">
      <c r="A116" s="588" t="s">
        <v>1651</v>
      </c>
      <c r="B116" s="73"/>
      <c r="C116" s="140">
        <f>SUM(C117:C118)</f>
        <v>0</v>
      </c>
      <c r="D116" s="141">
        <f>SUM(D117:D118)</f>
        <v>0</v>
      </c>
      <c r="E116" s="141">
        <f t="shared" ref="E116:M116" si="20">SUM(E117:E118)</f>
        <v>0</v>
      </c>
      <c r="F116" s="141">
        <f t="shared" si="20"/>
        <v>0</v>
      </c>
      <c r="G116" s="141">
        <f t="shared" si="20"/>
        <v>0</v>
      </c>
      <c r="H116" s="141">
        <f t="shared" si="20"/>
        <v>0</v>
      </c>
      <c r="I116" s="141">
        <f t="shared" si="20"/>
        <v>0</v>
      </c>
      <c r="J116" s="141">
        <f t="shared" si="12"/>
        <v>0</v>
      </c>
      <c r="K116" s="141">
        <f t="shared" si="13"/>
        <v>0</v>
      </c>
      <c r="L116" s="141">
        <f t="shared" si="20"/>
        <v>0</v>
      </c>
      <c r="M116" s="142">
        <f t="shared" si="20"/>
        <v>0</v>
      </c>
      <c r="N116" s="128"/>
    </row>
    <row r="117" spans="1:14" ht="12.75" customHeight="1" x14ac:dyDescent="0.25">
      <c r="A117" s="589" t="s">
        <v>1649</v>
      </c>
      <c r="B117" s="73"/>
      <c r="C117" s="130">
        <v>0</v>
      </c>
      <c r="D117" s="109">
        <v>0</v>
      </c>
      <c r="E117" s="109">
        <v>0</v>
      </c>
      <c r="F117" s="109">
        <v>0</v>
      </c>
      <c r="G117" s="109">
        <v>0</v>
      </c>
      <c r="H117" s="109">
        <v>0</v>
      </c>
      <c r="I117" s="109">
        <v>0</v>
      </c>
      <c r="J117" s="75">
        <f t="shared" si="12"/>
        <v>0</v>
      </c>
      <c r="K117" s="75">
        <f t="shared" si="13"/>
        <v>0</v>
      </c>
      <c r="L117" s="109">
        <v>0</v>
      </c>
      <c r="M117" s="110">
        <v>0</v>
      </c>
      <c r="N117" s="128"/>
    </row>
    <row r="118" spans="1:14" ht="12.75" customHeight="1" x14ac:dyDescent="0.25">
      <c r="A118" s="589" t="s">
        <v>1650</v>
      </c>
      <c r="B118" s="73"/>
      <c r="C118" s="130">
        <v>0</v>
      </c>
      <c r="D118" s="109">
        <v>0</v>
      </c>
      <c r="E118" s="109">
        <v>0</v>
      </c>
      <c r="F118" s="109">
        <v>0</v>
      </c>
      <c r="G118" s="109">
        <v>0</v>
      </c>
      <c r="H118" s="109">
        <v>0</v>
      </c>
      <c r="I118" s="109">
        <v>0</v>
      </c>
      <c r="J118" s="75">
        <f t="shared" si="12"/>
        <v>0</v>
      </c>
      <c r="K118" s="75">
        <f t="shared" si="13"/>
        <v>0</v>
      </c>
      <c r="L118" s="109">
        <v>0</v>
      </c>
      <c r="M118" s="110">
        <v>0</v>
      </c>
      <c r="N118" s="128"/>
    </row>
    <row r="119" spans="1:14" ht="5.0999999999999996" customHeight="1" x14ac:dyDescent="0.25">
      <c r="A119" s="136"/>
      <c r="B119" s="73"/>
      <c r="C119" s="74"/>
      <c r="D119" s="75"/>
      <c r="E119" s="75"/>
      <c r="F119" s="75"/>
      <c r="G119" s="75"/>
      <c r="H119" s="75"/>
      <c r="I119" s="75"/>
      <c r="J119" s="75"/>
      <c r="K119" s="75"/>
      <c r="L119" s="75"/>
      <c r="M119" s="76"/>
      <c r="N119" s="128"/>
    </row>
    <row r="120" spans="1:14" ht="12.75" customHeight="1" x14ac:dyDescent="0.25">
      <c r="A120" s="1227" t="s">
        <v>767</v>
      </c>
      <c r="B120" s="73"/>
      <c r="C120" s="236">
        <f>+C121+C133</f>
        <v>58826095</v>
      </c>
      <c r="D120" s="237">
        <f t="shared" ref="D120:I120" si="21">+D121+D133</f>
        <v>58826095</v>
      </c>
      <c r="E120" s="237">
        <f t="shared" si="21"/>
        <v>0</v>
      </c>
      <c r="F120" s="237">
        <f t="shared" si="21"/>
        <v>0</v>
      </c>
      <c r="G120" s="237">
        <f t="shared" si="21"/>
        <v>0</v>
      </c>
      <c r="H120" s="237">
        <f t="shared" si="21"/>
        <v>0</v>
      </c>
      <c r="I120" s="237">
        <f t="shared" si="21"/>
        <v>15587803</v>
      </c>
      <c r="J120" s="237">
        <f t="shared" si="12"/>
        <v>15587803</v>
      </c>
      <c r="K120" s="237">
        <f t="shared" si="13"/>
        <v>74413898</v>
      </c>
      <c r="L120" s="237">
        <f>+L121+L133</f>
        <v>64913902</v>
      </c>
      <c r="M120" s="238">
        <f>+M121+M133</f>
        <v>58418801</v>
      </c>
      <c r="N120" s="128"/>
    </row>
    <row r="121" spans="1:14" ht="10.15" customHeight="1" x14ac:dyDescent="0.25">
      <c r="A121" s="588" t="s">
        <v>1652</v>
      </c>
      <c r="B121" s="73"/>
      <c r="C121" s="140">
        <f>SUM(C122:C132)</f>
        <v>58826095</v>
      </c>
      <c r="D121" s="141">
        <f t="shared" ref="D121:I121" si="22">SUM(D122:D132)</f>
        <v>58826095</v>
      </c>
      <c r="E121" s="141">
        <f t="shared" si="22"/>
        <v>0</v>
      </c>
      <c r="F121" s="141">
        <f t="shared" si="22"/>
        <v>0</v>
      </c>
      <c r="G121" s="141">
        <f t="shared" si="22"/>
        <v>0</v>
      </c>
      <c r="H121" s="141">
        <f t="shared" si="22"/>
        <v>0</v>
      </c>
      <c r="I121" s="141">
        <f t="shared" si="22"/>
        <v>15587803</v>
      </c>
      <c r="J121" s="141">
        <f t="shared" si="12"/>
        <v>15587803</v>
      </c>
      <c r="K121" s="141">
        <f t="shared" si="13"/>
        <v>74413898</v>
      </c>
      <c r="L121" s="141">
        <f>SUM(L122:L132)</f>
        <v>64913902</v>
      </c>
      <c r="M121" s="142">
        <f>SUM(M122:M132)</f>
        <v>58418801</v>
      </c>
      <c r="N121" s="128"/>
    </row>
    <row r="122" spans="1:14" ht="12.75" customHeight="1" x14ac:dyDescent="0.25">
      <c r="A122" s="589" t="s">
        <v>1653</v>
      </c>
      <c r="B122" s="73"/>
      <c r="C122" s="130">
        <v>58826095</v>
      </c>
      <c r="D122" s="109">
        <v>58826095</v>
      </c>
      <c r="E122" s="109">
        <v>0</v>
      </c>
      <c r="F122" s="109">
        <v>0</v>
      </c>
      <c r="G122" s="109">
        <v>0</v>
      </c>
      <c r="H122" s="109">
        <v>0</v>
      </c>
      <c r="I122" s="109">
        <v>15587803</v>
      </c>
      <c r="J122" s="75">
        <f t="shared" si="12"/>
        <v>15587803</v>
      </c>
      <c r="K122" s="75">
        <f t="shared" si="13"/>
        <v>74413898</v>
      </c>
      <c r="L122" s="109">
        <v>64913902</v>
      </c>
      <c r="M122" s="110">
        <v>58418801</v>
      </c>
      <c r="N122" s="128"/>
    </row>
    <row r="123" spans="1:14" ht="12.75" customHeight="1" x14ac:dyDescent="0.25">
      <c r="A123" s="589" t="s">
        <v>1654</v>
      </c>
      <c r="B123" s="137"/>
      <c r="C123" s="130">
        <v>0</v>
      </c>
      <c r="D123" s="109">
        <v>0</v>
      </c>
      <c r="E123" s="109">
        <v>0</v>
      </c>
      <c r="F123" s="109">
        <v>0</v>
      </c>
      <c r="G123" s="109">
        <v>0</v>
      </c>
      <c r="H123" s="109">
        <v>0</v>
      </c>
      <c r="I123" s="109">
        <v>0</v>
      </c>
      <c r="J123" s="75">
        <f t="shared" si="12"/>
        <v>0</v>
      </c>
      <c r="K123" s="75">
        <f t="shared" si="13"/>
        <v>0</v>
      </c>
      <c r="L123" s="109">
        <v>0</v>
      </c>
      <c r="M123" s="110">
        <v>0</v>
      </c>
      <c r="N123" s="128"/>
    </row>
    <row r="124" spans="1:14" ht="12.75" customHeight="1" x14ac:dyDescent="0.25">
      <c r="A124" s="589" t="s">
        <v>1655</v>
      </c>
      <c r="B124" s="73"/>
      <c r="C124" s="130">
        <v>0</v>
      </c>
      <c r="D124" s="109">
        <v>0</v>
      </c>
      <c r="E124" s="109">
        <v>0</v>
      </c>
      <c r="F124" s="109">
        <v>0</v>
      </c>
      <c r="G124" s="109">
        <v>0</v>
      </c>
      <c r="H124" s="109">
        <v>0</v>
      </c>
      <c r="I124" s="109">
        <v>0</v>
      </c>
      <c r="J124" s="75">
        <f t="shared" si="12"/>
        <v>0</v>
      </c>
      <c r="K124" s="75">
        <f t="shared" si="13"/>
        <v>0</v>
      </c>
      <c r="L124" s="109">
        <v>0</v>
      </c>
      <c r="M124" s="110">
        <v>0</v>
      </c>
      <c r="N124" s="128"/>
    </row>
    <row r="125" spans="1:14" ht="12.75" customHeight="1" x14ac:dyDescent="0.25">
      <c r="A125" s="589" t="s">
        <v>1656</v>
      </c>
      <c r="B125" s="73"/>
      <c r="C125" s="130">
        <v>0</v>
      </c>
      <c r="D125" s="109">
        <v>0</v>
      </c>
      <c r="E125" s="109">
        <v>0</v>
      </c>
      <c r="F125" s="109">
        <v>0</v>
      </c>
      <c r="G125" s="109">
        <v>0</v>
      </c>
      <c r="H125" s="109">
        <v>0</v>
      </c>
      <c r="I125" s="109">
        <v>0</v>
      </c>
      <c r="J125" s="75">
        <f t="shared" si="12"/>
        <v>0</v>
      </c>
      <c r="K125" s="75">
        <f t="shared" si="13"/>
        <v>0</v>
      </c>
      <c r="L125" s="109">
        <v>0</v>
      </c>
      <c r="M125" s="110">
        <v>0</v>
      </c>
      <c r="N125" s="128"/>
    </row>
    <row r="126" spans="1:14" ht="12.75" customHeight="1" x14ac:dyDescent="0.25">
      <c r="A126" s="589" t="s">
        <v>1657</v>
      </c>
      <c r="B126" s="73"/>
      <c r="C126" s="130">
        <v>0</v>
      </c>
      <c r="D126" s="109">
        <v>0</v>
      </c>
      <c r="E126" s="109">
        <v>0</v>
      </c>
      <c r="F126" s="109">
        <v>0</v>
      </c>
      <c r="G126" s="109">
        <v>0</v>
      </c>
      <c r="H126" s="109">
        <v>0</v>
      </c>
      <c r="I126" s="109">
        <v>0</v>
      </c>
      <c r="J126" s="75">
        <f t="shared" si="12"/>
        <v>0</v>
      </c>
      <c r="K126" s="75">
        <f t="shared" si="13"/>
        <v>0</v>
      </c>
      <c r="L126" s="109">
        <v>0</v>
      </c>
      <c r="M126" s="110">
        <v>0</v>
      </c>
      <c r="N126" s="128"/>
    </row>
    <row r="127" spans="1:14" ht="12.75" customHeight="1" x14ac:dyDescent="0.25">
      <c r="A127" s="589" t="s">
        <v>1658</v>
      </c>
      <c r="B127" s="73"/>
      <c r="C127" s="130">
        <v>0</v>
      </c>
      <c r="D127" s="109">
        <v>0</v>
      </c>
      <c r="E127" s="109">
        <v>0</v>
      </c>
      <c r="F127" s="109">
        <v>0</v>
      </c>
      <c r="G127" s="109">
        <v>0</v>
      </c>
      <c r="H127" s="109">
        <v>0</v>
      </c>
      <c r="I127" s="109">
        <v>0</v>
      </c>
      <c r="J127" s="75">
        <f t="shared" si="12"/>
        <v>0</v>
      </c>
      <c r="K127" s="75">
        <f t="shared" si="13"/>
        <v>0</v>
      </c>
      <c r="L127" s="109">
        <v>0</v>
      </c>
      <c r="M127" s="110">
        <v>0</v>
      </c>
      <c r="N127" s="128"/>
    </row>
    <row r="128" spans="1:14" ht="12.75" customHeight="1" x14ac:dyDescent="0.25">
      <c r="A128" s="589" t="s">
        <v>1659</v>
      </c>
      <c r="B128" s="73"/>
      <c r="C128" s="130">
        <v>0</v>
      </c>
      <c r="D128" s="109">
        <v>0</v>
      </c>
      <c r="E128" s="109">
        <v>0</v>
      </c>
      <c r="F128" s="109">
        <v>0</v>
      </c>
      <c r="G128" s="109">
        <v>0</v>
      </c>
      <c r="H128" s="109">
        <v>0</v>
      </c>
      <c r="I128" s="109">
        <v>0</v>
      </c>
      <c r="J128" s="75">
        <f t="shared" si="12"/>
        <v>0</v>
      </c>
      <c r="K128" s="75">
        <f t="shared" si="13"/>
        <v>0</v>
      </c>
      <c r="L128" s="109">
        <v>0</v>
      </c>
      <c r="M128" s="110">
        <v>0</v>
      </c>
      <c r="N128" s="128"/>
    </row>
    <row r="129" spans="1:14" ht="12.75" customHeight="1" x14ac:dyDescent="0.25">
      <c r="A129" s="589" t="s">
        <v>1660</v>
      </c>
      <c r="B129" s="137"/>
      <c r="C129" s="130">
        <v>0</v>
      </c>
      <c r="D129" s="109">
        <v>0</v>
      </c>
      <c r="E129" s="109">
        <v>0</v>
      </c>
      <c r="F129" s="109">
        <v>0</v>
      </c>
      <c r="G129" s="109">
        <v>0</v>
      </c>
      <c r="H129" s="109">
        <v>0</v>
      </c>
      <c r="I129" s="109">
        <v>0</v>
      </c>
      <c r="J129" s="75">
        <f t="shared" si="12"/>
        <v>0</v>
      </c>
      <c r="K129" s="75">
        <f t="shared" si="13"/>
        <v>0</v>
      </c>
      <c r="L129" s="109">
        <v>0</v>
      </c>
      <c r="M129" s="110">
        <v>0</v>
      </c>
      <c r="N129" s="128"/>
    </row>
    <row r="130" spans="1:14" ht="12.75" customHeight="1" x14ac:dyDescent="0.25">
      <c r="A130" s="589" t="s">
        <v>1661</v>
      </c>
      <c r="B130" s="73"/>
      <c r="C130" s="130">
        <v>0</v>
      </c>
      <c r="D130" s="109">
        <v>0</v>
      </c>
      <c r="E130" s="109">
        <v>0</v>
      </c>
      <c r="F130" s="109">
        <v>0</v>
      </c>
      <c r="G130" s="109">
        <v>0</v>
      </c>
      <c r="H130" s="109">
        <v>0</v>
      </c>
      <c r="I130" s="109">
        <v>0</v>
      </c>
      <c r="J130" s="75">
        <f t="shared" si="12"/>
        <v>0</v>
      </c>
      <c r="K130" s="75">
        <f t="shared" si="13"/>
        <v>0</v>
      </c>
      <c r="L130" s="109">
        <v>0</v>
      </c>
      <c r="M130" s="110">
        <v>0</v>
      </c>
      <c r="N130" s="128"/>
    </row>
    <row r="131" spans="1:14" ht="12.75" customHeight="1" x14ac:dyDescent="0.25">
      <c r="A131" s="589" t="s">
        <v>1662</v>
      </c>
      <c r="B131" s="73"/>
      <c r="C131" s="130">
        <v>0</v>
      </c>
      <c r="D131" s="109">
        <v>0</v>
      </c>
      <c r="E131" s="109">
        <v>0</v>
      </c>
      <c r="F131" s="109">
        <v>0</v>
      </c>
      <c r="G131" s="109">
        <v>0</v>
      </c>
      <c r="H131" s="109">
        <v>0</v>
      </c>
      <c r="I131" s="109">
        <v>0</v>
      </c>
      <c r="J131" s="75">
        <f t="shared" si="12"/>
        <v>0</v>
      </c>
      <c r="K131" s="75">
        <f t="shared" si="13"/>
        <v>0</v>
      </c>
      <c r="L131" s="109">
        <v>0</v>
      </c>
      <c r="M131" s="110">
        <v>0</v>
      </c>
      <c r="N131" s="128"/>
    </row>
    <row r="132" spans="1:14" ht="12.75" customHeight="1" x14ac:dyDescent="0.25">
      <c r="A132" s="589" t="s">
        <v>1572</v>
      </c>
      <c r="B132" s="73"/>
      <c r="C132" s="130">
        <v>0</v>
      </c>
      <c r="D132" s="109">
        <v>0</v>
      </c>
      <c r="E132" s="109">
        <v>0</v>
      </c>
      <c r="F132" s="109">
        <v>0</v>
      </c>
      <c r="G132" s="109">
        <v>0</v>
      </c>
      <c r="H132" s="109">
        <v>0</v>
      </c>
      <c r="I132" s="109">
        <v>0</v>
      </c>
      <c r="J132" s="75">
        <f t="shared" si="12"/>
        <v>0</v>
      </c>
      <c r="K132" s="75">
        <f t="shared" si="13"/>
        <v>0</v>
      </c>
      <c r="L132" s="109">
        <v>0</v>
      </c>
      <c r="M132" s="110">
        <v>0</v>
      </c>
      <c r="N132" s="128"/>
    </row>
    <row r="133" spans="1:14" ht="10.15" customHeight="1" x14ac:dyDescent="0.25">
      <c r="A133" s="588" t="s">
        <v>619</v>
      </c>
      <c r="B133" s="73"/>
      <c r="C133" s="140">
        <f>SUM(C134:C136)</f>
        <v>0</v>
      </c>
      <c r="D133" s="141">
        <f>SUM(D134:D136)</f>
        <v>0</v>
      </c>
      <c r="E133" s="141">
        <f t="shared" ref="E133:M133" si="23">SUM(E134:E136)</f>
        <v>0</v>
      </c>
      <c r="F133" s="141">
        <f t="shared" si="23"/>
        <v>0</v>
      </c>
      <c r="G133" s="141">
        <f t="shared" si="23"/>
        <v>0</v>
      </c>
      <c r="H133" s="141">
        <f t="shared" si="23"/>
        <v>0</v>
      </c>
      <c r="I133" s="141">
        <f t="shared" si="23"/>
        <v>0</v>
      </c>
      <c r="J133" s="141">
        <f t="shared" si="12"/>
        <v>0</v>
      </c>
      <c r="K133" s="141">
        <f t="shared" si="13"/>
        <v>0</v>
      </c>
      <c r="L133" s="141">
        <f t="shared" si="23"/>
        <v>0</v>
      </c>
      <c r="M133" s="142">
        <f t="shared" si="23"/>
        <v>0</v>
      </c>
      <c r="N133" s="128"/>
    </row>
    <row r="134" spans="1:14" s="1234" customFormat="1" ht="12.75" customHeight="1" x14ac:dyDescent="0.25">
      <c r="A134" s="589" t="s">
        <v>1663</v>
      </c>
      <c r="B134" s="1228"/>
      <c r="C134" s="1229">
        <v>0</v>
      </c>
      <c r="D134" s="1230">
        <v>0</v>
      </c>
      <c r="E134" s="109">
        <v>0</v>
      </c>
      <c r="F134" s="1230">
        <v>0</v>
      </c>
      <c r="G134" s="1230">
        <v>0</v>
      </c>
      <c r="H134" s="1230">
        <v>0</v>
      </c>
      <c r="I134" s="1230">
        <v>0</v>
      </c>
      <c r="J134" s="1231">
        <f t="shared" si="12"/>
        <v>0</v>
      </c>
      <c r="K134" s="1231">
        <f t="shared" si="13"/>
        <v>0</v>
      </c>
      <c r="L134" s="1230">
        <v>0</v>
      </c>
      <c r="M134" s="1232">
        <v>0</v>
      </c>
      <c r="N134" s="1233"/>
    </row>
    <row r="135" spans="1:14" ht="12.75" customHeight="1" x14ac:dyDescent="0.25">
      <c r="A135" s="589" t="s">
        <v>1664</v>
      </c>
      <c r="B135" s="73"/>
      <c r="C135" s="130">
        <v>0</v>
      </c>
      <c r="D135" s="109">
        <v>0</v>
      </c>
      <c r="E135" s="109">
        <v>0</v>
      </c>
      <c r="F135" s="109">
        <v>0</v>
      </c>
      <c r="G135" s="109">
        <v>0</v>
      </c>
      <c r="H135" s="109">
        <v>0</v>
      </c>
      <c r="I135" s="109">
        <v>0</v>
      </c>
      <c r="J135" s="75">
        <f t="shared" si="12"/>
        <v>0</v>
      </c>
      <c r="K135" s="75">
        <f t="shared" si="13"/>
        <v>0</v>
      </c>
      <c r="L135" s="109">
        <v>0</v>
      </c>
      <c r="M135" s="110">
        <v>0</v>
      </c>
      <c r="N135" s="128"/>
    </row>
    <row r="136" spans="1:14" ht="12.75" customHeight="1" x14ac:dyDescent="0.25">
      <c r="A136" s="589" t="s">
        <v>1572</v>
      </c>
      <c r="B136" s="73"/>
      <c r="C136" s="130">
        <v>0</v>
      </c>
      <c r="D136" s="109">
        <v>0</v>
      </c>
      <c r="E136" s="109">
        <v>0</v>
      </c>
      <c r="F136" s="109">
        <v>0</v>
      </c>
      <c r="G136" s="109">
        <v>0</v>
      </c>
      <c r="H136" s="109">
        <v>0</v>
      </c>
      <c r="I136" s="109">
        <v>0</v>
      </c>
      <c r="J136" s="75">
        <f t="shared" si="12"/>
        <v>0</v>
      </c>
      <c r="K136" s="75">
        <f t="shared" si="13"/>
        <v>0</v>
      </c>
      <c r="L136" s="109">
        <v>0</v>
      </c>
      <c r="M136" s="110">
        <v>0</v>
      </c>
      <c r="N136" s="128"/>
    </row>
    <row r="137" spans="1:14" ht="5.0999999999999996" customHeight="1" x14ac:dyDescent="0.25">
      <c r="A137" s="136"/>
      <c r="B137" s="73"/>
      <c r="C137" s="74"/>
      <c r="D137" s="75"/>
      <c r="E137" s="75"/>
      <c r="F137" s="75"/>
      <c r="G137" s="75"/>
      <c r="H137" s="75"/>
      <c r="I137" s="75"/>
      <c r="J137" s="75"/>
      <c r="K137" s="75"/>
      <c r="L137" s="75"/>
      <c r="M137" s="76"/>
      <c r="N137" s="128"/>
    </row>
    <row r="138" spans="1:14" ht="12.75" customHeight="1" x14ac:dyDescent="0.25">
      <c r="A138" s="486" t="s">
        <v>1665</v>
      </c>
      <c r="B138" s="73"/>
      <c r="C138" s="236">
        <f t="shared" ref="C138:M138" si="24">SUM(C139:C139)</f>
        <v>0</v>
      </c>
      <c r="D138" s="237">
        <f t="shared" si="24"/>
        <v>0</v>
      </c>
      <c r="E138" s="237">
        <f t="shared" si="24"/>
        <v>0</v>
      </c>
      <c r="F138" s="237">
        <f t="shared" si="24"/>
        <v>0</v>
      </c>
      <c r="G138" s="237">
        <f t="shared" si="24"/>
        <v>0</v>
      </c>
      <c r="H138" s="237">
        <f t="shared" si="24"/>
        <v>0</v>
      </c>
      <c r="I138" s="237">
        <f t="shared" si="24"/>
        <v>0</v>
      </c>
      <c r="J138" s="237">
        <f t="shared" ref="J138:J169" si="25">SUM(E138:I138)</f>
        <v>0</v>
      </c>
      <c r="K138" s="237">
        <f t="shared" ref="K138:K169" si="26">IF(D138=0,C138+J138,D138+J138)</f>
        <v>0</v>
      </c>
      <c r="L138" s="237">
        <f t="shared" si="24"/>
        <v>0</v>
      </c>
      <c r="M138" s="238">
        <f t="shared" si="24"/>
        <v>0</v>
      </c>
      <c r="N138" s="128"/>
    </row>
    <row r="139" spans="1:14" ht="12.75" customHeight="1" x14ac:dyDescent="0.25">
      <c r="A139" s="588" t="s">
        <v>1665</v>
      </c>
      <c r="B139" s="73"/>
      <c r="C139" s="130">
        <v>0</v>
      </c>
      <c r="D139" s="109">
        <v>0</v>
      </c>
      <c r="E139" s="109">
        <v>0</v>
      </c>
      <c r="F139" s="109">
        <v>0</v>
      </c>
      <c r="G139" s="109">
        <v>0</v>
      </c>
      <c r="H139" s="109">
        <v>0</v>
      </c>
      <c r="I139" s="109">
        <v>0</v>
      </c>
      <c r="J139" s="75">
        <f t="shared" si="25"/>
        <v>0</v>
      </c>
      <c r="K139" s="75">
        <f t="shared" si="26"/>
        <v>0</v>
      </c>
      <c r="L139" s="109">
        <v>0</v>
      </c>
      <c r="M139" s="110">
        <v>0</v>
      </c>
      <c r="N139" s="128"/>
    </row>
    <row r="140" spans="1:14" ht="5.0999999999999996" customHeight="1" x14ac:dyDescent="0.25">
      <c r="A140" s="1235"/>
      <c r="B140" s="73"/>
      <c r="C140" s="74"/>
      <c r="D140" s="75"/>
      <c r="E140" s="75"/>
      <c r="F140" s="75"/>
      <c r="G140" s="75"/>
      <c r="H140" s="75"/>
      <c r="I140" s="75"/>
      <c r="J140" s="75"/>
      <c r="K140" s="75"/>
      <c r="L140" s="75"/>
      <c r="M140" s="76"/>
      <c r="N140" s="128"/>
    </row>
    <row r="141" spans="1:14" ht="12.75" customHeight="1" x14ac:dyDescent="0.25">
      <c r="A141" s="486" t="s">
        <v>1666</v>
      </c>
      <c r="B141" s="73"/>
      <c r="C141" s="236">
        <f>SUM(C142:C143)</f>
        <v>10500000</v>
      </c>
      <c r="D141" s="237">
        <f>SUM(D142:D143)</f>
        <v>10500000</v>
      </c>
      <c r="E141" s="237">
        <f t="shared" ref="E141:M141" si="27">SUM(E142:E143)</f>
        <v>0</v>
      </c>
      <c r="F141" s="237">
        <f t="shared" si="27"/>
        <v>0</v>
      </c>
      <c r="G141" s="237">
        <f t="shared" si="27"/>
        <v>0</v>
      </c>
      <c r="H141" s="237">
        <f t="shared" si="27"/>
        <v>0</v>
      </c>
      <c r="I141" s="237">
        <f t="shared" si="27"/>
        <v>700000</v>
      </c>
      <c r="J141" s="237">
        <f t="shared" si="25"/>
        <v>700000</v>
      </c>
      <c r="K141" s="237">
        <f t="shared" si="26"/>
        <v>11200000</v>
      </c>
      <c r="L141" s="237">
        <f t="shared" si="27"/>
        <v>11004000</v>
      </c>
      <c r="M141" s="238">
        <f t="shared" si="27"/>
        <v>11532192</v>
      </c>
      <c r="N141" s="128"/>
    </row>
    <row r="142" spans="1:14" ht="12.75" customHeight="1" x14ac:dyDescent="0.25">
      <c r="A142" s="590" t="s">
        <v>1667</v>
      </c>
      <c r="B142" s="73"/>
      <c r="C142" s="130">
        <v>0</v>
      </c>
      <c r="D142" s="109">
        <v>0</v>
      </c>
      <c r="E142" s="109">
        <v>0</v>
      </c>
      <c r="F142" s="109">
        <v>0</v>
      </c>
      <c r="G142" s="109">
        <v>0</v>
      </c>
      <c r="H142" s="109">
        <v>0</v>
      </c>
      <c r="I142" s="109">
        <v>0</v>
      </c>
      <c r="J142" s="75">
        <f t="shared" si="25"/>
        <v>0</v>
      </c>
      <c r="K142" s="75">
        <f t="shared" si="26"/>
        <v>0</v>
      </c>
      <c r="L142" s="109">
        <v>0</v>
      </c>
      <c r="M142" s="110">
        <v>0</v>
      </c>
      <c r="N142" s="128"/>
    </row>
    <row r="143" spans="1:14" ht="10.15" customHeight="1" x14ac:dyDescent="0.25">
      <c r="A143" s="590" t="s">
        <v>1668</v>
      </c>
      <c r="B143" s="73"/>
      <c r="C143" s="140">
        <f>SUM(C144:C149)</f>
        <v>10500000</v>
      </c>
      <c r="D143" s="141">
        <f>SUM(D144:D149)</f>
        <v>10500000</v>
      </c>
      <c r="E143" s="141">
        <f t="shared" ref="E143:M143" si="28">SUM(E144:E149)</f>
        <v>0</v>
      </c>
      <c r="F143" s="141">
        <f t="shared" si="28"/>
        <v>0</v>
      </c>
      <c r="G143" s="141">
        <f t="shared" si="28"/>
        <v>0</v>
      </c>
      <c r="H143" s="141">
        <f t="shared" si="28"/>
        <v>0</v>
      </c>
      <c r="I143" s="141">
        <f t="shared" si="28"/>
        <v>700000</v>
      </c>
      <c r="J143" s="141">
        <f t="shared" si="25"/>
        <v>700000</v>
      </c>
      <c r="K143" s="141">
        <f t="shared" si="26"/>
        <v>11200000</v>
      </c>
      <c r="L143" s="141">
        <f t="shared" si="28"/>
        <v>11004000</v>
      </c>
      <c r="M143" s="142">
        <f t="shared" si="28"/>
        <v>11532192</v>
      </c>
      <c r="N143" s="128"/>
    </row>
    <row r="144" spans="1:14" ht="12.75" customHeight="1" x14ac:dyDescent="0.25">
      <c r="A144" s="589" t="s">
        <v>1669</v>
      </c>
      <c r="B144" s="73"/>
      <c r="C144" s="130">
        <v>0</v>
      </c>
      <c r="D144" s="109">
        <v>0</v>
      </c>
      <c r="E144" s="109">
        <v>0</v>
      </c>
      <c r="F144" s="109">
        <v>0</v>
      </c>
      <c r="G144" s="109">
        <v>0</v>
      </c>
      <c r="H144" s="109">
        <v>0</v>
      </c>
      <c r="I144" s="109">
        <v>0</v>
      </c>
      <c r="J144" s="75">
        <f t="shared" si="25"/>
        <v>0</v>
      </c>
      <c r="K144" s="75">
        <f t="shared" si="26"/>
        <v>0</v>
      </c>
      <c r="L144" s="109">
        <v>0</v>
      </c>
      <c r="M144" s="110">
        <v>0</v>
      </c>
      <c r="N144" s="128"/>
    </row>
    <row r="145" spans="1:14" ht="12.75" customHeight="1" x14ac:dyDescent="0.25">
      <c r="A145" s="589" t="s">
        <v>1670</v>
      </c>
      <c r="B145" s="137"/>
      <c r="C145" s="130">
        <v>0</v>
      </c>
      <c r="D145" s="109">
        <v>0</v>
      </c>
      <c r="E145" s="109">
        <v>0</v>
      </c>
      <c r="F145" s="109">
        <v>0</v>
      </c>
      <c r="G145" s="109">
        <v>0</v>
      </c>
      <c r="H145" s="109">
        <v>0</v>
      </c>
      <c r="I145" s="109">
        <v>0</v>
      </c>
      <c r="J145" s="75">
        <f t="shared" si="25"/>
        <v>0</v>
      </c>
      <c r="K145" s="75">
        <f t="shared" si="26"/>
        <v>0</v>
      </c>
      <c r="L145" s="109">
        <v>0</v>
      </c>
      <c r="M145" s="110">
        <v>0</v>
      </c>
      <c r="N145" s="128"/>
    </row>
    <row r="146" spans="1:14" ht="12.75" customHeight="1" x14ac:dyDescent="0.25">
      <c r="A146" s="589" t="s">
        <v>1671</v>
      </c>
      <c r="B146" s="73"/>
      <c r="C146" s="130">
        <v>0</v>
      </c>
      <c r="D146" s="109">
        <v>0</v>
      </c>
      <c r="E146" s="109">
        <v>0</v>
      </c>
      <c r="F146" s="109">
        <v>0</v>
      </c>
      <c r="G146" s="109">
        <v>0</v>
      </c>
      <c r="H146" s="109">
        <v>0</v>
      </c>
      <c r="I146" s="109">
        <v>0</v>
      </c>
      <c r="J146" s="75">
        <f t="shared" si="25"/>
        <v>0</v>
      </c>
      <c r="K146" s="75">
        <f t="shared" si="26"/>
        <v>0</v>
      </c>
      <c r="L146" s="109">
        <v>0</v>
      </c>
      <c r="M146" s="110">
        <v>0</v>
      </c>
      <c r="N146" s="128"/>
    </row>
    <row r="147" spans="1:14" ht="12.75" customHeight="1" x14ac:dyDescent="0.25">
      <c r="A147" s="589" t="s">
        <v>1672</v>
      </c>
      <c r="B147" s="73"/>
      <c r="C147" s="130">
        <v>10500000</v>
      </c>
      <c r="D147" s="109">
        <v>10500000</v>
      </c>
      <c r="E147" s="109">
        <v>0</v>
      </c>
      <c r="F147" s="109">
        <v>0</v>
      </c>
      <c r="G147" s="109">
        <v>0</v>
      </c>
      <c r="H147" s="109">
        <v>0</v>
      </c>
      <c r="I147" s="109">
        <v>700000</v>
      </c>
      <c r="J147" s="75">
        <f t="shared" si="25"/>
        <v>700000</v>
      </c>
      <c r="K147" s="75">
        <f t="shared" si="26"/>
        <v>11200000</v>
      </c>
      <c r="L147" s="109">
        <v>11004000</v>
      </c>
      <c r="M147" s="110">
        <v>11532192</v>
      </c>
      <c r="N147" s="128"/>
    </row>
    <row r="148" spans="1:14" ht="12.75" customHeight="1" x14ac:dyDescent="0.25">
      <c r="A148" s="589" t="s">
        <v>1673</v>
      </c>
      <c r="B148" s="73"/>
      <c r="C148" s="130">
        <v>0</v>
      </c>
      <c r="D148" s="109">
        <v>0</v>
      </c>
      <c r="E148" s="109">
        <v>0</v>
      </c>
      <c r="F148" s="109">
        <v>0</v>
      </c>
      <c r="G148" s="109">
        <v>0</v>
      </c>
      <c r="H148" s="109">
        <v>0</v>
      </c>
      <c r="I148" s="109">
        <v>0</v>
      </c>
      <c r="J148" s="75">
        <f t="shared" si="25"/>
        <v>0</v>
      </c>
      <c r="K148" s="75">
        <f t="shared" si="26"/>
        <v>0</v>
      </c>
      <c r="L148" s="109">
        <v>0</v>
      </c>
      <c r="M148" s="110">
        <v>0</v>
      </c>
      <c r="N148" s="128"/>
    </row>
    <row r="149" spans="1:14" ht="12.75" customHeight="1" x14ac:dyDescent="0.25">
      <c r="A149" s="589" t="s">
        <v>1674</v>
      </c>
      <c r="B149" s="73"/>
      <c r="C149" s="130">
        <v>0</v>
      </c>
      <c r="D149" s="109">
        <v>0</v>
      </c>
      <c r="E149" s="109">
        <v>0</v>
      </c>
      <c r="F149" s="109">
        <v>0</v>
      </c>
      <c r="G149" s="109">
        <v>0</v>
      </c>
      <c r="H149" s="109">
        <v>0</v>
      </c>
      <c r="I149" s="109">
        <v>0</v>
      </c>
      <c r="J149" s="75">
        <f t="shared" si="25"/>
        <v>0</v>
      </c>
      <c r="K149" s="75">
        <f t="shared" si="26"/>
        <v>0</v>
      </c>
      <c r="L149" s="109">
        <v>0</v>
      </c>
      <c r="M149" s="110">
        <v>0</v>
      </c>
      <c r="N149" s="128"/>
    </row>
    <row r="150" spans="1:14" ht="5.0999999999999996" customHeight="1" x14ac:dyDescent="0.25">
      <c r="A150" s="1235"/>
      <c r="B150" s="73"/>
      <c r="C150" s="74"/>
      <c r="D150" s="75"/>
      <c r="E150" s="75"/>
      <c r="F150" s="75"/>
      <c r="G150" s="75"/>
      <c r="H150" s="75"/>
      <c r="I150" s="75"/>
      <c r="J150" s="75"/>
      <c r="K150" s="75"/>
      <c r="L150" s="75"/>
      <c r="M150" s="76"/>
      <c r="N150" s="128"/>
    </row>
    <row r="151" spans="1:14" ht="12.75" customHeight="1" x14ac:dyDescent="0.25">
      <c r="A151" s="486" t="s">
        <v>1675</v>
      </c>
      <c r="B151" s="73"/>
      <c r="C151" s="236">
        <f t="shared" ref="C151:M151" si="29">SUM(C152:C152)</f>
        <v>4000000</v>
      </c>
      <c r="D151" s="237">
        <f t="shared" si="29"/>
        <v>4000000</v>
      </c>
      <c r="E151" s="237">
        <f t="shared" si="29"/>
        <v>0</v>
      </c>
      <c r="F151" s="237">
        <f t="shared" si="29"/>
        <v>0</v>
      </c>
      <c r="G151" s="237">
        <f t="shared" si="29"/>
        <v>0</v>
      </c>
      <c r="H151" s="237">
        <f t="shared" si="29"/>
        <v>0</v>
      </c>
      <c r="I151" s="237">
        <f t="shared" si="29"/>
        <v>130000</v>
      </c>
      <c r="J151" s="237">
        <f t="shared" si="25"/>
        <v>130000</v>
      </c>
      <c r="K151" s="237">
        <f t="shared" si="26"/>
        <v>4130000</v>
      </c>
      <c r="L151" s="237">
        <f t="shared" si="29"/>
        <v>4192000</v>
      </c>
      <c r="M151" s="238">
        <f t="shared" si="29"/>
        <v>4393216</v>
      </c>
      <c r="N151" s="128"/>
    </row>
    <row r="152" spans="1:14" ht="12.75" customHeight="1" x14ac:dyDescent="0.25">
      <c r="A152" s="588" t="s">
        <v>1675</v>
      </c>
      <c r="B152" s="73"/>
      <c r="C152" s="130">
        <v>4000000</v>
      </c>
      <c r="D152" s="109">
        <v>4000000</v>
      </c>
      <c r="E152" s="109">
        <v>0</v>
      </c>
      <c r="F152" s="109">
        <v>0</v>
      </c>
      <c r="G152" s="109">
        <v>0</v>
      </c>
      <c r="H152" s="109">
        <v>0</v>
      </c>
      <c r="I152" s="109">
        <v>130000</v>
      </c>
      <c r="J152" s="75">
        <f t="shared" si="25"/>
        <v>130000</v>
      </c>
      <c r="K152" s="75">
        <f t="shared" si="26"/>
        <v>4130000</v>
      </c>
      <c r="L152" s="109">
        <v>4192000</v>
      </c>
      <c r="M152" s="110">
        <v>4393216</v>
      </c>
      <c r="N152" s="128"/>
    </row>
    <row r="153" spans="1:14" ht="5.0999999999999996" customHeight="1" x14ac:dyDescent="0.25">
      <c r="A153" s="1235"/>
      <c r="B153" s="73"/>
      <c r="C153" s="74"/>
      <c r="D153" s="75"/>
      <c r="E153" s="75"/>
      <c r="F153" s="75"/>
      <c r="G153" s="75"/>
      <c r="H153" s="75"/>
      <c r="I153" s="75"/>
      <c r="J153" s="75"/>
      <c r="K153" s="75"/>
      <c r="L153" s="75"/>
      <c r="M153" s="76"/>
      <c r="N153" s="128"/>
    </row>
    <row r="154" spans="1:14" ht="12.75" customHeight="1" x14ac:dyDescent="0.25">
      <c r="A154" s="486" t="s">
        <v>1676</v>
      </c>
      <c r="B154" s="73"/>
      <c r="C154" s="236">
        <f t="shared" ref="C154:M154" si="30">SUM(C155:C155)</f>
        <v>8778700</v>
      </c>
      <c r="D154" s="237">
        <f t="shared" si="30"/>
        <v>8778700</v>
      </c>
      <c r="E154" s="237">
        <f t="shared" si="30"/>
        <v>0</v>
      </c>
      <c r="F154" s="237">
        <f t="shared" si="30"/>
        <v>0</v>
      </c>
      <c r="G154" s="237">
        <f t="shared" si="30"/>
        <v>0</v>
      </c>
      <c r="H154" s="237">
        <f t="shared" si="30"/>
        <v>0</v>
      </c>
      <c r="I154" s="237">
        <f t="shared" si="30"/>
        <v>419041</v>
      </c>
      <c r="J154" s="237">
        <f t="shared" si="25"/>
        <v>419041</v>
      </c>
      <c r="K154" s="237">
        <f t="shared" si="26"/>
        <v>9197741</v>
      </c>
      <c r="L154" s="237">
        <f t="shared" si="30"/>
        <v>9200077</v>
      </c>
      <c r="M154" s="238">
        <f t="shared" si="30"/>
        <v>9641680</v>
      </c>
      <c r="N154" s="128"/>
    </row>
    <row r="155" spans="1:14" ht="12.75" customHeight="1" x14ac:dyDescent="0.25">
      <c r="A155" s="588" t="s">
        <v>1676</v>
      </c>
      <c r="B155" s="73"/>
      <c r="C155" s="130">
        <v>8778700</v>
      </c>
      <c r="D155" s="109">
        <v>8778700</v>
      </c>
      <c r="E155" s="109">
        <v>0</v>
      </c>
      <c r="F155" s="109">
        <v>0</v>
      </c>
      <c r="G155" s="109">
        <v>0</v>
      </c>
      <c r="H155" s="109">
        <v>0</v>
      </c>
      <c r="I155" s="109">
        <v>419041</v>
      </c>
      <c r="J155" s="75">
        <f t="shared" si="25"/>
        <v>419041</v>
      </c>
      <c r="K155" s="75">
        <f t="shared" si="26"/>
        <v>9197741</v>
      </c>
      <c r="L155" s="109">
        <v>9200077</v>
      </c>
      <c r="M155" s="110">
        <v>9641680</v>
      </c>
      <c r="N155" s="128"/>
    </row>
    <row r="156" spans="1:14" ht="5.0999999999999996" customHeight="1" x14ac:dyDescent="0.25">
      <c r="A156" s="1235"/>
      <c r="B156" s="73"/>
      <c r="C156" s="74"/>
      <c r="D156" s="75"/>
      <c r="E156" s="75"/>
      <c r="F156" s="75"/>
      <c r="G156" s="75"/>
      <c r="H156" s="75"/>
      <c r="I156" s="75"/>
      <c r="J156" s="75"/>
      <c r="K156" s="75"/>
      <c r="L156" s="75"/>
      <c r="M156" s="76"/>
      <c r="N156" s="128"/>
    </row>
    <row r="157" spans="1:14" ht="12.75" customHeight="1" x14ac:dyDescent="0.25">
      <c r="A157" s="486" t="s">
        <v>1677</v>
      </c>
      <c r="B157" s="73"/>
      <c r="C157" s="236">
        <f t="shared" ref="C157:M157" si="31">SUM(C158:C158)</f>
        <v>2837</v>
      </c>
      <c r="D157" s="237">
        <f t="shared" si="31"/>
        <v>2837</v>
      </c>
      <c r="E157" s="237">
        <f t="shared" si="31"/>
        <v>0</v>
      </c>
      <c r="F157" s="237">
        <f t="shared" si="31"/>
        <v>0</v>
      </c>
      <c r="G157" s="237">
        <f t="shared" si="31"/>
        <v>0</v>
      </c>
      <c r="H157" s="237">
        <f t="shared" si="31"/>
        <v>0</v>
      </c>
      <c r="I157" s="237">
        <f t="shared" si="31"/>
        <v>0</v>
      </c>
      <c r="J157" s="237">
        <f t="shared" si="25"/>
        <v>0</v>
      </c>
      <c r="K157" s="237">
        <f t="shared" si="26"/>
        <v>2837</v>
      </c>
      <c r="L157" s="237">
        <f t="shared" si="31"/>
        <v>2973</v>
      </c>
      <c r="M157" s="238">
        <f t="shared" si="31"/>
        <v>3115</v>
      </c>
      <c r="N157" s="128"/>
    </row>
    <row r="158" spans="1:14" ht="12.75" customHeight="1" x14ac:dyDescent="0.25">
      <c r="A158" s="588" t="s">
        <v>1677</v>
      </c>
      <c r="B158" s="73"/>
      <c r="C158" s="130">
        <v>2837</v>
      </c>
      <c r="D158" s="109">
        <v>2837</v>
      </c>
      <c r="E158" s="109">
        <v>0</v>
      </c>
      <c r="F158" s="109">
        <v>0</v>
      </c>
      <c r="G158" s="109">
        <v>0</v>
      </c>
      <c r="H158" s="109">
        <v>0</v>
      </c>
      <c r="I158" s="109">
        <v>0</v>
      </c>
      <c r="J158" s="75">
        <f t="shared" si="25"/>
        <v>0</v>
      </c>
      <c r="K158" s="75">
        <f t="shared" si="26"/>
        <v>2837</v>
      </c>
      <c r="L158" s="109">
        <v>2973</v>
      </c>
      <c r="M158" s="110">
        <v>3115</v>
      </c>
      <c r="N158" s="128"/>
    </row>
    <row r="159" spans="1:14" ht="5.0999999999999996" customHeight="1" x14ac:dyDescent="0.25">
      <c r="A159" s="1235"/>
      <c r="B159" s="73"/>
      <c r="C159" s="74"/>
      <c r="D159" s="75"/>
      <c r="E159" s="75"/>
      <c r="F159" s="75"/>
      <c r="G159" s="75"/>
      <c r="H159" s="75"/>
      <c r="I159" s="75"/>
      <c r="J159" s="75"/>
      <c r="K159" s="75"/>
      <c r="L159" s="75"/>
      <c r="M159" s="76"/>
      <c r="N159" s="128"/>
    </row>
    <row r="160" spans="1:14" ht="12.75" customHeight="1" x14ac:dyDescent="0.25">
      <c r="A160" s="486" t="s">
        <v>1678</v>
      </c>
      <c r="B160" s="73"/>
      <c r="C160" s="236">
        <f t="shared" ref="C160:M160" si="32">SUM(C161:C161)</f>
        <v>39359056</v>
      </c>
      <c r="D160" s="237">
        <f t="shared" si="32"/>
        <v>39359056</v>
      </c>
      <c r="E160" s="237">
        <f t="shared" si="32"/>
        <v>0</v>
      </c>
      <c r="F160" s="237">
        <f t="shared" si="32"/>
        <v>0</v>
      </c>
      <c r="G160" s="237">
        <f t="shared" si="32"/>
        <v>0</v>
      </c>
      <c r="H160" s="237">
        <f t="shared" si="32"/>
        <v>0</v>
      </c>
      <c r="I160" s="237">
        <f t="shared" si="32"/>
        <v>0</v>
      </c>
      <c r="J160" s="237">
        <f t="shared" si="25"/>
        <v>0</v>
      </c>
      <c r="K160" s="237">
        <f t="shared" si="26"/>
        <v>39359056</v>
      </c>
      <c r="L160" s="237">
        <f t="shared" si="32"/>
        <v>41248289</v>
      </c>
      <c r="M160" s="238">
        <f t="shared" si="32"/>
        <v>43228207</v>
      </c>
      <c r="N160" s="128"/>
    </row>
    <row r="161" spans="1:14" ht="12.75" customHeight="1" x14ac:dyDescent="0.25">
      <c r="A161" s="588" t="s">
        <v>1678</v>
      </c>
      <c r="B161" s="73"/>
      <c r="C161" s="130">
        <v>39359056</v>
      </c>
      <c r="D161" s="109">
        <v>39359056</v>
      </c>
      <c r="E161" s="109">
        <v>0</v>
      </c>
      <c r="F161" s="109">
        <v>0</v>
      </c>
      <c r="G161" s="109">
        <v>0</v>
      </c>
      <c r="H161" s="109">
        <v>0</v>
      </c>
      <c r="I161" s="109">
        <v>0</v>
      </c>
      <c r="J161" s="75">
        <f t="shared" si="25"/>
        <v>0</v>
      </c>
      <c r="K161" s="75">
        <f t="shared" si="26"/>
        <v>39359056</v>
      </c>
      <c r="L161" s="109">
        <v>41248289</v>
      </c>
      <c r="M161" s="110">
        <v>43228207</v>
      </c>
      <c r="N161" s="128"/>
    </row>
    <row r="162" spans="1:14" ht="5.0999999999999996" customHeight="1" x14ac:dyDescent="0.25">
      <c r="A162" s="1235"/>
      <c r="B162" s="73"/>
      <c r="C162" s="74"/>
      <c r="D162" s="75"/>
      <c r="E162" s="75"/>
      <c r="F162" s="75"/>
      <c r="G162" s="75"/>
      <c r="H162" s="75"/>
      <c r="I162" s="75"/>
      <c r="J162" s="75"/>
      <c r="K162" s="75"/>
      <c r="L162" s="75"/>
      <c r="M162" s="76"/>
      <c r="N162" s="128"/>
    </row>
    <row r="163" spans="1:14" ht="12.75" customHeight="1" x14ac:dyDescent="0.25">
      <c r="A163" s="486" t="s">
        <v>1735</v>
      </c>
      <c r="B163" s="73"/>
      <c r="C163" s="236">
        <f t="shared" ref="C163:M163" si="33">SUM(C164:C164)</f>
        <v>0</v>
      </c>
      <c r="D163" s="237">
        <f t="shared" si="33"/>
        <v>0</v>
      </c>
      <c r="E163" s="237">
        <f t="shared" si="33"/>
        <v>0</v>
      </c>
      <c r="F163" s="237">
        <f t="shared" si="33"/>
        <v>0</v>
      </c>
      <c r="G163" s="237">
        <f t="shared" si="33"/>
        <v>0</v>
      </c>
      <c r="H163" s="237">
        <f t="shared" si="33"/>
        <v>0</v>
      </c>
      <c r="I163" s="237">
        <f t="shared" si="33"/>
        <v>0</v>
      </c>
      <c r="J163" s="237">
        <f t="shared" si="25"/>
        <v>0</v>
      </c>
      <c r="K163" s="237">
        <f t="shared" si="26"/>
        <v>0</v>
      </c>
      <c r="L163" s="237">
        <f t="shared" si="33"/>
        <v>0</v>
      </c>
      <c r="M163" s="238">
        <f t="shared" si="33"/>
        <v>0</v>
      </c>
      <c r="N163" s="128"/>
    </row>
    <row r="164" spans="1:14" ht="12.75" customHeight="1" x14ac:dyDescent="0.25">
      <c r="A164" s="588" t="s">
        <v>1735</v>
      </c>
      <c r="B164" s="73"/>
      <c r="C164" s="130">
        <v>0</v>
      </c>
      <c r="D164" s="109">
        <v>0</v>
      </c>
      <c r="E164" s="109">
        <v>0</v>
      </c>
      <c r="F164" s="109">
        <v>0</v>
      </c>
      <c r="G164" s="109">
        <v>0</v>
      </c>
      <c r="H164" s="109">
        <v>0</v>
      </c>
      <c r="I164" s="109">
        <v>0</v>
      </c>
      <c r="J164" s="75">
        <f t="shared" si="25"/>
        <v>0</v>
      </c>
      <c r="K164" s="75">
        <f t="shared" si="26"/>
        <v>0</v>
      </c>
      <c r="L164" s="109">
        <v>0</v>
      </c>
      <c r="M164" s="110">
        <v>0</v>
      </c>
      <c r="N164" s="128"/>
    </row>
    <row r="165" spans="1:14" ht="5.0999999999999996" customHeight="1" x14ac:dyDescent="0.25">
      <c r="A165" s="1235"/>
      <c r="B165" s="73"/>
      <c r="C165" s="74"/>
      <c r="D165" s="75"/>
      <c r="E165" s="75"/>
      <c r="F165" s="75"/>
      <c r="G165" s="75"/>
      <c r="H165" s="75"/>
      <c r="I165" s="75"/>
      <c r="J165" s="75"/>
      <c r="K165" s="75"/>
      <c r="L165" s="75"/>
      <c r="M165" s="76"/>
      <c r="N165" s="128"/>
    </row>
    <row r="166" spans="1:14" ht="12.75" customHeight="1" x14ac:dyDescent="0.25">
      <c r="A166" s="486" t="s">
        <v>1679</v>
      </c>
      <c r="B166" s="73"/>
      <c r="C166" s="236">
        <f t="shared" ref="C166:M166" si="34">SUM(C167:C167)</f>
        <v>0</v>
      </c>
      <c r="D166" s="237">
        <f t="shared" si="34"/>
        <v>0</v>
      </c>
      <c r="E166" s="237">
        <f t="shared" si="34"/>
        <v>0</v>
      </c>
      <c r="F166" s="237">
        <f t="shared" si="34"/>
        <v>0</v>
      </c>
      <c r="G166" s="237">
        <f t="shared" si="34"/>
        <v>0</v>
      </c>
      <c r="H166" s="237">
        <f t="shared" si="34"/>
        <v>0</v>
      </c>
      <c r="I166" s="237">
        <f t="shared" si="34"/>
        <v>0</v>
      </c>
      <c r="J166" s="237">
        <f t="shared" si="25"/>
        <v>0</v>
      </c>
      <c r="K166" s="237">
        <f t="shared" si="26"/>
        <v>0</v>
      </c>
      <c r="L166" s="237">
        <f t="shared" si="34"/>
        <v>0</v>
      </c>
      <c r="M166" s="238">
        <f t="shared" si="34"/>
        <v>0</v>
      </c>
      <c r="N166" s="128"/>
    </row>
    <row r="167" spans="1:14" ht="12.75" customHeight="1" x14ac:dyDescent="0.25">
      <c r="A167" s="588" t="s">
        <v>1679</v>
      </c>
      <c r="B167" s="73"/>
      <c r="C167" s="130">
        <v>0</v>
      </c>
      <c r="D167" s="109">
        <v>0</v>
      </c>
      <c r="E167" s="109">
        <v>0</v>
      </c>
      <c r="F167" s="109">
        <v>0</v>
      </c>
      <c r="G167" s="109">
        <v>0</v>
      </c>
      <c r="H167" s="109">
        <v>0</v>
      </c>
      <c r="I167" s="109">
        <v>0</v>
      </c>
      <c r="J167" s="75">
        <f t="shared" si="25"/>
        <v>0</v>
      </c>
      <c r="K167" s="75">
        <f t="shared" si="26"/>
        <v>0</v>
      </c>
      <c r="L167" s="109">
        <v>0</v>
      </c>
      <c r="M167" s="110">
        <v>0</v>
      </c>
      <c r="N167" s="128"/>
    </row>
    <row r="168" spans="1:14" ht="5.0999999999999996" customHeight="1" x14ac:dyDescent="0.25">
      <c r="A168" s="136"/>
      <c r="B168" s="73"/>
      <c r="C168" s="74"/>
      <c r="D168" s="75"/>
      <c r="E168" s="75"/>
      <c r="F168" s="75"/>
      <c r="G168" s="75"/>
      <c r="H168" s="75"/>
      <c r="I168" s="75"/>
      <c r="J168" s="75"/>
      <c r="K168" s="75"/>
      <c r="L168" s="75"/>
      <c r="M168" s="76"/>
      <c r="N168" s="128"/>
    </row>
    <row r="169" spans="1:14" ht="12.75" customHeight="1" x14ac:dyDescent="0.25">
      <c r="A169" s="849" t="s">
        <v>1189</v>
      </c>
      <c r="B169" s="156">
        <v>1</v>
      </c>
      <c r="C169" s="157">
        <f>C8+C76+C105+C112+C120+C151+C138+C141+C154+C157+C160+C163+C166</f>
        <v>552545618</v>
      </c>
      <c r="D169" s="117">
        <f t="shared" ref="D169:M169" si="35">D8+D76+D105+D112+D120+D151+D138+D141+D154+D157+D160+D163+D166</f>
        <v>552545618</v>
      </c>
      <c r="E169" s="117">
        <f>E8+E76+E105+E112+E120+E151+E138+E141+E154+E157+E160+E163+E166</f>
        <v>0</v>
      </c>
      <c r="F169" s="117">
        <f t="shared" si="35"/>
        <v>0</v>
      </c>
      <c r="G169" s="117">
        <f t="shared" si="35"/>
        <v>0</v>
      </c>
      <c r="H169" s="117">
        <f t="shared" si="35"/>
        <v>0</v>
      </c>
      <c r="I169" s="117">
        <f t="shared" si="35"/>
        <v>144521766</v>
      </c>
      <c r="J169" s="117">
        <f t="shared" si="25"/>
        <v>144521766</v>
      </c>
      <c r="K169" s="117">
        <f t="shared" si="26"/>
        <v>697067384</v>
      </c>
      <c r="L169" s="117">
        <f t="shared" si="35"/>
        <v>590032269</v>
      </c>
      <c r="M169" s="118">
        <f t="shared" si="35"/>
        <v>601933079</v>
      </c>
      <c r="N169" s="128"/>
    </row>
    <row r="170" spans="1:14" ht="12.75" customHeight="1" x14ac:dyDescent="0.25">
      <c r="A170" s="591" t="str">
        <f>head27a</f>
        <v>References</v>
      </c>
      <c r="B170" s="121"/>
      <c r="C170" s="53"/>
      <c r="D170" s="53"/>
      <c r="E170" s="53"/>
      <c r="F170" s="53"/>
      <c r="G170" s="53"/>
      <c r="H170" s="53"/>
      <c r="I170" s="53"/>
      <c r="J170" s="53"/>
      <c r="K170" s="53"/>
      <c r="L170" s="53"/>
      <c r="M170" s="53"/>
      <c r="N170" s="128"/>
    </row>
    <row r="171" spans="1:14" ht="12.75" customHeight="1" x14ac:dyDescent="0.25">
      <c r="A171" s="847" t="s">
        <v>1190</v>
      </c>
      <c r="B171" s="751"/>
      <c r="C171" s="754"/>
      <c r="D171" s="754"/>
      <c r="E171" s="755"/>
      <c r="F171" s="755"/>
      <c r="G171" s="755"/>
      <c r="H171" s="755"/>
      <c r="I171" s="755"/>
      <c r="J171" s="53"/>
      <c r="K171" s="53"/>
      <c r="L171" s="53"/>
      <c r="M171" s="53"/>
      <c r="N171" s="128"/>
    </row>
    <row r="172" spans="1:14" ht="12.75" customHeight="1" x14ac:dyDescent="0.25">
      <c r="A172" s="1408" t="s">
        <v>984</v>
      </c>
      <c r="B172" s="1408"/>
      <c r="C172" s="1408"/>
      <c r="D172" s="1408"/>
      <c r="E172" s="1408"/>
      <c r="F172" s="1408"/>
      <c r="G172" s="1408"/>
      <c r="H172" s="1408"/>
      <c r="I172" s="1408"/>
      <c r="J172" s="1408"/>
      <c r="K172" s="1408"/>
      <c r="L172" s="1408"/>
      <c r="M172" s="1408"/>
      <c r="N172" s="128"/>
    </row>
    <row r="173" spans="1:14" ht="12.75" customHeight="1" x14ac:dyDescent="0.25">
      <c r="A173" s="1408" t="s">
        <v>990</v>
      </c>
      <c r="B173" s="1408"/>
      <c r="C173" s="1408"/>
      <c r="D173" s="1408"/>
      <c r="E173" s="1408"/>
      <c r="F173" s="1408"/>
      <c r="G173" s="1408"/>
      <c r="H173" s="1408"/>
      <c r="I173" s="1408"/>
      <c r="J173" s="1408"/>
      <c r="K173" s="824"/>
      <c r="L173" s="824"/>
      <c r="M173" s="824"/>
      <c r="N173" s="128"/>
    </row>
    <row r="174" spans="1:14" ht="12.75" customHeight="1" x14ac:dyDescent="0.25">
      <c r="A174" s="1408" t="s">
        <v>991</v>
      </c>
      <c r="B174" s="1408"/>
      <c r="C174" s="1408"/>
      <c r="D174" s="1408"/>
      <c r="E174" s="1408"/>
      <c r="F174" s="1408"/>
      <c r="G174" s="1408"/>
      <c r="H174" s="1408"/>
      <c r="I174" s="1408"/>
      <c r="J174" s="1408"/>
      <c r="K174" s="824"/>
      <c r="L174" s="824"/>
      <c r="M174" s="824"/>
      <c r="N174" s="128"/>
    </row>
    <row r="175" spans="1:14" ht="12.75" customHeight="1" x14ac:dyDescent="0.25">
      <c r="A175" s="1408" t="s">
        <v>1014</v>
      </c>
      <c r="B175" s="1408"/>
      <c r="C175" s="1408"/>
      <c r="D175" s="1408"/>
      <c r="E175" s="1408"/>
      <c r="F175" s="1408"/>
      <c r="G175" s="1408"/>
      <c r="H175" s="1408"/>
      <c r="I175" s="1408"/>
      <c r="J175" s="1408"/>
      <c r="K175" s="1408"/>
      <c r="L175" s="1408"/>
      <c r="M175" s="1408"/>
      <c r="N175" s="128"/>
    </row>
    <row r="176" spans="1:14" ht="12.75" customHeight="1" x14ac:dyDescent="0.25">
      <c r="A176" s="159" t="s">
        <v>1015</v>
      </c>
      <c r="B176" s="160"/>
      <c r="C176" s="94"/>
      <c r="D176" s="94"/>
      <c r="E176" s="94"/>
      <c r="F176" s="94"/>
      <c r="G176" s="94"/>
      <c r="H176" s="94"/>
      <c r="I176" s="94"/>
      <c r="J176" s="94"/>
      <c r="K176" s="94"/>
      <c r="L176" s="94"/>
      <c r="M176" s="94"/>
      <c r="N176" s="128"/>
    </row>
    <row r="177" spans="1:14" ht="12.75" customHeight="1" x14ac:dyDescent="0.25">
      <c r="A177" s="1408" t="s">
        <v>1016</v>
      </c>
      <c r="B177" s="1408"/>
      <c r="C177" s="1408"/>
      <c r="D177" s="1408"/>
      <c r="E177" s="1408"/>
      <c r="F177" s="1408"/>
      <c r="G177" s="1408"/>
      <c r="H177" s="1408"/>
      <c r="I177" s="1408"/>
      <c r="J177" s="1408"/>
      <c r="K177" s="1408"/>
      <c r="L177" s="1408"/>
      <c r="M177" s="1408"/>
      <c r="N177" s="128"/>
    </row>
    <row r="178" spans="1:14" ht="12.75" customHeight="1" x14ac:dyDescent="0.25">
      <c r="A178" s="159" t="s">
        <v>1017</v>
      </c>
      <c r="B178" s="160"/>
      <c r="C178" s="94"/>
      <c r="D178" s="94"/>
      <c r="E178" s="94"/>
      <c r="F178" s="94"/>
      <c r="G178" s="94"/>
      <c r="H178" s="94"/>
      <c r="I178" s="94"/>
      <c r="J178" s="94"/>
      <c r="K178" s="94"/>
      <c r="L178" s="94"/>
      <c r="M178" s="94"/>
      <c r="N178" s="128"/>
    </row>
    <row r="179" spans="1:14" ht="12.75" customHeight="1" x14ac:dyDescent="0.25">
      <c r="A179" s="1408" t="s">
        <v>1018</v>
      </c>
      <c r="B179" s="1408"/>
      <c r="C179" s="1408"/>
      <c r="D179" s="1408"/>
      <c r="E179" s="1408"/>
      <c r="F179" s="1408"/>
      <c r="G179" s="1408"/>
      <c r="H179" s="1408"/>
      <c r="I179" s="1408"/>
      <c r="J179" s="1408"/>
      <c r="K179" s="1408"/>
      <c r="L179" s="1408"/>
      <c r="M179" s="1408"/>
      <c r="N179" s="128"/>
    </row>
    <row r="180" spans="1:14" ht="11.25" customHeight="1" x14ac:dyDescent="0.25">
      <c r="A180" s="338"/>
      <c r="B180" s="782"/>
      <c r="C180" s="545"/>
      <c r="D180" s="545"/>
      <c r="E180" s="545"/>
      <c r="F180" s="545"/>
      <c r="G180" s="545"/>
      <c r="H180" s="545"/>
      <c r="I180" s="545"/>
      <c r="J180" s="545"/>
      <c r="K180" s="545"/>
      <c r="L180" s="545"/>
      <c r="M180" s="545"/>
      <c r="N180" s="128"/>
    </row>
    <row r="181" spans="1:14" ht="11.25" customHeight="1" x14ac:dyDescent="0.25">
      <c r="A181" s="48"/>
      <c r="B181" s="121"/>
      <c r="C181" s="53"/>
      <c r="D181" s="53"/>
      <c r="E181" s="53"/>
      <c r="F181" s="53"/>
      <c r="G181" s="53"/>
      <c r="H181" s="53"/>
      <c r="I181" s="53"/>
      <c r="J181" s="53"/>
      <c r="K181" s="53"/>
      <c r="L181" s="53"/>
      <c r="M181" s="53"/>
      <c r="N181" s="128"/>
    </row>
    <row r="182" spans="1:14" ht="11.25" customHeight="1" x14ac:dyDescent="0.25">
      <c r="A182" s="783" t="s">
        <v>671</v>
      </c>
      <c r="B182" s="160"/>
      <c r="C182" s="784"/>
      <c r="D182" s="784"/>
      <c r="E182" s="784"/>
      <c r="F182" s="784"/>
      <c r="G182" s="784"/>
      <c r="H182" s="784"/>
      <c r="I182" s="784"/>
      <c r="J182" s="784"/>
      <c r="K182" s="784"/>
      <c r="L182" s="784"/>
      <c r="M182" s="784"/>
      <c r="N182" s="128"/>
    </row>
    <row r="183" spans="1:14" ht="11.25" customHeight="1" x14ac:dyDescent="0.25">
      <c r="N183" s="128"/>
    </row>
    <row r="184" spans="1:14" ht="11.25" customHeight="1" x14ac:dyDescent="0.25"/>
    <row r="185" spans="1:14" ht="11.25" customHeight="1" x14ac:dyDescent="0.25"/>
    <row r="186" spans="1:14" ht="11.25" customHeight="1" x14ac:dyDescent="0.25"/>
    <row r="187" spans="1:14" ht="11.25" customHeight="1" x14ac:dyDescent="0.25"/>
    <row r="188" spans="1:14" ht="11.25" customHeight="1" x14ac:dyDescent="0.25"/>
    <row r="189" spans="1:14" ht="11.25" customHeight="1" x14ac:dyDescent="0.25"/>
    <row r="190" spans="1:14" ht="11.25" customHeight="1" x14ac:dyDescent="0.25"/>
    <row r="191" spans="1:14" ht="11.25" customHeight="1" x14ac:dyDescent="0.25"/>
    <row r="192" spans="1:14" ht="11.25" customHeight="1" x14ac:dyDescent="0.25"/>
    <row r="193" ht="11.25" customHeight="1" x14ac:dyDescent="0.25"/>
    <row r="194" ht="11.25" customHeight="1" x14ac:dyDescent="0.25"/>
    <row r="195" ht="11.25" customHeight="1" x14ac:dyDescent="0.25"/>
    <row r="196" ht="11.25" customHeight="1" x14ac:dyDescent="0.25"/>
    <row r="197" ht="11.25" customHeight="1" x14ac:dyDescent="0.25"/>
    <row r="198" ht="11.25" customHeight="1" x14ac:dyDescent="0.25"/>
    <row r="199" ht="11.25" customHeight="1" x14ac:dyDescent="0.25"/>
    <row r="200" ht="11.25" customHeight="1" x14ac:dyDescent="0.25"/>
    <row r="201" ht="11.25" customHeight="1" x14ac:dyDescent="0.25"/>
    <row r="202" ht="11.25" customHeight="1" x14ac:dyDescent="0.25"/>
    <row r="203" ht="11.25" customHeight="1" x14ac:dyDescent="0.25"/>
    <row r="204" ht="11.25" customHeight="1" x14ac:dyDescent="0.25"/>
    <row r="205" ht="11.25" customHeight="1" x14ac:dyDescent="0.25"/>
    <row r="206" ht="11.25" customHeight="1" x14ac:dyDescent="0.25"/>
    <row r="207" ht="11.25" customHeight="1" x14ac:dyDescent="0.25"/>
    <row r="208" ht="11.25" customHeight="1" x14ac:dyDescent="0.25"/>
    <row r="209" ht="11.25" customHeight="1" x14ac:dyDescent="0.25"/>
    <row r="210" ht="11.25" customHeight="1" x14ac:dyDescent="0.25"/>
    <row r="211" ht="11.25" customHeight="1" x14ac:dyDescent="0.25"/>
    <row r="212" ht="11.25" customHeight="1" x14ac:dyDescent="0.25"/>
    <row r="213" ht="11.25" customHeight="1" x14ac:dyDescent="0.25"/>
    <row r="214" ht="11.25" customHeight="1" x14ac:dyDescent="0.25"/>
    <row r="215" ht="11.25" customHeight="1" x14ac:dyDescent="0.25"/>
    <row r="216" ht="11.25" customHeight="1" x14ac:dyDescent="0.25"/>
    <row r="217" ht="11.25" customHeight="1" x14ac:dyDescent="0.25"/>
  </sheetData>
  <sheetProtection sheet="1" objects="1" scenarios="1"/>
  <mergeCells count="9">
    <mergeCell ref="A2:A4"/>
    <mergeCell ref="B2:B4"/>
    <mergeCell ref="C2:K2"/>
    <mergeCell ref="A172:M172"/>
    <mergeCell ref="A179:M179"/>
    <mergeCell ref="A173:J173"/>
    <mergeCell ref="A174:J174"/>
    <mergeCell ref="A175:M175"/>
    <mergeCell ref="A177:M177"/>
  </mergeCells>
  <phoneticPr fontId="4"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92D050"/>
  </sheetPr>
  <dimension ref="A1:V308"/>
  <sheetViews>
    <sheetView topLeftCell="A266" workbookViewId="0">
      <selection activeCell="B275" sqref="B275"/>
    </sheetView>
  </sheetViews>
  <sheetFormatPr defaultColWidth="9.140625" defaultRowHeight="11.25" x14ac:dyDescent="0.2"/>
  <cols>
    <col min="1" max="1" width="28.85546875" style="649" bestFit="1" customWidth="1"/>
    <col min="2" max="2" width="25.85546875" style="649" customWidth="1"/>
    <col min="3" max="4" width="41.85546875" style="649" bestFit="1" customWidth="1"/>
    <col min="5" max="14" width="41.85546875" style="649" customWidth="1"/>
    <col min="15" max="15" width="43.5703125" style="649" bestFit="1" customWidth="1"/>
    <col min="16" max="16" width="1.28515625" style="649" customWidth="1"/>
    <col min="17" max="17" width="9.140625" style="649"/>
    <col min="18" max="19" width="33.42578125" style="649" bestFit="1" customWidth="1"/>
    <col min="20" max="20" width="30.42578125" style="649" bestFit="1" customWidth="1"/>
    <col min="21" max="21" width="27.7109375" style="649" customWidth="1"/>
    <col min="22" max="16384" width="9.140625" style="649"/>
  </cols>
  <sheetData>
    <row r="1" spans="1:22" s="1" customFormat="1" x14ac:dyDescent="0.2">
      <c r="A1" s="642" t="s">
        <v>244</v>
      </c>
      <c r="B1" s="643">
        <v>2007</v>
      </c>
      <c r="C1" s="643">
        <v>2008</v>
      </c>
      <c r="D1" s="643">
        <v>2009</v>
      </c>
      <c r="E1" s="644">
        <v>2010</v>
      </c>
      <c r="F1" s="644">
        <v>2011</v>
      </c>
      <c r="G1" s="644">
        <v>2012</v>
      </c>
      <c r="H1" s="644">
        <v>2013</v>
      </c>
      <c r="I1" s="644">
        <v>2014</v>
      </c>
      <c r="J1" s="644">
        <v>2015</v>
      </c>
      <c r="K1" s="644">
        <v>2016</v>
      </c>
      <c r="L1" s="644">
        <v>2017</v>
      </c>
      <c r="M1" s="644">
        <v>2018</v>
      </c>
      <c r="N1" s="644">
        <v>2019</v>
      </c>
      <c r="O1" s="644">
        <v>2020</v>
      </c>
      <c r="P1" s="645"/>
      <c r="Q1" s="646" t="s">
        <v>245</v>
      </c>
      <c r="R1" s="646" t="s">
        <v>246</v>
      </c>
      <c r="S1" s="646" t="s">
        <v>247</v>
      </c>
      <c r="T1" s="646" t="s">
        <v>248</v>
      </c>
      <c r="U1" s="646" t="s">
        <v>249</v>
      </c>
      <c r="V1" s="1" t="s">
        <v>250</v>
      </c>
    </row>
    <row r="2" spans="1:22" x14ac:dyDescent="0.2">
      <c r="A2" s="647" t="str">
        <f>'Template names'!C2</f>
        <v>Prior year -1</v>
      </c>
      <c r="B2" s="648" t="s">
        <v>251</v>
      </c>
      <c r="C2" s="648" t="s">
        <v>252</v>
      </c>
      <c r="D2" s="648" t="s">
        <v>253</v>
      </c>
      <c r="E2" s="651" t="str">
        <f t="shared" ref="E2:O2" si="0">E1-1&amp;"/"&amp;RIGHT(E1,2)-0</f>
        <v>2009/10</v>
      </c>
      <c r="F2" s="651" t="str">
        <f t="shared" si="0"/>
        <v>2010/11</v>
      </c>
      <c r="G2" s="651" t="str">
        <f t="shared" si="0"/>
        <v>2011/12</v>
      </c>
      <c r="H2" s="651" t="str">
        <f t="shared" si="0"/>
        <v>2012/13</v>
      </c>
      <c r="I2" s="651" t="str">
        <f t="shared" si="0"/>
        <v>2013/14</v>
      </c>
      <c r="J2" s="651" t="str">
        <f t="shared" si="0"/>
        <v>2014/15</v>
      </c>
      <c r="K2" s="651" t="str">
        <f t="shared" si="0"/>
        <v>2015/16</v>
      </c>
      <c r="L2" s="651" t="str">
        <f t="shared" si="0"/>
        <v>2016/17</v>
      </c>
      <c r="M2" s="651" t="str">
        <f t="shared" si="0"/>
        <v>2017/18</v>
      </c>
      <c r="N2" s="651" t="str">
        <f t="shared" si="0"/>
        <v>2018/19</v>
      </c>
      <c r="O2" s="651" t="str">
        <f t="shared" si="0"/>
        <v>2019/20</v>
      </c>
      <c r="P2" s="648"/>
      <c r="R2" s="649" t="s">
        <v>1270</v>
      </c>
      <c r="S2" s="649" t="s">
        <v>1280</v>
      </c>
      <c r="T2" s="649" t="s">
        <v>1282</v>
      </c>
      <c r="U2" s="649" t="s">
        <v>1289</v>
      </c>
      <c r="V2" s="649" t="s">
        <v>255</v>
      </c>
    </row>
    <row r="3" spans="1:22" x14ac:dyDescent="0.2">
      <c r="A3" s="647" t="str">
        <f>'Template names'!C3</f>
        <v>Prior year -2</v>
      </c>
      <c r="B3" s="650" t="s">
        <v>256</v>
      </c>
      <c r="C3" s="648" t="s">
        <v>251</v>
      </c>
      <c r="D3" s="648" t="s">
        <v>252</v>
      </c>
      <c r="E3" s="651" t="str">
        <f t="shared" ref="E3:O3" si="1">E1-2&amp;"/"&amp;RIGHT(E1,2)-1</f>
        <v>2008/9</v>
      </c>
      <c r="F3" s="651" t="str">
        <f t="shared" si="1"/>
        <v>2009/10</v>
      </c>
      <c r="G3" s="651" t="str">
        <f t="shared" si="1"/>
        <v>2010/11</v>
      </c>
      <c r="H3" s="651" t="str">
        <f t="shared" si="1"/>
        <v>2011/12</v>
      </c>
      <c r="I3" s="651" t="str">
        <f t="shared" si="1"/>
        <v>2012/13</v>
      </c>
      <c r="J3" s="651" t="str">
        <f t="shared" si="1"/>
        <v>2013/14</v>
      </c>
      <c r="K3" s="651" t="str">
        <f t="shared" si="1"/>
        <v>2014/15</v>
      </c>
      <c r="L3" s="651" t="str">
        <f t="shared" si="1"/>
        <v>2015/16</v>
      </c>
      <c r="M3" s="651" t="str">
        <f t="shared" si="1"/>
        <v>2016/17</v>
      </c>
      <c r="N3" s="651" t="str">
        <f t="shared" si="1"/>
        <v>2017/18</v>
      </c>
      <c r="O3" s="651" t="str">
        <f t="shared" si="1"/>
        <v>2018/19</v>
      </c>
      <c r="P3" s="648"/>
      <c r="R3" s="649" t="s">
        <v>1271</v>
      </c>
      <c r="S3" s="649" t="s">
        <v>1281</v>
      </c>
      <c r="T3" s="649" t="s">
        <v>1283</v>
      </c>
      <c r="U3" s="649" t="s">
        <v>1290</v>
      </c>
      <c r="V3" s="649" t="s">
        <v>546</v>
      </c>
    </row>
    <row r="4" spans="1:22" x14ac:dyDescent="0.2">
      <c r="A4" s="647" t="str">
        <f>'Template names'!C4</f>
        <v>Prior year -3</v>
      </c>
      <c r="B4" s="650" t="s">
        <v>258</v>
      </c>
      <c r="C4" s="648" t="s">
        <v>256</v>
      </c>
      <c r="D4" s="648" t="s">
        <v>251</v>
      </c>
      <c r="E4" s="651" t="str">
        <f t="shared" ref="E4:O4" si="2">E1-3&amp;"/"&amp;RIGHT(E1,2)-2</f>
        <v>2007/8</v>
      </c>
      <c r="F4" s="651" t="str">
        <f t="shared" si="2"/>
        <v>2008/9</v>
      </c>
      <c r="G4" s="651" t="str">
        <f t="shared" si="2"/>
        <v>2009/10</v>
      </c>
      <c r="H4" s="651" t="str">
        <f t="shared" si="2"/>
        <v>2010/11</v>
      </c>
      <c r="I4" s="651" t="str">
        <f t="shared" si="2"/>
        <v>2011/12</v>
      </c>
      <c r="J4" s="651" t="str">
        <f t="shared" si="2"/>
        <v>2012/13</v>
      </c>
      <c r="K4" s="651" t="str">
        <f t="shared" si="2"/>
        <v>2013/14</v>
      </c>
      <c r="L4" s="651" t="str">
        <f t="shared" si="2"/>
        <v>2014/15</v>
      </c>
      <c r="M4" s="651" t="str">
        <f t="shared" si="2"/>
        <v>2015/16</v>
      </c>
      <c r="N4" s="651" t="str">
        <f t="shared" si="2"/>
        <v>2016/17</v>
      </c>
      <c r="O4" s="651" t="str">
        <f t="shared" si="2"/>
        <v>2017/18</v>
      </c>
      <c r="P4" s="648"/>
      <c r="R4" s="649" t="s">
        <v>1272</v>
      </c>
      <c r="S4" s="649" t="s">
        <v>619</v>
      </c>
      <c r="T4" s="649" t="s">
        <v>1284</v>
      </c>
      <c r="U4" s="649" t="s">
        <v>620</v>
      </c>
    </row>
    <row r="5" spans="1:22" x14ac:dyDescent="0.2">
      <c r="A5" s="647" t="str">
        <f>'Template names'!C7</f>
        <v>MTREF header name</v>
      </c>
      <c r="B5" s="648" t="s">
        <v>259</v>
      </c>
      <c r="C5" s="648" t="s">
        <v>260</v>
      </c>
      <c r="D5" s="648" t="s">
        <v>261</v>
      </c>
      <c r="E5" s="651" t="str">
        <f t="shared" ref="E5:O5" si="3">E1&amp;"/"&amp;RIGHT(E1,2)+1&amp;" Medium Term Revenue &amp; Expenditure Framework"</f>
        <v>2010/11 Medium Term Revenue &amp; Expenditure Framework</v>
      </c>
      <c r="F5" s="651" t="str">
        <f t="shared" si="3"/>
        <v>2011/12 Medium Term Revenue &amp; Expenditure Framework</v>
      </c>
      <c r="G5" s="651" t="str">
        <f t="shared" si="3"/>
        <v>2012/13 Medium Term Revenue &amp; Expenditure Framework</v>
      </c>
      <c r="H5" s="651" t="str">
        <f t="shared" si="3"/>
        <v>2013/14 Medium Term Revenue &amp; Expenditure Framework</v>
      </c>
      <c r="I5" s="651" t="str">
        <f t="shared" si="3"/>
        <v>2014/15 Medium Term Revenue &amp; Expenditure Framework</v>
      </c>
      <c r="J5" s="651" t="str">
        <f t="shared" si="3"/>
        <v>2015/16 Medium Term Revenue &amp; Expenditure Framework</v>
      </c>
      <c r="K5" s="651" t="str">
        <f t="shared" si="3"/>
        <v>2016/17 Medium Term Revenue &amp; Expenditure Framework</v>
      </c>
      <c r="L5" s="651" t="str">
        <f t="shared" si="3"/>
        <v>2017/18 Medium Term Revenue &amp; Expenditure Framework</v>
      </c>
      <c r="M5" s="651" t="str">
        <f t="shared" si="3"/>
        <v>2018/19 Medium Term Revenue &amp; Expenditure Framework</v>
      </c>
      <c r="N5" s="651" t="str">
        <f t="shared" si="3"/>
        <v>2019/20 Medium Term Revenue &amp; Expenditure Framework</v>
      </c>
      <c r="O5" s="651" t="str">
        <f t="shared" si="3"/>
        <v>2020/21 Medium Term Revenue &amp; Expenditure Framework</v>
      </c>
      <c r="P5" s="648"/>
      <c r="R5" s="649" t="s">
        <v>262</v>
      </c>
      <c r="S5" s="649" t="s">
        <v>263</v>
      </c>
      <c r="T5" s="649" t="s">
        <v>1285</v>
      </c>
      <c r="U5" s="649" t="s">
        <v>1291</v>
      </c>
    </row>
    <row r="6" spans="1:22" x14ac:dyDescent="0.2">
      <c r="A6" s="647" t="str">
        <f>'Template names'!C6</f>
        <v>Approved budget year</v>
      </c>
      <c r="B6" s="648" t="s">
        <v>252</v>
      </c>
      <c r="C6" s="648" t="s">
        <v>253</v>
      </c>
      <c r="D6" s="648" t="s">
        <v>254</v>
      </c>
      <c r="E6" s="652" t="str">
        <f t="shared" ref="E6:O6" si="4">E1&amp;"/"&amp;RIGHT(E1,2)+1</f>
        <v>2010/11</v>
      </c>
      <c r="F6" s="652" t="str">
        <f t="shared" si="4"/>
        <v>2011/12</v>
      </c>
      <c r="G6" s="652" t="str">
        <f t="shared" si="4"/>
        <v>2012/13</v>
      </c>
      <c r="H6" s="652" t="str">
        <f t="shared" si="4"/>
        <v>2013/14</v>
      </c>
      <c r="I6" s="652" t="str">
        <f t="shared" si="4"/>
        <v>2014/15</v>
      </c>
      <c r="J6" s="652" t="str">
        <f t="shared" si="4"/>
        <v>2015/16</v>
      </c>
      <c r="K6" s="652" t="str">
        <f t="shared" si="4"/>
        <v>2016/17</v>
      </c>
      <c r="L6" s="652" t="str">
        <f t="shared" si="4"/>
        <v>2017/18</v>
      </c>
      <c r="M6" s="652" t="str">
        <f t="shared" si="4"/>
        <v>2018/19</v>
      </c>
      <c r="N6" s="652" t="str">
        <f t="shared" si="4"/>
        <v>2019/20</v>
      </c>
      <c r="O6" s="652" t="str">
        <f t="shared" si="4"/>
        <v>2020/21</v>
      </c>
      <c r="P6" s="648"/>
      <c r="R6" s="649" t="s">
        <v>1273</v>
      </c>
      <c r="T6" s="649" t="s">
        <v>1286</v>
      </c>
      <c r="U6" s="649" t="s">
        <v>1292</v>
      </c>
    </row>
    <row r="7" spans="1:22" x14ac:dyDescent="0.2">
      <c r="A7" s="647" t="str">
        <f>'Template names'!C16</f>
        <v>1st year of MTREF</v>
      </c>
      <c r="B7" s="648" t="s">
        <v>264</v>
      </c>
      <c r="C7" s="648" t="s">
        <v>265</v>
      </c>
      <c r="D7" s="648" t="s">
        <v>266</v>
      </c>
      <c r="E7" s="651" t="str">
        <f t="shared" ref="E7:O7" si="5">"Budget Year "&amp;E1&amp;"/"&amp;RIGHT(E1,2)+1</f>
        <v>Budget Year 2010/11</v>
      </c>
      <c r="F7" s="651" t="str">
        <f t="shared" si="5"/>
        <v>Budget Year 2011/12</v>
      </c>
      <c r="G7" s="651" t="str">
        <f t="shared" si="5"/>
        <v>Budget Year 2012/13</v>
      </c>
      <c r="H7" s="651" t="str">
        <f t="shared" si="5"/>
        <v>Budget Year 2013/14</v>
      </c>
      <c r="I7" s="651" t="str">
        <f t="shared" si="5"/>
        <v>Budget Year 2014/15</v>
      </c>
      <c r="J7" s="651" t="str">
        <f t="shared" si="5"/>
        <v>Budget Year 2015/16</v>
      </c>
      <c r="K7" s="651" t="str">
        <f t="shared" si="5"/>
        <v>Budget Year 2016/17</v>
      </c>
      <c r="L7" s="651" t="str">
        <f t="shared" si="5"/>
        <v>Budget Year 2017/18</v>
      </c>
      <c r="M7" s="651" t="str">
        <f t="shared" si="5"/>
        <v>Budget Year 2018/19</v>
      </c>
      <c r="N7" s="651" t="str">
        <f t="shared" si="5"/>
        <v>Budget Year 2019/20</v>
      </c>
      <c r="O7" s="651" t="str">
        <f t="shared" si="5"/>
        <v>Budget Year 2020/21</v>
      </c>
      <c r="P7" s="648"/>
      <c r="R7" s="649" t="s">
        <v>1274</v>
      </c>
      <c r="T7" s="649" t="s">
        <v>1287</v>
      </c>
      <c r="U7" s="649" t="s">
        <v>1293</v>
      </c>
    </row>
    <row r="8" spans="1:22" x14ac:dyDescent="0.2">
      <c r="A8" s="647" t="str">
        <f>'Template names'!C17</f>
        <v>2nd year of MTREF</v>
      </c>
      <c r="B8" s="648" t="s">
        <v>267</v>
      </c>
      <c r="C8" s="648" t="s">
        <v>268</v>
      </c>
      <c r="D8" s="648" t="s">
        <v>269</v>
      </c>
      <c r="E8" s="651" t="str">
        <f t="shared" ref="E8:O8" si="6">"Budget Year +1 "&amp;E1+1&amp;"/"&amp;RIGHT(E1,2)+2</f>
        <v>Budget Year +1 2011/12</v>
      </c>
      <c r="F8" s="651" t="str">
        <f t="shared" si="6"/>
        <v>Budget Year +1 2012/13</v>
      </c>
      <c r="G8" s="651" t="str">
        <f t="shared" si="6"/>
        <v>Budget Year +1 2013/14</v>
      </c>
      <c r="H8" s="651" t="str">
        <f t="shared" si="6"/>
        <v>Budget Year +1 2014/15</v>
      </c>
      <c r="I8" s="651" t="str">
        <f t="shared" si="6"/>
        <v>Budget Year +1 2015/16</v>
      </c>
      <c r="J8" s="651" t="str">
        <f t="shared" si="6"/>
        <v>Budget Year +1 2016/17</v>
      </c>
      <c r="K8" s="651" t="str">
        <f t="shared" si="6"/>
        <v>Budget Year +1 2017/18</v>
      </c>
      <c r="L8" s="651" t="str">
        <f t="shared" si="6"/>
        <v>Budget Year +1 2018/19</v>
      </c>
      <c r="M8" s="651" t="str">
        <f t="shared" si="6"/>
        <v>Budget Year +1 2019/20</v>
      </c>
      <c r="N8" s="651" t="str">
        <f t="shared" si="6"/>
        <v>Budget Year +1 2020/21</v>
      </c>
      <c r="O8" s="651" t="str">
        <f t="shared" si="6"/>
        <v>Budget Year +1 2021/22</v>
      </c>
      <c r="P8" s="648"/>
      <c r="R8" s="649" t="s">
        <v>1275</v>
      </c>
      <c r="T8" s="649" t="s">
        <v>1288</v>
      </c>
      <c r="U8" s="649" t="s">
        <v>263</v>
      </c>
    </row>
    <row r="9" spans="1:22" x14ac:dyDescent="0.2">
      <c r="A9" s="647" t="str">
        <f>'Template names'!C18</f>
        <v>3rd year of MTREF</v>
      </c>
      <c r="B9" s="648" t="s">
        <v>270</v>
      </c>
      <c r="C9" s="648" t="s">
        <v>271</v>
      </c>
      <c r="D9" s="648" t="s">
        <v>272</v>
      </c>
      <c r="E9" s="651" t="str">
        <f t="shared" ref="E9:O9" si="7">"Budget Year +2 "&amp;E1+2&amp;"/"&amp;RIGHT(E1,2)+3</f>
        <v>Budget Year +2 2012/13</v>
      </c>
      <c r="F9" s="651" t="str">
        <f t="shared" si="7"/>
        <v>Budget Year +2 2013/14</v>
      </c>
      <c r="G9" s="651" t="str">
        <f t="shared" si="7"/>
        <v>Budget Year +2 2014/15</v>
      </c>
      <c r="H9" s="651" t="str">
        <f t="shared" si="7"/>
        <v>Budget Year +2 2015/16</v>
      </c>
      <c r="I9" s="651" t="str">
        <f t="shared" si="7"/>
        <v>Budget Year +2 2016/17</v>
      </c>
      <c r="J9" s="651" t="str">
        <f t="shared" si="7"/>
        <v>Budget Year +2 2017/18</v>
      </c>
      <c r="K9" s="651" t="str">
        <f t="shared" si="7"/>
        <v>Budget Year +2 2018/19</v>
      </c>
      <c r="L9" s="651" t="str">
        <f t="shared" si="7"/>
        <v>Budget Year +2 2019/20</v>
      </c>
      <c r="M9" s="651" t="str">
        <f t="shared" si="7"/>
        <v>Budget Year +2 2020/21</v>
      </c>
      <c r="N9" s="651" t="str">
        <f t="shared" si="7"/>
        <v>Budget Year +2 2021/22</v>
      </c>
      <c r="O9" s="651" t="str">
        <f t="shared" si="7"/>
        <v>Budget Year +2 2022/23</v>
      </c>
      <c r="P9" s="648"/>
      <c r="R9" s="649" t="s">
        <v>1276</v>
      </c>
    </row>
    <row r="10" spans="1:22" x14ac:dyDescent="0.2">
      <c r="A10" s="653" t="s">
        <v>273</v>
      </c>
      <c r="B10" s="654" t="s">
        <v>274</v>
      </c>
      <c r="C10" s="654" t="s">
        <v>275</v>
      </c>
      <c r="D10" s="654" t="s">
        <v>276</v>
      </c>
      <c r="E10" s="655" t="str">
        <f t="shared" ref="E10:O10" si="8">"Annual target " &amp; E1&amp;"/"&amp;RIGHT(E1,2)+1</f>
        <v>Annual target 2010/11</v>
      </c>
      <c r="F10" s="655" t="str">
        <f t="shared" si="8"/>
        <v>Annual target 2011/12</v>
      </c>
      <c r="G10" s="655" t="str">
        <f t="shared" si="8"/>
        <v>Annual target 2012/13</v>
      </c>
      <c r="H10" s="655" t="str">
        <f t="shared" si="8"/>
        <v>Annual target 2013/14</v>
      </c>
      <c r="I10" s="655" t="str">
        <f t="shared" si="8"/>
        <v>Annual target 2014/15</v>
      </c>
      <c r="J10" s="655" t="str">
        <f t="shared" si="8"/>
        <v>Annual target 2015/16</v>
      </c>
      <c r="K10" s="655" t="str">
        <f t="shared" si="8"/>
        <v>Annual target 2016/17</v>
      </c>
      <c r="L10" s="655" t="str">
        <f t="shared" si="8"/>
        <v>Annual target 2017/18</v>
      </c>
      <c r="M10" s="655" t="str">
        <f t="shared" si="8"/>
        <v>Annual target 2018/19</v>
      </c>
      <c r="N10" s="655" t="str">
        <f t="shared" si="8"/>
        <v>Annual target 2019/20</v>
      </c>
      <c r="O10" s="655" t="str">
        <f t="shared" si="8"/>
        <v>Annual target 2020/21</v>
      </c>
      <c r="P10" s="648"/>
      <c r="R10" s="649" t="s">
        <v>1277</v>
      </c>
    </row>
    <row r="11" spans="1:22" ht="18" x14ac:dyDescent="0.25">
      <c r="A11" s="656" t="s">
        <v>277</v>
      </c>
      <c r="R11" s="649" t="s">
        <v>1278</v>
      </c>
    </row>
    <row r="12" spans="1:22" x14ac:dyDescent="0.2">
      <c r="R12" s="649" t="s">
        <v>1279</v>
      </c>
    </row>
    <row r="15" spans="1:22" x14ac:dyDescent="0.2">
      <c r="R15" s="646" t="s">
        <v>1367</v>
      </c>
      <c r="S15" s="646" t="s">
        <v>1736</v>
      </c>
      <c r="T15" s="646" t="s">
        <v>1368</v>
      </c>
      <c r="U15" s="646" t="s">
        <v>1737</v>
      </c>
      <c r="V15" s="646" t="s">
        <v>1738</v>
      </c>
    </row>
    <row r="17" spans="1:22" x14ac:dyDescent="0.2">
      <c r="R17" s="649" t="s">
        <v>1569</v>
      </c>
      <c r="S17" s="649" t="s">
        <v>478</v>
      </c>
      <c r="T17" s="649" t="s">
        <v>1000</v>
      </c>
      <c r="U17" s="649" t="s">
        <v>1739</v>
      </c>
      <c r="V17" s="649" t="s">
        <v>1740</v>
      </c>
    </row>
    <row r="18" spans="1:22" x14ac:dyDescent="0.2">
      <c r="R18" s="649" t="s">
        <v>1573</v>
      </c>
      <c r="S18" s="649" t="s">
        <v>479</v>
      </c>
      <c r="T18" s="649" t="s">
        <v>1570</v>
      </c>
      <c r="U18" s="649" t="s">
        <v>1741</v>
      </c>
      <c r="V18" s="649" t="s">
        <v>1742</v>
      </c>
    </row>
    <row r="19" spans="1:22" x14ac:dyDescent="0.2">
      <c r="R19" s="649" t="s">
        <v>1577</v>
      </c>
      <c r="S19" s="649" t="s">
        <v>480</v>
      </c>
      <c r="T19" s="649" t="s">
        <v>1571</v>
      </c>
      <c r="U19" s="649" t="s">
        <v>1743</v>
      </c>
      <c r="V19" s="649" t="s">
        <v>1744</v>
      </c>
    </row>
    <row r="20" spans="1:22" x14ac:dyDescent="0.2">
      <c r="R20" s="649" t="s">
        <v>1586</v>
      </c>
      <c r="S20" s="649" t="s">
        <v>481</v>
      </c>
      <c r="T20" s="649" t="s">
        <v>1572</v>
      </c>
      <c r="U20" s="649" t="s">
        <v>1745</v>
      </c>
      <c r="V20" s="649" t="s">
        <v>1746</v>
      </c>
    </row>
    <row r="21" spans="1:22" x14ac:dyDescent="0.2">
      <c r="R21" s="649" t="s">
        <v>1596</v>
      </c>
      <c r="S21" s="649" t="s">
        <v>482</v>
      </c>
      <c r="T21" s="649" t="s">
        <v>1574</v>
      </c>
      <c r="V21" s="649" t="s">
        <v>1747</v>
      </c>
    </row>
    <row r="22" spans="1:22" x14ac:dyDescent="0.2">
      <c r="R22" s="649" t="s">
        <v>1601</v>
      </c>
      <c r="S22" s="649" t="s">
        <v>483</v>
      </c>
      <c r="T22" s="649" t="s">
        <v>1575</v>
      </c>
      <c r="V22" s="649" t="s">
        <v>1748</v>
      </c>
    </row>
    <row r="23" spans="1:22" x14ac:dyDescent="0.2">
      <c r="R23" s="649" t="s">
        <v>1608</v>
      </c>
      <c r="S23" s="649" t="s">
        <v>484</v>
      </c>
      <c r="T23" s="649" t="s">
        <v>1576</v>
      </c>
      <c r="V23" s="649" t="s">
        <v>1749</v>
      </c>
    </row>
    <row r="24" spans="1:22" x14ac:dyDescent="0.2">
      <c r="R24" s="649" t="s">
        <v>1612</v>
      </c>
      <c r="S24" s="649" t="s">
        <v>485</v>
      </c>
      <c r="T24" s="649" t="s">
        <v>1578</v>
      </c>
      <c r="V24" s="649" t="s">
        <v>1750</v>
      </c>
    </row>
    <row r="25" spans="1:22" x14ac:dyDescent="0.2">
      <c r="R25" s="649" t="s">
        <v>1617</v>
      </c>
      <c r="S25" s="649" t="s">
        <v>486</v>
      </c>
      <c r="T25" s="649" t="s">
        <v>1579</v>
      </c>
      <c r="V25" s="649" t="s">
        <v>1751</v>
      </c>
    </row>
    <row r="26" spans="1:22" x14ac:dyDescent="0.2">
      <c r="R26" s="649" t="s">
        <v>1622</v>
      </c>
      <c r="S26" s="649" t="s">
        <v>1371</v>
      </c>
      <c r="T26" s="649" t="s">
        <v>1580</v>
      </c>
      <c r="V26" s="649" t="s">
        <v>1752</v>
      </c>
    </row>
    <row r="27" spans="1:22" ht="12.75" x14ac:dyDescent="0.2">
      <c r="A27" s="815" t="s">
        <v>771</v>
      </c>
      <c r="B27" s="649">
        <v>142</v>
      </c>
      <c r="R27" s="649" t="s">
        <v>1640</v>
      </c>
      <c r="S27" s="649" t="s">
        <v>487</v>
      </c>
      <c r="T27" s="649" t="s">
        <v>1581</v>
      </c>
      <c r="V27" s="649" t="s">
        <v>1753</v>
      </c>
    </row>
    <row r="28" spans="1:22" x14ac:dyDescent="0.2">
      <c r="A28" s="649" t="s">
        <v>772</v>
      </c>
      <c r="B28" s="649" t="str">
        <f>INDEX(B29:B312,B27,1)</f>
        <v>LIM354 Polokwane</v>
      </c>
      <c r="R28" s="649" t="s">
        <v>765</v>
      </c>
      <c r="S28" s="649" t="s">
        <v>488</v>
      </c>
      <c r="T28" s="649" t="s">
        <v>1582</v>
      </c>
      <c r="V28" s="649" t="s">
        <v>1754</v>
      </c>
    </row>
    <row r="29" spans="1:22" ht="12.75" x14ac:dyDescent="0.2">
      <c r="B29" s="815" t="s">
        <v>773</v>
      </c>
      <c r="C29" s="649" t="s">
        <v>774</v>
      </c>
      <c r="R29" s="649" t="s">
        <v>1648</v>
      </c>
      <c r="S29" s="649" t="s">
        <v>489</v>
      </c>
      <c r="T29" s="649" t="s">
        <v>1583</v>
      </c>
      <c r="V29" s="649" t="s">
        <v>1755</v>
      </c>
    </row>
    <row r="30" spans="1:22" ht="12.75" x14ac:dyDescent="0.2">
      <c r="B30" s="1187" t="s">
        <v>1393</v>
      </c>
      <c r="C30" s="1328" t="s">
        <v>1775</v>
      </c>
      <c r="R30" s="649" t="s">
        <v>1651</v>
      </c>
      <c r="S30" s="649" t="s">
        <v>1372</v>
      </c>
      <c r="T30" s="649" t="s">
        <v>1584</v>
      </c>
      <c r="V30" s="649" t="s">
        <v>1756</v>
      </c>
    </row>
    <row r="31" spans="1:22" ht="12.75" x14ac:dyDescent="0.2">
      <c r="B31" s="1187" t="s">
        <v>1394</v>
      </c>
      <c r="C31" s="1329" t="s">
        <v>1775</v>
      </c>
      <c r="R31" s="649" t="s">
        <v>1652</v>
      </c>
      <c r="S31" s="649" t="s">
        <v>490</v>
      </c>
      <c r="T31" s="649" t="s">
        <v>1585</v>
      </c>
    </row>
    <row r="32" spans="1:22" ht="12.75" x14ac:dyDescent="0.2">
      <c r="B32" s="1187" t="s">
        <v>1776</v>
      </c>
      <c r="C32" s="1328" t="s">
        <v>1775</v>
      </c>
      <c r="R32" s="649" t="s">
        <v>619</v>
      </c>
      <c r="S32" s="649" t="s">
        <v>491</v>
      </c>
      <c r="T32" s="649" t="s">
        <v>1572</v>
      </c>
    </row>
    <row r="33" spans="2:20" ht="12.75" x14ac:dyDescent="0.2">
      <c r="B33" s="1187" t="s">
        <v>809</v>
      </c>
      <c r="C33" s="1328" t="s">
        <v>1775</v>
      </c>
      <c r="R33" s="649" t="s">
        <v>1665</v>
      </c>
      <c r="S33" s="649" t="s">
        <v>492</v>
      </c>
      <c r="T33" s="649" t="s">
        <v>1587</v>
      </c>
    </row>
    <row r="34" spans="2:20" ht="12.75" x14ac:dyDescent="0.2">
      <c r="B34" s="1187" t="s">
        <v>810</v>
      </c>
      <c r="C34" s="1328" t="s">
        <v>1775</v>
      </c>
      <c r="R34" s="649" t="s">
        <v>1667</v>
      </c>
      <c r="S34" s="649" t="s">
        <v>493</v>
      </c>
      <c r="T34" s="649" t="s">
        <v>1588</v>
      </c>
    </row>
    <row r="35" spans="2:20" ht="12.75" x14ac:dyDescent="0.2">
      <c r="B35" s="1187" t="s">
        <v>811</v>
      </c>
      <c r="C35" s="1328" t="s">
        <v>1775</v>
      </c>
      <c r="R35" s="649" t="s">
        <v>1668</v>
      </c>
      <c r="S35" s="649" t="s">
        <v>494</v>
      </c>
      <c r="T35" s="649" t="s">
        <v>1589</v>
      </c>
    </row>
    <row r="36" spans="2:20" ht="12.75" x14ac:dyDescent="0.2">
      <c r="B36" s="1187" t="s">
        <v>812</v>
      </c>
      <c r="C36" s="1328" t="s">
        <v>1775</v>
      </c>
      <c r="R36" s="649" t="s">
        <v>1675</v>
      </c>
      <c r="S36" s="649" t="s">
        <v>495</v>
      </c>
      <c r="T36" s="649" t="s">
        <v>1590</v>
      </c>
    </row>
    <row r="37" spans="2:20" ht="12.75" x14ac:dyDescent="0.2">
      <c r="B37" s="1187" t="s">
        <v>813</v>
      </c>
      <c r="C37" s="1329" t="s">
        <v>1775</v>
      </c>
      <c r="R37" s="649" t="s">
        <v>1676</v>
      </c>
      <c r="S37" s="649" t="s">
        <v>496</v>
      </c>
      <c r="T37" s="649" t="s">
        <v>1591</v>
      </c>
    </row>
    <row r="38" spans="2:20" ht="12.75" x14ac:dyDescent="0.2">
      <c r="B38" s="1187" t="s">
        <v>1258</v>
      </c>
      <c r="C38" s="1328" t="s">
        <v>1775</v>
      </c>
      <c r="R38" s="649" t="s">
        <v>1677</v>
      </c>
      <c r="S38" s="649" t="s">
        <v>497</v>
      </c>
      <c r="T38" s="649" t="s">
        <v>1592</v>
      </c>
    </row>
    <row r="39" spans="2:20" ht="12.75" x14ac:dyDescent="0.2">
      <c r="B39" s="1187" t="s">
        <v>1425</v>
      </c>
      <c r="C39" s="1190" t="s">
        <v>1775</v>
      </c>
      <c r="R39" s="649" t="s">
        <v>1678</v>
      </c>
      <c r="S39" s="649" t="s">
        <v>498</v>
      </c>
      <c r="T39" s="649" t="s">
        <v>1593</v>
      </c>
    </row>
    <row r="40" spans="2:20" ht="12.75" x14ac:dyDescent="0.2">
      <c r="B40" s="1187" t="s">
        <v>814</v>
      </c>
      <c r="C40" s="1190" t="s">
        <v>1775</v>
      </c>
      <c r="R40" s="649" t="s">
        <v>1735</v>
      </c>
      <c r="S40" s="649" t="s">
        <v>499</v>
      </c>
      <c r="T40" s="649" t="s">
        <v>1594</v>
      </c>
    </row>
    <row r="41" spans="2:20" ht="12.75" x14ac:dyDescent="0.2">
      <c r="B41" s="1187" t="s">
        <v>815</v>
      </c>
      <c r="C41" s="1330" t="s">
        <v>1775</v>
      </c>
      <c r="R41" s="649" t="s">
        <v>1679</v>
      </c>
      <c r="S41" s="649" t="s">
        <v>500</v>
      </c>
      <c r="T41" s="649" t="s">
        <v>1595</v>
      </c>
    </row>
    <row r="42" spans="2:20" ht="12.75" x14ac:dyDescent="0.2">
      <c r="B42" s="1187" t="s">
        <v>816</v>
      </c>
      <c r="C42" s="1330" t="s">
        <v>1775</v>
      </c>
      <c r="S42" s="649" t="s">
        <v>501</v>
      </c>
      <c r="T42" s="649" t="s">
        <v>1572</v>
      </c>
    </row>
    <row r="43" spans="2:20" ht="12.75" x14ac:dyDescent="0.2">
      <c r="B43" s="1187" t="s">
        <v>817</v>
      </c>
      <c r="C43" s="1330" t="s">
        <v>1775</v>
      </c>
      <c r="S43" s="649" t="s">
        <v>502</v>
      </c>
      <c r="T43" s="649" t="s">
        <v>1597</v>
      </c>
    </row>
    <row r="44" spans="2:20" ht="12.75" x14ac:dyDescent="0.2">
      <c r="B44" s="1187" t="s">
        <v>818</v>
      </c>
      <c r="C44" s="1330" t="s">
        <v>1775</v>
      </c>
      <c r="S44" s="649" t="s">
        <v>503</v>
      </c>
      <c r="T44" s="649" t="s">
        <v>485</v>
      </c>
    </row>
    <row r="45" spans="2:20" ht="12.75" x14ac:dyDescent="0.2">
      <c r="B45" s="1188" t="s">
        <v>1464</v>
      </c>
      <c r="C45" s="1330" t="s">
        <v>1775</v>
      </c>
      <c r="S45" s="649" t="s">
        <v>1373</v>
      </c>
      <c r="T45" s="649" t="s">
        <v>1598</v>
      </c>
    </row>
    <row r="46" spans="2:20" ht="12.75" x14ac:dyDescent="0.2">
      <c r="B46" s="1187" t="s">
        <v>776</v>
      </c>
      <c r="C46" s="1330" t="s">
        <v>1775</v>
      </c>
      <c r="S46" s="649" t="s">
        <v>1374</v>
      </c>
      <c r="T46" s="649" t="s">
        <v>1599</v>
      </c>
    </row>
    <row r="47" spans="2:20" ht="12.75" x14ac:dyDescent="0.2">
      <c r="B47" s="1187" t="s">
        <v>819</v>
      </c>
      <c r="C47" s="1330" t="s">
        <v>1775</v>
      </c>
      <c r="S47" s="649" t="s">
        <v>1375</v>
      </c>
      <c r="T47" s="649" t="s">
        <v>1600</v>
      </c>
    </row>
    <row r="48" spans="2:20" ht="12.75" x14ac:dyDescent="0.2">
      <c r="B48" s="1187" t="s">
        <v>820</v>
      </c>
      <c r="C48" s="1330" t="s">
        <v>1775</v>
      </c>
      <c r="S48" s="649" t="s">
        <v>1376</v>
      </c>
      <c r="T48" s="649" t="s">
        <v>1572</v>
      </c>
    </row>
    <row r="49" spans="2:20" ht="12.75" x14ac:dyDescent="0.2">
      <c r="B49" s="1187" t="s">
        <v>821</v>
      </c>
      <c r="C49" s="1330" t="s">
        <v>1775</v>
      </c>
      <c r="S49" s="649" t="s">
        <v>504</v>
      </c>
      <c r="T49" s="649" t="s">
        <v>1602</v>
      </c>
    </row>
    <row r="50" spans="2:20" ht="12.75" x14ac:dyDescent="0.2">
      <c r="B50" s="1187" t="s">
        <v>822</v>
      </c>
      <c r="C50" s="1330" t="s">
        <v>1775</v>
      </c>
      <c r="S50" s="649" t="s">
        <v>505</v>
      </c>
      <c r="T50" s="649" t="s">
        <v>1603</v>
      </c>
    </row>
    <row r="51" spans="2:20" ht="12.75" x14ac:dyDescent="0.2">
      <c r="B51" s="1187" t="s">
        <v>823</v>
      </c>
      <c r="C51" s="1190" t="s">
        <v>1775</v>
      </c>
      <c r="S51" s="649" t="s">
        <v>506</v>
      </c>
      <c r="T51" s="649" t="s">
        <v>1604</v>
      </c>
    </row>
    <row r="52" spans="2:20" ht="12.75" x14ac:dyDescent="0.2">
      <c r="B52" s="1188" t="s">
        <v>1465</v>
      </c>
      <c r="C52" s="1190" t="s">
        <v>1775</v>
      </c>
      <c r="S52" s="649" t="s">
        <v>507</v>
      </c>
      <c r="T52" s="649" t="s">
        <v>1605</v>
      </c>
    </row>
    <row r="53" spans="2:20" ht="12.75" x14ac:dyDescent="0.2">
      <c r="B53" s="1187" t="s">
        <v>777</v>
      </c>
      <c r="C53" s="1190" t="s">
        <v>1775</v>
      </c>
      <c r="S53" s="649" t="s">
        <v>508</v>
      </c>
      <c r="T53" s="649" t="s">
        <v>1606</v>
      </c>
    </row>
    <row r="54" spans="2:20" ht="12.75" x14ac:dyDescent="0.2">
      <c r="B54" s="1187" t="s">
        <v>824</v>
      </c>
      <c r="C54" s="1190" t="s">
        <v>1775</v>
      </c>
      <c r="S54" s="649" t="s">
        <v>509</v>
      </c>
      <c r="T54" s="649" t="s">
        <v>1607</v>
      </c>
    </row>
    <row r="55" spans="2:20" ht="12.75" x14ac:dyDescent="0.2">
      <c r="B55" s="1187" t="s">
        <v>825</v>
      </c>
      <c r="C55" s="1190" t="s">
        <v>1775</v>
      </c>
      <c r="S55" s="649" t="s">
        <v>510</v>
      </c>
      <c r="T55" s="649" t="s">
        <v>1572</v>
      </c>
    </row>
    <row r="56" spans="2:20" ht="12.75" x14ac:dyDescent="0.2">
      <c r="B56" s="1188" t="s">
        <v>1466</v>
      </c>
      <c r="C56" s="1190" t="s">
        <v>1775</v>
      </c>
      <c r="S56" s="649" t="s">
        <v>511</v>
      </c>
      <c r="T56" s="649" t="s">
        <v>1609</v>
      </c>
    </row>
    <row r="57" spans="2:20" ht="12.75" x14ac:dyDescent="0.2">
      <c r="B57" s="1187" t="s">
        <v>1256</v>
      </c>
      <c r="C57" s="1190" t="s">
        <v>1775</v>
      </c>
      <c r="S57" s="649" t="s">
        <v>512</v>
      </c>
      <c r="T57" s="649" t="s">
        <v>1610</v>
      </c>
    </row>
    <row r="58" spans="2:20" ht="12.75" x14ac:dyDescent="0.2">
      <c r="B58" s="1187" t="s">
        <v>826</v>
      </c>
      <c r="C58" s="696" t="s">
        <v>1775</v>
      </c>
      <c r="S58" s="649" t="s">
        <v>513</v>
      </c>
      <c r="T58" s="649" t="s">
        <v>1611</v>
      </c>
    </row>
    <row r="59" spans="2:20" ht="12.75" x14ac:dyDescent="0.2">
      <c r="B59" s="1187" t="s">
        <v>827</v>
      </c>
      <c r="C59" s="696" t="s">
        <v>1775</v>
      </c>
      <c r="S59" s="649" t="s">
        <v>630</v>
      </c>
      <c r="T59" s="649" t="s">
        <v>1574</v>
      </c>
    </row>
    <row r="60" spans="2:20" ht="12.75" x14ac:dyDescent="0.2">
      <c r="B60" s="1187" t="s">
        <v>828</v>
      </c>
      <c r="C60" s="1190" t="s">
        <v>1775</v>
      </c>
      <c r="T60" s="649" t="s">
        <v>1575</v>
      </c>
    </row>
    <row r="61" spans="2:20" ht="12.75" x14ac:dyDescent="0.2">
      <c r="B61" s="1187" t="s">
        <v>829</v>
      </c>
      <c r="C61" s="1190" t="s">
        <v>1775</v>
      </c>
      <c r="R61" s="646" t="s">
        <v>1382</v>
      </c>
      <c r="S61" s="1024"/>
      <c r="T61" s="649" t="s">
        <v>1576</v>
      </c>
    </row>
    <row r="62" spans="2:20" ht="12.75" x14ac:dyDescent="0.2">
      <c r="B62" s="1187" t="s">
        <v>830</v>
      </c>
      <c r="C62" s="1190" t="s">
        <v>1775</v>
      </c>
      <c r="R62" s="649" t="s">
        <v>255</v>
      </c>
      <c r="S62" s="1025"/>
      <c r="T62" s="649" t="s">
        <v>1582</v>
      </c>
    </row>
    <row r="63" spans="2:20" ht="12.75" x14ac:dyDescent="0.2">
      <c r="B63" s="1187" t="s">
        <v>778</v>
      </c>
      <c r="C63" s="1190" t="s">
        <v>1775</v>
      </c>
      <c r="R63" s="649" t="s">
        <v>546</v>
      </c>
      <c r="S63" s="1026"/>
      <c r="T63" s="649" t="s">
        <v>1585</v>
      </c>
    </row>
    <row r="64" spans="2:20" ht="12.75" x14ac:dyDescent="0.2">
      <c r="B64" s="1187" t="s">
        <v>831</v>
      </c>
      <c r="C64" s="1330" t="s">
        <v>1775</v>
      </c>
      <c r="R64" s="1009"/>
      <c r="S64" s="1026"/>
      <c r="T64" s="649" t="s">
        <v>1572</v>
      </c>
    </row>
    <row r="65" spans="2:20" ht="12.75" x14ac:dyDescent="0.2">
      <c r="B65" s="1187" t="s">
        <v>832</v>
      </c>
      <c r="C65" s="1190" t="s">
        <v>1775</v>
      </c>
      <c r="T65" s="649" t="s">
        <v>1613</v>
      </c>
    </row>
    <row r="66" spans="2:20" ht="12.75" x14ac:dyDescent="0.2">
      <c r="B66" s="1187" t="s">
        <v>1388</v>
      </c>
      <c r="C66" s="1190" t="s">
        <v>1775</v>
      </c>
      <c r="T66" s="649" t="s">
        <v>1614</v>
      </c>
    </row>
    <row r="67" spans="2:20" ht="12.75" x14ac:dyDescent="0.2">
      <c r="B67" s="1187" t="s">
        <v>1389</v>
      </c>
      <c r="C67" s="1190" t="s">
        <v>1775</v>
      </c>
      <c r="T67" s="649" t="s">
        <v>1615</v>
      </c>
    </row>
    <row r="68" spans="2:20" ht="12.75" x14ac:dyDescent="0.2">
      <c r="B68" s="1187" t="s">
        <v>804</v>
      </c>
      <c r="C68" s="1190" t="s">
        <v>1775</v>
      </c>
      <c r="T68" s="649" t="s">
        <v>1616</v>
      </c>
    </row>
    <row r="69" spans="2:20" ht="12.75" x14ac:dyDescent="0.2">
      <c r="B69" s="1187" t="s">
        <v>1395</v>
      </c>
      <c r="C69" s="1190" t="s">
        <v>1777</v>
      </c>
      <c r="T69" s="649" t="s">
        <v>1572</v>
      </c>
    </row>
    <row r="70" spans="2:20" ht="12.75" x14ac:dyDescent="0.2">
      <c r="B70" s="1187" t="s">
        <v>833</v>
      </c>
      <c r="C70" s="1190" t="s">
        <v>1777</v>
      </c>
      <c r="T70" s="649" t="s">
        <v>1618</v>
      </c>
    </row>
    <row r="71" spans="2:20" ht="12.75" x14ac:dyDescent="0.2">
      <c r="B71" s="1187" t="s">
        <v>834</v>
      </c>
      <c r="C71" s="1190" t="s">
        <v>1777</v>
      </c>
      <c r="T71" s="649" t="s">
        <v>1619</v>
      </c>
    </row>
    <row r="72" spans="2:20" ht="12.75" x14ac:dyDescent="0.2">
      <c r="B72" s="1187" t="s">
        <v>835</v>
      </c>
      <c r="C72" s="1190" t="s">
        <v>1777</v>
      </c>
      <c r="T72" s="649" t="s">
        <v>1620</v>
      </c>
    </row>
    <row r="73" spans="2:20" ht="12.75" x14ac:dyDescent="0.2">
      <c r="B73" s="1187" t="s">
        <v>779</v>
      </c>
      <c r="C73" s="1190" t="s">
        <v>1777</v>
      </c>
      <c r="T73" s="649" t="s">
        <v>1572</v>
      </c>
    </row>
    <row r="74" spans="2:20" ht="12.75" x14ac:dyDescent="0.2">
      <c r="B74" s="1187" t="s">
        <v>836</v>
      </c>
      <c r="C74" s="1190" t="s">
        <v>1777</v>
      </c>
      <c r="T74" s="649" t="s">
        <v>1623</v>
      </c>
    </row>
    <row r="75" spans="2:20" ht="12.75" x14ac:dyDescent="0.2">
      <c r="B75" s="1187" t="s">
        <v>837</v>
      </c>
      <c r="C75" s="1190" t="s">
        <v>1777</v>
      </c>
      <c r="T75" s="649" t="s">
        <v>1624</v>
      </c>
    </row>
    <row r="76" spans="2:20" ht="12.75" x14ac:dyDescent="0.2">
      <c r="B76" s="1187" t="s">
        <v>838</v>
      </c>
      <c r="C76" s="1190" t="s">
        <v>1777</v>
      </c>
      <c r="T76" s="649" t="s">
        <v>1625</v>
      </c>
    </row>
    <row r="77" spans="2:20" ht="12.75" x14ac:dyDescent="0.2">
      <c r="B77" s="1187" t="s">
        <v>839</v>
      </c>
      <c r="C77" s="1190" t="s">
        <v>1777</v>
      </c>
      <c r="T77" s="649" t="s">
        <v>1626</v>
      </c>
    </row>
    <row r="78" spans="2:20" ht="12.75" x14ac:dyDescent="0.2">
      <c r="B78" s="1187" t="s">
        <v>840</v>
      </c>
      <c r="C78" s="1190" t="s">
        <v>1777</v>
      </c>
      <c r="T78" s="649" t="s">
        <v>1627</v>
      </c>
    </row>
    <row r="79" spans="2:20" ht="12.75" x14ac:dyDescent="0.2">
      <c r="B79" s="1187" t="s">
        <v>780</v>
      </c>
      <c r="C79" s="1190" t="s">
        <v>1777</v>
      </c>
      <c r="T79" s="649" t="s">
        <v>1628</v>
      </c>
    </row>
    <row r="80" spans="2:20" ht="12.75" x14ac:dyDescent="0.2">
      <c r="B80" s="1187" t="s">
        <v>841</v>
      </c>
      <c r="C80" s="1190" t="s">
        <v>1777</v>
      </c>
      <c r="T80" s="649" t="s">
        <v>1629</v>
      </c>
    </row>
    <row r="81" spans="2:20" ht="12.75" x14ac:dyDescent="0.2">
      <c r="B81" s="1187" t="s">
        <v>842</v>
      </c>
      <c r="C81" s="1190" t="s">
        <v>1777</v>
      </c>
      <c r="T81" s="649" t="s">
        <v>1630</v>
      </c>
    </row>
    <row r="82" spans="2:20" ht="12.75" x14ac:dyDescent="0.2">
      <c r="B82" s="1187" t="s">
        <v>843</v>
      </c>
      <c r="C82" s="1190" t="s">
        <v>1777</v>
      </c>
      <c r="T82" s="649" t="s">
        <v>1512</v>
      </c>
    </row>
    <row r="83" spans="2:20" ht="12.75" x14ac:dyDescent="0.2">
      <c r="B83" s="1187" t="s">
        <v>844</v>
      </c>
      <c r="C83" s="1190" t="s">
        <v>1777</v>
      </c>
      <c r="T83" s="649" t="s">
        <v>492</v>
      </c>
    </row>
    <row r="84" spans="2:20" ht="12.75" x14ac:dyDescent="0.2">
      <c r="B84" s="1187" t="s">
        <v>845</v>
      </c>
      <c r="C84" s="1190" t="s">
        <v>1777</v>
      </c>
      <c r="T84" s="649" t="s">
        <v>1631</v>
      </c>
    </row>
    <row r="85" spans="2:20" ht="12.75" x14ac:dyDescent="0.2">
      <c r="B85" s="1187" t="s">
        <v>1390</v>
      </c>
      <c r="C85" s="1190" t="s">
        <v>1777</v>
      </c>
      <c r="T85" s="649" t="s">
        <v>1632</v>
      </c>
    </row>
    <row r="86" spans="2:20" ht="12.75" x14ac:dyDescent="0.2">
      <c r="B86" s="1187" t="s">
        <v>781</v>
      </c>
      <c r="C86" s="1190" t="s">
        <v>1777</v>
      </c>
      <c r="T86" s="649" t="s">
        <v>1633</v>
      </c>
    </row>
    <row r="87" spans="2:20" ht="12.75" x14ac:dyDescent="0.2">
      <c r="B87" s="1187" t="s">
        <v>846</v>
      </c>
      <c r="C87" s="1190" t="s">
        <v>1777</v>
      </c>
      <c r="T87" s="649" t="s">
        <v>1634</v>
      </c>
    </row>
    <row r="88" spans="2:20" ht="12.75" x14ac:dyDescent="0.2">
      <c r="B88" s="1187" t="s">
        <v>847</v>
      </c>
      <c r="C88" s="1190" t="s">
        <v>1777</v>
      </c>
      <c r="T88" s="649" t="s">
        <v>1635</v>
      </c>
    </row>
    <row r="89" spans="2:20" ht="12.75" x14ac:dyDescent="0.2">
      <c r="B89" s="1187" t="s">
        <v>848</v>
      </c>
      <c r="C89" s="1190" t="s">
        <v>1777</v>
      </c>
      <c r="T89" s="649" t="s">
        <v>1636</v>
      </c>
    </row>
    <row r="90" spans="2:20" ht="12.75" x14ac:dyDescent="0.2">
      <c r="B90" s="1187" t="s">
        <v>849</v>
      </c>
      <c r="C90" s="1190" t="s">
        <v>1777</v>
      </c>
      <c r="T90" s="649" t="s">
        <v>508</v>
      </c>
    </row>
    <row r="91" spans="2:20" ht="12.75" x14ac:dyDescent="0.2">
      <c r="B91" s="1187" t="s">
        <v>782</v>
      </c>
      <c r="C91" s="1190" t="s">
        <v>1777</v>
      </c>
      <c r="T91" s="649" t="s">
        <v>1637</v>
      </c>
    </row>
    <row r="92" spans="2:20" ht="12.75" x14ac:dyDescent="0.2">
      <c r="B92" s="1187" t="s">
        <v>1778</v>
      </c>
      <c r="C92" s="1190" t="s">
        <v>1779</v>
      </c>
      <c r="T92" s="649" t="s">
        <v>507</v>
      </c>
    </row>
    <row r="93" spans="2:20" ht="12.75" x14ac:dyDescent="0.2">
      <c r="B93" s="1187" t="s">
        <v>1396</v>
      </c>
      <c r="C93" s="1190" t="s">
        <v>1779</v>
      </c>
      <c r="T93" s="649" t="s">
        <v>1638</v>
      </c>
    </row>
    <row r="94" spans="2:20" ht="12.75" x14ac:dyDescent="0.2">
      <c r="B94" s="1187" t="s">
        <v>1397</v>
      </c>
      <c r="C94" s="1190" t="s">
        <v>1779</v>
      </c>
      <c r="T94" s="649" t="s">
        <v>1639</v>
      </c>
    </row>
    <row r="95" spans="2:20" ht="12.75" x14ac:dyDescent="0.2">
      <c r="B95" s="1187" t="s">
        <v>850</v>
      </c>
      <c r="C95" s="1190" t="s">
        <v>1779</v>
      </c>
      <c r="T95" s="649" t="s">
        <v>1572</v>
      </c>
    </row>
    <row r="96" spans="2:20" ht="12.75" x14ac:dyDescent="0.2">
      <c r="B96" s="1187" t="s">
        <v>851</v>
      </c>
      <c r="C96" s="1190" t="s">
        <v>1779</v>
      </c>
      <c r="T96" s="649" t="s">
        <v>1641</v>
      </c>
    </row>
    <row r="97" spans="2:20" ht="12.75" x14ac:dyDescent="0.2">
      <c r="B97" s="1187" t="s">
        <v>852</v>
      </c>
      <c r="C97" s="1190" t="s">
        <v>1779</v>
      </c>
      <c r="T97" s="649" t="s">
        <v>1642</v>
      </c>
    </row>
    <row r="98" spans="2:20" ht="12.75" x14ac:dyDescent="0.2">
      <c r="B98" s="1187" t="s">
        <v>803</v>
      </c>
      <c r="C98" s="1190" t="s">
        <v>1779</v>
      </c>
      <c r="T98" s="649" t="s">
        <v>1572</v>
      </c>
    </row>
    <row r="99" spans="2:20" ht="12.75" x14ac:dyDescent="0.2">
      <c r="B99" s="1187" t="s">
        <v>853</v>
      </c>
      <c r="C99" s="1190" t="s">
        <v>1779</v>
      </c>
      <c r="T99" s="649" t="s">
        <v>1643</v>
      </c>
    </row>
    <row r="100" spans="2:20" ht="12.75" x14ac:dyDescent="0.2">
      <c r="B100" s="1187" t="s">
        <v>1259</v>
      </c>
      <c r="C100" s="1190" t="s">
        <v>1779</v>
      </c>
      <c r="T100" s="649" t="s">
        <v>1644</v>
      </c>
    </row>
    <row r="101" spans="2:20" ht="12.75" x14ac:dyDescent="0.2">
      <c r="B101" s="1188" t="s">
        <v>1780</v>
      </c>
      <c r="C101" s="1190" t="s">
        <v>1779</v>
      </c>
      <c r="T101" s="649" t="s">
        <v>1645</v>
      </c>
    </row>
    <row r="102" spans="2:20" ht="12.75" x14ac:dyDescent="0.2">
      <c r="B102" s="1187" t="s">
        <v>805</v>
      </c>
      <c r="C102" s="1190" t="s">
        <v>1779</v>
      </c>
      <c r="T102" s="649" t="s">
        <v>1646</v>
      </c>
    </row>
    <row r="103" spans="2:20" ht="12.75" x14ac:dyDescent="0.2">
      <c r="B103" s="1187" t="s">
        <v>1398</v>
      </c>
      <c r="C103" s="1190" t="s">
        <v>1781</v>
      </c>
      <c r="T103" s="649" t="s">
        <v>1647</v>
      </c>
    </row>
    <row r="104" spans="2:20" ht="12.75" x14ac:dyDescent="0.2">
      <c r="B104" s="1187" t="s">
        <v>854</v>
      </c>
      <c r="C104" s="1190" t="s">
        <v>1781</v>
      </c>
      <c r="T104" s="649" t="s">
        <v>1649</v>
      </c>
    </row>
    <row r="105" spans="2:20" ht="12.75" x14ac:dyDescent="0.2">
      <c r="B105" s="1187" t="s">
        <v>855</v>
      </c>
      <c r="C105" s="1328" t="s">
        <v>1781</v>
      </c>
      <c r="T105" s="649" t="s">
        <v>1650</v>
      </c>
    </row>
    <row r="106" spans="2:20" ht="12.75" x14ac:dyDescent="0.2">
      <c r="B106" s="1187" t="s">
        <v>856</v>
      </c>
      <c r="C106" s="1328" t="s">
        <v>1781</v>
      </c>
      <c r="T106" s="649" t="s">
        <v>1653</v>
      </c>
    </row>
    <row r="107" spans="2:20" ht="12.75" x14ac:dyDescent="0.2">
      <c r="B107" s="1187" t="s">
        <v>1472</v>
      </c>
      <c r="C107" s="1328" t="s">
        <v>1781</v>
      </c>
      <c r="T107" s="649" t="s">
        <v>1654</v>
      </c>
    </row>
    <row r="108" spans="2:20" ht="12.75" x14ac:dyDescent="0.2">
      <c r="B108" s="1187" t="s">
        <v>783</v>
      </c>
      <c r="C108" s="1328" t="s">
        <v>1781</v>
      </c>
      <c r="T108" s="649" t="s">
        <v>1655</v>
      </c>
    </row>
    <row r="109" spans="2:20" ht="12.75" x14ac:dyDescent="0.2">
      <c r="B109" s="1187" t="s">
        <v>857</v>
      </c>
      <c r="C109" s="1328" t="s">
        <v>1781</v>
      </c>
      <c r="T109" s="649" t="s">
        <v>1656</v>
      </c>
    </row>
    <row r="110" spans="2:20" ht="12.75" x14ac:dyDescent="0.2">
      <c r="B110" s="1187" t="s">
        <v>858</v>
      </c>
      <c r="C110" s="1328" t="s">
        <v>1781</v>
      </c>
      <c r="T110" s="649" t="s">
        <v>1657</v>
      </c>
    </row>
    <row r="111" spans="2:20" ht="12.75" x14ac:dyDescent="0.2">
      <c r="B111" s="1187" t="s">
        <v>859</v>
      </c>
      <c r="C111" s="1328" t="s">
        <v>1781</v>
      </c>
      <c r="T111" s="649" t="s">
        <v>1658</v>
      </c>
    </row>
    <row r="112" spans="2:20" ht="12.75" x14ac:dyDescent="0.2">
      <c r="B112" s="1187" t="s">
        <v>860</v>
      </c>
      <c r="C112" s="1328" t="s">
        <v>1781</v>
      </c>
      <c r="T112" s="649" t="s">
        <v>1659</v>
      </c>
    </row>
    <row r="113" spans="2:20" ht="12.75" x14ac:dyDescent="0.2">
      <c r="B113" s="1187" t="s">
        <v>861</v>
      </c>
      <c r="C113" s="1328" t="s">
        <v>1781</v>
      </c>
      <c r="T113" s="649" t="s">
        <v>1660</v>
      </c>
    </row>
    <row r="114" spans="2:20" ht="12.75" x14ac:dyDescent="0.2">
      <c r="B114" s="1187" t="s">
        <v>862</v>
      </c>
      <c r="C114" s="1328" t="s">
        <v>1781</v>
      </c>
      <c r="T114" s="649" t="s">
        <v>1661</v>
      </c>
    </row>
    <row r="115" spans="2:20" ht="12.75" x14ac:dyDescent="0.2">
      <c r="B115" s="1187" t="s">
        <v>863</v>
      </c>
      <c r="C115" s="1328" t="s">
        <v>1781</v>
      </c>
      <c r="T115" s="649" t="s">
        <v>1662</v>
      </c>
    </row>
    <row r="116" spans="2:20" ht="12.75" x14ac:dyDescent="0.2">
      <c r="B116" s="1187" t="s">
        <v>784</v>
      </c>
      <c r="C116" s="1328" t="s">
        <v>1781</v>
      </c>
      <c r="T116" s="649" t="s">
        <v>1572</v>
      </c>
    </row>
    <row r="117" spans="2:20" ht="12.75" x14ac:dyDescent="0.2">
      <c r="B117" s="1187" t="s">
        <v>864</v>
      </c>
      <c r="C117" s="1328" t="s">
        <v>1781</v>
      </c>
      <c r="T117" s="649" t="s">
        <v>1663</v>
      </c>
    </row>
    <row r="118" spans="2:20" ht="12.75" x14ac:dyDescent="0.2">
      <c r="B118" s="1188" t="s">
        <v>1467</v>
      </c>
      <c r="C118" s="1328" t="s">
        <v>1781</v>
      </c>
      <c r="T118" s="649" t="s">
        <v>1664</v>
      </c>
    </row>
    <row r="119" spans="2:20" ht="12.75" x14ac:dyDescent="0.2">
      <c r="B119" s="1188" t="s">
        <v>1468</v>
      </c>
      <c r="C119" s="1328" t="s">
        <v>1781</v>
      </c>
      <c r="T119" s="649" t="s">
        <v>1572</v>
      </c>
    </row>
    <row r="120" spans="2:20" ht="12.75" x14ac:dyDescent="0.2">
      <c r="B120" s="1187" t="s">
        <v>785</v>
      </c>
      <c r="C120" s="1328" t="s">
        <v>1781</v>
      </c>
      <c r="T120" s="649" t="s">
        <v>1669</v>
      </c>
    </row>
    <row r="121" spans="2:20" ht="12.75" x14ac:dyDescent="0.2">
      <c r="B121" s="1187" t="s">
        <v>865</v>
      </c>
      <c r="C121" s="1328" t="s">
        <v>1781</v>
      </c>
      <c r="T121" s="649" t="s">
        <v>1670</v>
      </c>
    </row>
    <row r="122" spans="2:20" ht="12.75" x14ac:dyDescent="0.2">
      <c r="B122" s="1187" t="s">
        <v>866</v>
      </c>
      <c r="C122" s="1328" t="s">
        <v>1781</v>
      </c>
      <c r="T122" s="649" t="s">
        <v>1671</v>
      </c>
    </row>
    <row r="123" spans="2:20" ht="12.75" x14ac:dyDescent="0.2">
      <c r="B123" s="1187" t="s">
        <v>867</v>
      </c>
      <c r="C123" s="1328" t="s">
        <v>1781</v>
      </c>
      <c r="T123" s="649" t="s">
        <v>1672</v>
      </c>
    </row>
    <row r="124" spans="2:20" ht="12.75" x14ac:dyDescent="0.2">
      <c r="B124" s="1187" t="s">
        <v>868</v>
      </c>
      <c r="C124" s="1328" t="s">
        <v>1781</v>
      </c>
      <c r="T124" s="649" t="s">
        <v>1673</v>
      </c>
    </row>
    <row r="125" spans="2:20" ht="12.75" x14ac:dyDescent="0.2">
      <c r="B125" s="1187" t="s">
        <v>786</v>
      </c>
      <c r="C125" s="1190" t="s">
        <v>1781</v>
      </c>
      <c r="T125" s="649" t="s">
        <v>1674</v>
      </c>
    </row>
    <row r="126" spans="2:20" ht="12.75" x14ac:dyDescent="0.2">
      <c r="B126" s="1187" t="s">
        <v>869</v>
      </c>
      <c r="C126" s="1190" t="s">
        <v>1781</v>
      </c>
    </row>
    <row r="127" spans="2:20" ht="12.75" x14ac:dyDescent="0.2">
      <c r="B127" s="1187" t="s">
        <v>1782</v>
      </c>
      <c r="C127" s="1190" t="s">
        <v>1781</v>
      </c>
    </row>
    <row r="128" spans="2:20" ht="12.75" x14ac:dyDescent="0.2">
      <c r="B128" s="1187" t="s">
        <v>870</v>
      </c>
      <c r="C128" s="1190" t="s">
        <v>1781</v>
      </c>
    </row>
    <row r="129" spans="2:3" ht="12.75" x14ac:dyDescent="0.2">
      <c r="B129" s="1187" t="s">
        <v>787</v>
      </c>
      <c r="C129" s="1190" t="s">
        <v>1781</v>
      </c>
    </row>
    <row r="130" spans="2:3" ht="12.75" x14ac:dyDescent="0.2">
      <c r="B130" s="1187" t="s">
        <v>871</v>
      </c>
      <c r="C130" s="1190" t="s">
        <v>1781</v>
      </c>
    </row>
    <row r="131" spans="2:3" ht="12.75" x14ac:dyDescent="0.2">
      <c r="B131" s="1187" t="s">
        <v>872</v>
      </c>
      <c r="C131" s="1190" t="s">
        <v>1781</v>
      </c>
    </row>
    <row r="132" spans="2:3" ht="12.75" x14ac:dyDescent="0.2">
      <c r="B132" s="1187" t="s">
        <v>873</v>
      </c>
      <c r="C132" s="1190" t="s">
        <v>1781</v>
      </c>
    </row>
    <row r="133" spans="2:3" ht="12.75" x14ac:dyDescent="0.2">
      <c r="B133" s="1187" t="s">
        <v>874</v>
      </c>
      <c r="C133" s="1190" t="s">
        <v>1781</v>
      </c>
    </row>
    <row r="134" spans="2:3" ht="12.75" x14ac:dyDescent="0.2">
      <c r="B134" s="1187" t="s">
        <v>875</v>
      </c>
      <c r="C134" s="1190" t="s">
        <v>1781</v>
      </c>
    </row>
    <row r="135" spans="2:3" ht="12.75" x14ac:dyDescent="0.2">
      <c r="B135" s="1187" t="s">
        <v>788</v>
      </c>
      <c r="C135" s="1330" t="s">
        <v>1781</v>
      </c>
    </row>
    <row r="136" spans="2:3" ht="12.75" x14ac:dyDescent="0.2">
      <c r="B136" s="1187" t="s">
        <v>876</v>
      </c>
      <c r="C136" s="1330" t="s">
        <v>1781</v>
      </c>
    </row>
    <row r="137" spans="2:3" ht="12.75" x14ac:dyDescent="0.2">
      <c r="B137" s="1187" t="s">
        <v>877</v>
      </c>
      <c r="C137" s="1330" t="s">
        <v>1781</v>
      </c>
    </row>
    <row r="138" spans="2:3" ht="12.75" x14ac:dyDescent="0.2">
      <c r="B138" s="1187" t="s">
        <v>878</v>
      </c>
      <c r="C138" s="1330" t="s">
        <v>1781</v>
      </c>
    </row>
    <row r="139" spans="2:3" ht="12.75" x14ac:dyDescent="0.2">
      <c r="B139" s="1188" t="s">
        <v>1783</v>
      </c>
      <c r="C139" s="1330" t="s">
        <v>1781</v>
      </c>
    </row>
    <row r="140" spans="2:3" ht="12.75" x14ac:dyDescent="0.2">
      <c r="B140" s="1187" t="s">
        <v>789</v>
      </c>
      <c r="C140" s="1330" t="s">
        <v>1781</v>
      </c>
    </row>
    <row r="141" spans="2:3" ht="12.75" x14ac:dyDescent="0.2">
      <c r="B141" s="1187" t="s">
        <v>1260</v>
      </c>
      <c r="C141" s="1330" t="s">
        <v>1781</v>
      </c>
    </row>
    <row r="142" spans="2:3" ht="12.75" x14ac:dyDescent="0.2">
      <c r="B142" s="1187" t="s">
        <v>879</v>
      </c>
      <c r="C142" s="1330" t="s">
        <v>1781</v>
      </c>
    </row>
    <row r="143" spans="2:3" ht="12.75" x14ac:dyDescent="0.2">
      <c r="B143" s="1187" t="s">
        <v>1261</v>
      </c>
      <c r="C143" s="1330" t="s">
        <v>1781</v>
      </c>
    </row>
    <row r="144" spans="2:3" ht="12.75" x14ac:dyDescent="0.2">
      <c r="B144" s="1187" t="s">
        <v>880</v>
      </c>
      <c r="C144" s="1330" t="s">
        <v>1781</v>
      </c>
    </row>
    <row r="145" spans="2:3" ht="12.75" x14ac:dyDescent="0.2">
      <c r="B145" s="1187" t="s">
        <v>881</v>
      </c>
      <c r="C145" s="1330" t="s">
        <v>1781</v>
      </c>
    </row>
    <row r="146" spans="2:3" ht="12.75" x14ac:dyDescent="0.2">
      <c r="B146" s="1187" t="s">
        <v>1469</v>
      </c>
      <c r="C146" s="1330" t="s">
        <v>1781</v>
      </c>
    </row>
    <row r="147" spans="2:3" ht="12.75" x14ac:dyDescent="0.2">
      <c r="B147" s="1187" t="s">
        <v>882</v>
      </c>
      <c r="C147" s="1330" t="s">
        <v>1781</v>
      </c>
    </row>
    <row r="148" spans="2:3" ht="12.75" x14ac:dyDescent="0.2">
      <c r="B148" s="1187" t="s">
        <v>883</v>
      </c>
      <c r="C148" s="1330" t="s">
        <v>1781</v>
      </c>
    </row>
    <row r="149" spans="2:3" ht="12.75" x14ac:dyDescent="0.2">
      <c r="B149" s="1187" t="s">
        <v>884</v>
      </c>
      <c r="C149" s="1330" t="s">
        <v>1781</v>
      </c>
    </row>
    <row r="150" spans="2:3" ht="12.75" x14ac:dyDescent="0.2">
      <c r="B150" s="1187" t="s">
        <v>885</v>
      </c>
      <c r="C150" s="1330" t="s">
        <v>1781</v>
      </c>
    </row>
    <row r="151" spans="2:3" ht="12.75" x14ac:dyDescent="0.2">
      <c r="B151" s="1187" t="s">
        <v>790</v>
      </c>
      <c r="C151" s="1330" t="s">
        <v>1781</v>
      </c>
    </row>
    <row r="152" spans="2:3" ht="12.75" x14ac:dyDescent="0.2">
      <c r="B152" s="1187" t="s">
        <v>886</v>
      </c>
      <c r="C152" s="1330" t="s">
        <v>1781</v>
      </c>
    </row>
    <row r="153" spans="2:3" ht="12.75" x14ac:dyDescent="0.2">
      <c r="B153" s="1187" t="s">
        <v>887</v>
      </c>
      <c r="C153" s="1330" t="s">
        <v>1781</v>
      </c>
    </row>
    <row r="154" spans="2:3" ht="12.75" x14ac:dyDescent="0.2">
      <c r="B154" s="1187" t="s">
        <v>888</v>
      </c>
      <c r="C154" s="1330" t="s">
        <v>1781</v>
      </c>
    </row>
    <row r="155" spans="2:3" ht="12.75" x14ac:dyDescent="0.2">
      <c r="B155" s="1188" t="s">
        <v>1470</v>
      </c>
      <c r="C155" s="1330" t="s">
        <v>1781</v>
      </c>
    </row>
    <row r="156" spans="2:3" ht="12.75" x14ac:dyDescent="0.2">
      <c r="B156" s="1187" t="s">
        <v>1424</v>
      </c>
      <c r="C156" s="1330" t="s">
        <v>1781</v>
      </c>
    </row>
    <row r="157" spans="2:3" ht="12.75" x14ac:dyDescent="0.2">
      <c r="B157" s="1187" t="s">
        <v>889</v>
      </c>
      <c r="C157" s="1330" t="s">
        <v>1784</v>
      </c>
    </row>
    <row r="158" spans="2:3" ht="12.75" x14ac:dyDescent="0.2">
      <c r="B158" s="1187" t="s">
        <v>890</v>
      </c>
      <c r="C158" s="1330" t="s">
        <v>1784</v>
      </c>
    </row>
    <row r="159" spans="2:3" ht="12.75" x14ac:dyDescent="0.2">
      <c r="B159" s="1187" t="s">
        <v>891</v>
      </c>
      <c r="C159" s="1330" t="s">
        <v>1784</v>
      </c>
    </row>
    <row r="160" spans="2:3" ht="12.75" x14ac:dyDescent="0.2">
      <c r="B160" s="1187" t="s">
        <v>892</v>
      </c>
      <c r="C160" s="1330" t="s">
        <v>1784</v>
      </c>
    </row>
    <row r="161" spans="2:3" ht="12.75" x14ac:dyDescent="0.2">
      <c r="B161" s="1187" t="s">
        <v>893</v>
      </c>
      <c r="C161" s="1330" t="s">
        <v>1784</v>
      </c>
    </row>
    <row r="162" spans="2:3" ht="12.75" x14ac:dyDescent="0.2">
      <c r="B162" s="1187" t="s">
        <v>795</v>
      </c>
      <c r="C162" s="1330" t="s">
        <v>1784</v>
      </c>
    </row>
    <row r="163" spans="2:3" ht="12.75" x14ac:dyDescent="0.2">
      <c r="B163" s="1187" t="s">
        <v>894</v>
      </c>
      <c r="C163" s="1330" t="s">
        <v>1784</v>
      </c>
    </row>
    <row r="164" spans="2:3" ht="12.75" x14ac:dyDescent="0.2">
      <c r="B164" s="1187" t="s">
        <v>895</v>
      </c>
      <c r="C164" s="1330" t="s">
        <v>1784</v>
      </c>
    </row>
    <row r="165" spans="2:3" ht="12.75" x14ac:dyDescent="0.2">
      <c r="B165" s="1187" t="s">
        <v>896</v>
      </c>
      <c r="C165" s="1330" t="s">
        <v>1784</v>
      </c>
    </row>
    <row r="166" spans="2:3" ht="12.75" x14ac:dyDescent="0.2">
      <c r="B166" s="1188" t="s">
        <v>1785</v>
      </c>
      <c r="C166" s="1330" t="s">
        <v>1784</v>
      </c>
    </row>
    <row r="167" spans="2:3" ht="12.75" x14ac:dyDescent="0.2">
      <c r="B167" s="1187" t="s">
        <v>796</v>
      </c>
      <c r="C167" s="1330" t="s">
        <v>1784</v>
      </c>
    </row>
    <row r="168" spans="2:3" ht="12.75" x14ac:dyDescent="0.2">
      <c r="B168" s="1187" t="s">
        <v>897</v>
      </c>
      <c r="C168" s="1330" t="s">
        <v>1784</v>
      </c>
    </row>
    <row r="169" spans="2:3" ht="12.75" x14ac:dyDescent="0.2">
      <c r="B169" s="1187" t="s">
        <v>898</v>
      </c>
      <c r="C169" s="1330" t="s">
        <v>1784</v>
      </c>
    </row>
    <row r="170" spans="2:3" ht="12.75" x14ac:dyDescent="0.2">
      <c r="B170" s="1187" t="s">
        <v>899</v>
      </c>
      <c r="C170" s="1330" t="s">
        <v>1784</v>
      </c>
    </row>
    <row r="171" spans="2:3" ht="12.75" x14ac:dyDescent="0.2">
      <c r="B171" s="1187" t="s">
        <v>900</v>
      </c>
      <c r="C171" s="1330" t="s">
        <v>1784</v>
      </c>
    </row>
    <row r="172" spans="2:3" ht="12.75" x14ac:dyDescent="0.2">
      <c r="B172" s="1187" t="s">
        <v>797</v>
      </c>
      <c r="C172" s="1330" t="s">
        <v>1784</v>
      </c>
    </row>
    <row r="173" spans="2:3" ht="12.75" x14ac:dyDescent="0.2">
      <c r="B173" s="1187" t="s">
        <v>901</v>
      </c>
      <c r="C173" s="1330" t="s">
        <v>1784</v>
      </c>
    </row>
    <row r="174" spans="2:3" ht="12.75" x14ac:dyDescent="0.2">
      <c r="B174" s="1187" t="s">
        <v>902</v>
      </c>
      <c r="C174" s="1330" t="s">
        <v>1784</v>
      </c>
    </row>
    <row r="175" spans="2:3" ht="12.75" x14ac:dyDescent="0.2">
      <c r="B175" s="1187" t="s">
        <v>903</v>
      </c>
      <c r="C175" s="1330" t="s">
        <v>1784</v>
      </c>
    </row>
    <row r="176" spans="2:3" ht="12.75" x14ac:dyDescent="0.2">
      <c r="B176" s="1187" t="s">
        <v>904</v>
      </c>
      <c r="C176" s="1330" t="s">
        <v>1784</v>
      </c>
    </row>
    <row r="177" spans="2:3" ht="12.75" x14ac:dyDescent="0.2">
      <c r="B177" s="1188" t="s">
        <v>1786</v>
      </c>
      <c r="C177" s="1330" t="s">
        <v>1784</v>
      </c>
    </row>
    <row r="178" spans="2:3" ht="12.75" x14ac:dyDescent="0.2">
      <c r="B178" s="1187" t="s">
        <v>798</v>
      </c>
      <c r="C178" s="1330" t="s">
        <v>1784</v>
      </c>
    </row>
    <row r="179" spans="2:3" ht="12.75" x14ac:dyDescent="0.2">
      <c r="B179" s="1187" t="s">
        <v>1262</v>
      </c>
      <c r="C179" s="1190" t="s">
        <v>1784</v>
      </c>
    </row>
    <row r="180" spans="2:3" ht="12.75" x14ac:dyDescent="0.2">
      <c r="B180" s="1187" t="s">
        <v>905</v>
      </c>
      <c r="C180" s="1190" t="s">
        <v>1784</v>
      </c>
    </row>
    <row r="181" spans="2:3" ht="12.75" x14ac:dyDescent="0.2">
      <c r="B181" s="1187" t="s">
        <v>1263</v>
      </c>
      <c r="C181" s="1190" t="s">
        <v>1784</v>
      </c>
    </row>
    <row r="182" spans="2:3" ht="12.75" x14ac:dyDescent="0.2">
      <c r="B182" s="1188" t="s">
        <v>1787</v>
      </c>
      <c r="C182" s="1190" t="s">
        <v>1784</v>
      </c>
    </row>
    <row r="183" spans="2:3" ht="12.75" x14ac:dyDescent="0.2">
      <c r="B183" s="1187" t="s">
        <v>1386</v>
      </c>
      <c r="C183" s="1190" t="s">
        <v>1784</v>
      </c>
    </row>
    <row r="184" spans="2:3" ht="12.75" x14ac:dyDescent="0.2">
      <c r="B184" s="1187" t="s">
        <v>906</v>
      </c>
      <c r="C184" s="1190" t="s">
        <v>1788</v>
      </c>
    </row>
    <row r="185" spans="2:3" ht="12.75" x14ac:dyDescent="0.2">
      <c r="B185" s="1187" t="s">
        <v>907</v>
      </c>
      <c r="C185" s="1190" t="s">
        <v>1788</v>
      </c>
    </row>
    <row r="186" spans="2:3" ht="12.75" x14ac:dyDescent="0.2">
      <c r="B186" s="1187" t="s">
        <v>908</v>
      </c>
      <c r="C186" s="1190" t="s">
        <v>1788</v>
      </c>
    </row>
    <row r="187" spans="2:3" ht="12.75" x14ac:dyDescent="0.2">
      <c r="B187" s="1187" t="s">
        <v>1264</v>
      </c>
      <c r="C187" s="1190" t="s">
        <v>1788</v>
      </c>
    </row>
    <row r="188" spans="2:3" ht="12.75" x14ac:dyDescent="0.2">
      <c r="B188" s="1187" t="s">
        <v>909</v>
      </c>
      <c r="C188" s="1190" t="s">
        <v>1788</v>
      </c>
    </row>
    <row r="189" spans="2:3" ht="12.75" x14ac:dyDescent="0.2">
      <c r="B189" s="1187" t="s">
        <v>910</v>
      </c>
      <c r="C189" s="1190" t="s">
        <v>1788</v>
      </c>
    </row>
    <row r="190" spans="2:3" ht="12.75" x14ac:dyDescent="0.2">
      <c r="B190" s="1187" t="s">
        <v>911</v>
      </c>
      <c r="C190" s="1190" t="s">
        <v>1788</v>
      </c>
    </row>
    <row r="191" spans="2:3" ht="12.75" x14ac:dyDescent="0.2">
      <c r="B191" s="1187" t="s">
        <v>792</v>
      </c>
      <c r="C191" s="1190" t="s">
        <v>1788</v>
      </c>
    </row>
    <row r="192" spans="2:3" ht="12.75" x14ac:dyDescent="0.2">
      <c r="B192" s="1187" t="s">
        <v>1265</v>
      </c>
      <c r="C192" s="1190" t="s">
        <v>1788</v>
      </c>
    </row>
    <row r="193" spans="2:3" ht="12.75" x14ac:dyDescent="0.2">
      <c r="B193" s="1187" t="s">
        <v>1391</v>
      </c>
      <c r="C193" s="1190" t="s">
        <v>1788</v>
      </c>
    </row>
    <row r="194" spans="2:3" ht="12.75" x14ac:dyDescent="0.2">
      <c r="B194" s="1187" t="s">
        <v>912</v>
      </c>
      <c r="C194" s="1190" t="s">
        <v>1788</v>
      </c>
    </row>
    <row r="195" spans="2:3" ht="12.75" x14ac:dyDescent="0.2">
      <c r="B195" s="1187" t="s">
        <v>913</v>
      </c>
      <c r="C195" s="1190" t="s">
        <v>1788</v>
      </c>
    </row>
    <row r="196" spans="2:3" ht="12.75" x14ac:dyDescent="0.2">
      <c r="B196" s="1187" t="s">
        <v>1392</v>
      </c>
      <c r="C196" s="1190" t="s">
        <v>1788</v>
      </c>
    </row>
    <row r="197" spans="2:3" ht="12.75" x14ac:dyDescent="0.2">
      <c r="B197" s="1187" t="s">
        <v>914</v>
      </c>
      <c r="C197" s="1190" t="s">
        <v>1788</v>
      </c>
    </row>
    <row r="198" spans="2:3" ht="12.75" x14ac:dyDescent="0.2">
      <c r="B198" s="1187" t="s">
        <v>793</v>
      </c>
      <c r="C198" s="1190" t="s">
        <v>1788</v>
      </c>
    </row>
    <row r="199" spans="2:3" ht="12.75" x14ac:dyDescent="0.2">
      <c r="B199" s="1187" t="s">
        <v>915</v>
      </c>
      <c r="C199" s="1190" t="s">
        <v>1788</v>
      </c>
    </row>
    <row r="200" spans="2:3" ht="12.75" x14ac:dyDescent="0.2">
      <c r="B200" s="1187" t="s">
        <v>916</v>
      </c>
      <c r="C200" s="1190" t="s">
        <v>1788</v>
      </c>
    </row>
    <row r="201" spans="2:3" ht="12.75" x14ac:dyDescent="0.2">
      <c r="B201" s="1187" t="s">
        <v>917</v>
      </c>
      <c r="C201" s="1190" t="s">
        <v>1788</v>
      </c>
    </row>
    <row r="202" spans="2:3" ht="12.75" x14ac:dyDescent="0.2">
      <c r="B202" s="1188" t="s">
        <v>1471</v>
      </c>
      <c r="C202" s="1190" t="s">
        <v>1788</v>
      </c>
    </row>
    <row r="203" spans="2:3" ht="12.75" x14ac:dyDescent="0.2">
      <c r="B203" s="1187" t="s">
        <v>794</v>
      </c>
      <c r="C203" s="1190" t="s">
        <v>1788</v>
      </c>
    </row>
    <row r="204" spans="2:3" ht="12.75" x14ac:dyDescent="0.2">
      <c r="B204" s="1187" t="s">
        <v>1266</v>
      </c>
      <c r="C204" s="1190" t="s">
        <v>1789</v>
      </c>
    </row>
    <row r="205" spans="2:3" ht="12.75" x14ac:dyDescent="0.2">
      <c r="B205" s="1187" t="s">
        <v>940</v>
      </c>
      <c r="C205" s="1190" t="s">
        <v>1789</v>
      </c>
    </row>
    <row r="206" spans="2:3" ht="12.75" x14ac:dyDescent="0.2">
      <c r="B206" s="1187" t="s">
        <v>941</v>
      </c>
      <c r="C206" s="1190" t="s">
        <v>1789</v>
      </c>
    </row>
    <row r="207" spans="2:3" ht="12.75" x14ac:dyDescent="0.2">
      <c r="B207" s="1187" t="s">
        <v>1257</v>
      </c>
      <c r="C207" s="1190" t="s">
        <v>1789</v>
      </c>
    </row>
    <row r="208" spans="2:3" ht="12.75" x14ac:dyDescent="0.2">
      <c r="B208" s="1187" t="s">
        <v>918</v>
      </c>
      <c r="C208" s="1190" t="s">
        <v>1789</v>
      </c>
    </row>
    <row r="209" spans="2:3" ht="12.75" x14ac:dyDescent="0.2">
      <c r="B209" s="1187" t="s">
        <v>919</v>
      </c>
      <c r="C209" s="1190" t="s">
        <v>1789</v>
      </c>
    </row>
    <row r="210" spans="2:3" ht="12.75" x14ac:dyDescent="0.2">
      <c r="B210" s="1187" t="s">
        <v>920</v>
      </c>
      <c r="C210" s="1190" t="s">
        <v>1789</v>
      </c>
    </row>
    <row r="211" spans="2:3" ht="12.75" x14ac:dyDescent="0.2">
      <c r="B211" s="1187" t="s">
        <v>921</v>
      </c>
      <c r="C211" s="1190" t="s">
        <v>1789</v>
      </c>
    </row>
    <row r="212" spans="2:3" ht="12.75" x14ac:dyDescent="0.2">
      <c r="B212" s="1187" t="s">
        <v>922</v>
      </c>
      <c r="C212" s="1190" t="s">
        <v>1789</v>
      </c>
    </row>
    <row r="213" spans="2:3" ht="12.75" x14ac:dyDescent="0.2">
      <c r="B213" s="1187" t="s">
        <v>923</v>
      </c>
      <c r="C213" s="1190" t="s">
        <v>1789</v>
      </c>
    </row>
    <row r="214" spans="2:3" ht="12.75" x14ac:dyDescent="0.2">
      <c r="B214" s="1187" t="s">
        <v>807</v>
      </c>
      <c r="C214" s="1190" t="s">
        <v>1789</v>
      </c>
    </row>
    <row r="215" spans="2:3" ht="12.75" x14ac:dyDescent="0.2">
      <c r="B215" s="1187" t="s">
        <v>924</v>
      </c>
      <c r="C215" s="1190" t="s">
        <v>1789</v>
      </c>
    </row>
    <row r="216" spans="2:3" ht="12.75" x14ac:dyDescent="0.2">
      <c r="B216" s="1187" t="s">
        <v>925</v>
      </c>
      <c r="C216" s="1190" t="s">
        <v>1789</v>
      </c>
    </row>
    <row r="217" spans="2:3" ht="12.75" x14ac:dyDescent="0.2">
      <c r="B217" s="1187" t="s">
        <v>926</v>
      </c>
      <c r="C217" s="1190" t="s">
        <v>1789</v>
      </c>
    </row>
    <row r="218" spans="2:3" ht="12.75" x14ac:dyDescent="0.2">
      <c r="B218" s="1187" t="s">
        <v>927</v>
      </c>
      <c r="C218" s="1190" t="s">
        <v>1789</v>
      </c>
    </row>
    <row r="219" spans="2:3" ht="12.75" x14ac:dyDescent="0.2">
      <c r="B219" s="1187" t="s">
        <v>928</v>
      </c>
      <c r="C219" s="1190" t="s">
        <v>1789</v>
      </c>
    </row>
    <row r="220" spans="2:3" ht="12.75" x14ac:dyDescent="0.2">
      <c r="B220" s="1187" t="s">
        <v>929</v>
      </c>
      <c r="C220" s="1190" t="s">
        <v>1789</v>
      </c>
    </row>
    <row r="221" spans="2:3" ht="12.75" x14ac:dyDescent="0.2">
      <c r="B221" s="1187" t="s">
        <v>930</v>
      </c>
      <c r="C221" s="1190" t="s">
        <v>1789</v>
      </c>
    </row>
    <row r="222" spans="2:3" ht="12.75" x14ac:dyDescent="0.2">
      <c r="B222" s="1187" t="s">
        <v>931</v>
      </c>
      <c r="C222" s="1190" t="s">
        <v>1789</v>
      </c>
    </row>
    <row r="223" spans="2:3" ht="12.75" x14ac:dyDescent="0.2">
      <c r="B223" s="1187" t="s">
        <v>1387</v>
      </c>
      <c r="C223" s="1190" t="s">
        <v>1789</v>
      </c>
    </row>
    <row r="224" spans="2:3" ht="12.75" x14ac:dyDescent="0.2">
      <c r="B224" s="1187" t="s">
        <v>932</v>
      </c>
      <c r="C224" s="1190" t="s">
        <v>1789</v>
      </c>
    </row>
    <row r="225" spans="2:3" ht="12.75" x14ac:dyDescent="0.2">
      <c r="B225" s="1187" t="s">
        <v>933</v>
      </c>
      <c r="C225" s="1190" t="s">
        <v>1789</v>
      </c>
    </row>
    <row r="226" spans="2:3" ht="12.75" x14ac:dyDescent="0.2">
      <c r="B226" s="1187" t="s">
        <v>934</v>
      </c>
      <c r="C226" s="1190" t="s">
        <v>1789</v>
      </c>
    </row>
    <row r="227" spans="2:3" ht="12.75" x14ac:dyDescent="0.2">
      <c r="B227" s="1187" t="s">
        <v>935</v>
      </c>
      <c r="C227" s="1190" t="s">
        <v>1789</v>
      </c>
    </row>
    <row r="228" spans="2:3" ht="12.75" x14ac:dyDescent="0.2">
      <c r="B228" s="1188" t="s">
        <v>1790</v>
      </c>
      <c r="C228" s="1190" t="s">
        <v>1789</v>
      </c>
    </row>
    <row r="229" spans="2:3" ht="12.75" x14ac:dyDescent="0.2">
      <c r="B229" s="1187" t="s">
        <v>1463</v>
      </c>
      <c r="C229" s="1190" t="s">
        <v>1789</v>
      </c>
    </row>
    <row r="230" spans="2:3" ht="12.75" x14ac:dyDescent="0.2">
      <c r="B230" s="1187" t="s">
        <v>936</v>
      </c>
      <c r="C230" s="1190" t="s">
        <v>1789</v>
      </c>
    </row>
    <row r="231" spans="2:3" ht="12.75" x14ac:dyDescent="0.2">
      <c r="B231" s="1187" t="s">
        <v>937</v>
      </c>
      <c r="C231" s="1190" t="s">
        <v>1789</v>
      </c>
    </row>
    <row r="232" spans="2:3" ht="12.75" x14ac:dyDescent="0.2">
      <c r="B232" s="1187" t="s">
        <v>938</v>
      </c>
      <c r="C232" s="1190" t="s">
        <v>1789</v>
      </c>
    </row>
    <row r="233" spans="2:3" ht="12.75" x14ac:dyDescent="0.2">
      <c r="B233" s="1187" t="s">
        <v>939</v>
      </c>
      <c r="C233" s="1190" t="s">
        <v>1789</v>
      </c>
    </row>
    <row r="234" spans="2:3" ht="12.75" x14ac:dyDescent="0.2">
      <c r="B234" s="1187" t="s">
        <v>808</v>
      </c>
      <c r="C234" s="1190" t="s">
        <v>1789</v>
      </c>
    </row>
    <row r="235" spans="2:3" ht="12.75" x14ac:dyDescent="0.2">
      <c r="B235" s="1187" t="s">
        <v>942</v>
      </c>
      <c r="C235" s="1190" t="s">
        <v>1791</v>
      </c>
    </row>
    <row r="236" spans="2:3" ht="12.75" x14ac:dyDescent="0.2">
      <c r="B236" s="1187" t="s">
        <v>943</v>
      </c>
      <c r="C236" s="1190" t="s">
        <v>1791</v>
      </c>
    </row>
    <row r="237" spans="2:3" ht="12.75" x14ac:dyDescent="0.2">
      <c r="B237" s="1187" t="s">
        <v>944</v>
      </c>
      <c r="C237" s="1190" t="s">
        <v>1791</v>
      </c>
    </row>
    <row r="238" spans="2:3" ht="12.75" x14ac:dyDescent="0.2">
      <c r="B238" s="1187" t="s">
        <v>945</v>
      </c>
      <c r="C238" s="1190" t="s">
        <v>1791</v>
      </c>
    </row>
    <row r="239" spans="2:3" ht="12.75" x14ac:dyDescent="0.2">
      <c r="B239" s="1187" t="s">
        <v>946</v>
      </c>
      <c r="C239" s="1190" t="s">
        <v>1791</v>
      </c>
    </row>
    <row r="240" spans="2:3" ht="12.75" x14ac:dyDescent="0.2">
      <c r="B240" s="1187" t="s">
        <v>799</v>
      </c>
      <c r="C240" s="1190" t="s">
        <v>1791</v>
      </c>
    </row>
    <row r="241" spans="2:3" ht="12.75" x14ac:dyDescent="0.2">
      <c r="B241" s="1187" t="s">
        <v>947</v>
      </c>
      <c r="C241" s="1190" t="s">
        <v>1791</v>
      </c>
    </row>
    <row r="242" spans="2:3" ht="12.75" x14ac:dyDescent="0.2">
      <c r="B242" s="1187" t="s">
        <v>948</v>
      </c>
      <c r="C242" s="1190" t="s">
        <v>1791</v>
      </c>
    </row>
    <row r="243" spans="2:3" ht="12.75" x14ac:dyDescent="0.2">
      <c r="B243" s="1187" t="s">
        <v>949</v>
      </c>
      <c r="C243" s="1190" t="s">
        <v>1791</v>
      </c>
    </row>
    <row r="244" spans="2:3" ht="12.75" x14ac:dyDescent="0.2">
      <c r="B244" s="1187" t="s">
        <v>950</v>
      </c>
      <c r="C244" s="1190" t="s">
        <v>1791</v>
      </c>
    </row>
    <row r="245" spans="2:3" ht="12.75" x14ac:dyDescent="0.2">
      <c r="B245" s="1187" t="s">
        <v>951</v>
      </c>
      <c r="C245" s="1190" t="s">
        <v>1791</v>
      </c>
    </row>
    <row r="246" spans="2:3" ht="12.75" x14ac:dyDescent="0.2">
      <c r="B246" s="1187" t="s">
        <v>800</v>
      </c>
      <c r="C246" s="1190" t="s">
        <v>1791</v>
      </c>
    </row>
    <row r="247" spans="2:3" ht="12.75" x14ac:dyDescent="0.2">
      <c r="B247" s="1187" t="s">
        <v>952</v>
      </c>
      <c r="C247" s="1190" t="s">
        <v>1791</v>
      </c>
    </row>
    <row r="248" spans="2:3" ht="12.75" x14ac:dyDescent="0.2">
      <c r="B248" s="1187" t="s">
        <v>953</v>
      </c>
      <c r="C248" s="1190" t="s">
        <v>1791</v>
      </c>
    </row>
    <row r="249" spans="2:3" ht="12.75" x14ac:dyDescent="0.2">
      <c r="B249" s="1187" t="s">
        <v>954</v>
      </c>
      <c r="C249" s="1190" t="s">
        <v>1791</v>
      </c>
    </row>
    <row r="250" spans="2:3" ht="12.75" x14ac:dyDescent="0.2">
      <c r="B250" s="1187" t="s">
        <v>955</v>
      </c>
      <c r="C250" s="1190" t="s">
        <v>1791</v>
      </c>
    </row>
    <row r="251" spans="2:3" ht="12.75" x14ac:dyDescent="0.2">
      <c r="B251" s="1187" t="s">
        <v>1426</v>
      </c>
      <c r="C251" s="1190" t="s">
        <v>1791</v>
      </c>
    </row>
    <row r="252" spans="2:3" ht="12.75" x14ac:dyDescent="0.2">
      <c r="B252" s="1187" t="s">
        <v>801</v>
      </c>
      <c r="C252" s="1190" t="s">
        <v>1791</v>
      </c>
    </row>
    <row r="253" spans="2:3" ht="12.75" x14ac:dyDescent="0.2">
      <c r="B253" s="1187" t="s">
        <v>956</v>
      </c>
      <c r="C253" s="1190" t="s">
        <v>1791</v>
      </c>
    </row>
    <row r="254" spans="2:3" ht="12.75" x14ac:dyDescent="0.2">
      <c r="B254" s="1187" t="s">
        <v>957</v>
      </c>
      <c r="C254" s="1190" t="s">
        <v>1791</v>
      </c>
    </row>
    <row r="255" spans="2:3" ht="12.75" x14ac:dyDescent="0.2">
      <c r="B255" s="1188" t="s">
        <v>1792</v>
      </c>
      <c r="C255" s="1190" t="s">
        <v>1791</v>
      </c>
    </row>
    <row r="256" spans="2:3" ht="12.75" x14ac:dyDescent="0.2">
      <c r="B256" s="1187" t="s">
        <v>802</v>
      </c>
      <c r="C256" s="1190" t="s">
        <v>1791</v>
      </c>
    </row>
    <row r="257" spans="2:3" ht="12.75" x14ac:dyDescent="0.2">
      <c r="B257" s="1187" t="s">
        <v>1399</v>
      </c>
      <c r="C257" s="1190" t="s">
        <v>1793</v>
      </c>
    </row>
    <row r="258" spans="2:3" ht="12.75" x14ac:dyDescent="0.2">
      <c r="B258" s="1187" t="s">
        <v>958</v>
      </c>
      <c r="C258" s="1190" t="s">
        <v>1793</v>
      </c>
    </row>
    <row r="259" spans="2:3" ht="12.75" x14ac:dyDescent="0.2">
      <c r="B259" s="1187" t="s">
        <v>959</v>
      </c>
      <c r="C259" s="1190" t="s">
        <v>1793</v>
      </c>
    </row>
    <row r="260" spans="2:3" ht="12.75" x14ac:dyDescent="0.2">
      <c r="B260" s="1187" t="s">
        <v>960</v>
      </c>
      <c r="C260" s="1190" t="s">
        <v>1793</v>
      </c>
    </row>
    <row r="261" spans="2:3" ht="12.75" x14ac:dyDescent="0.2">
      <c r="B261" s="1187" t="s">
        <v>961</v>
      </c>
      <c r="C261" s="1190" t="s">
        <v>1793</v>
      </c>
    </row>
    <row r="262" spans="2:3" ht="12.75" x14ac:dyDescent="0.2">
      <c r="B262" s="1187" t="s">
        <v>962</v>
      </c>
      <c r="C262" s="1190" t="s">
        <v>1793</v>
      </c>
    </row>
    <row r="263" spans="2:3" ht="12.75" x14ac:dyDescent="0.2">
      <c r="B263" s="1187" t="s">
        <v>775</v>
      </c>
      <c r="C263" s="1190" t="s">
        <v>1793</v>
      </c>
    </row>
    <row r="264" spans="2:3" ht="12.75" x14ac:dyDescent="0.2">
      <c r="B264" s="1187" t="s">
        <v>963</v>
      </c>
      <c r="C264" s="1190" t="s">
        <v>1793</v>
      </c>
    </row>
    <row r="265" spans="2:3" ht="12.75" x14ac:dyDescent="0.2">
      <c r="B265" s="1187" t="s">
        <v>964</v>
      </c>
      <c r="C265" s="1190" t="s">
        <v>1793</v>
      </c>
    </row>
    <row r="266" spans="2:3" ht="12.75" x14ac:dyDescent="0.2">
      <c r="B266" s="1187" t="s">
        <v>965</v>
      </c>
      <c r="C266" s="1190" t="s">
        <v>1793</v>
      </c>
    </row>
    <row r="267" spans="2:3" ht="12.75" x14ac:dyDescent="0.2">
      <c r="B267" s="1187" t="s">
        <v>966</v>
      </c>
      <c r="C267" s="1190" t="s">
        <v>1793</v>
      </c>
    </row>
    <row r="268" spans="2:3" ht="12.75" x14ac:dyDescent="0.2">
      <c r="B268" s="1187" t="s">
        <v>1267</v>
      </c>
      <c r="C268" s="1190" t="s">
        <v>1793</v>
      </c>
    </row>
    <row r="269" spans="2:3" ht="12.75" x14ac:dyDescent="0.2">
      <c r="B269" s="1187" t="s">
        <v>1385</v>
      </c>
      <c r="C269" s="1190" t="s">
        <v>1793</v>
      </c>
    </row>
    <row r="270" spans="2:3" ht="12.75" x14ac:dyDescent="0.2">
      <c r="B270" s="1187" t="s">
        <v>967</v>
      </c>
      <c r="C270" s="1190" t="s">
        <v>1793</v>
      </c>
    </row>
    <row r="271" spans="2:3" ht="12.75" x14ac:dyDescent="0.2">
      <c r="B271" s="1187" t="s">
        <v>968</v>
      </c>
      <c r="C271" s="1190" t="s">
        <v>1793</v>
      </c>
    </row>
    <row r="272" spans="2:3" ht="12.75" x14ac:dyDescent="0.2">
      <c r="B272" s="1187" t="s">
        <v>969</v>
      </c>
      <c r="C272" s="1190" t="s">
        <v>1793</v>
      </c>
    </row>
    <row r="273" spans="2:3" ht="12.75" x14ac:dyDescent="0.2">
      <c r="B273" s="1187" t="s">
        <v>970</v>
      </c>
      <c r="C273" s="1190" t="s">
        <v>1793</v>
      </c>
    </row>
    <row r="274" spans="2:3" ht="12.75" x14ac:dyDescent="0.2">
      <c r="B274" s="1187" t="s">
        <v>791</v>
      </c>
      <c r="C274" s="1190" t="s">
        <v>1793</v>
      </c>
    </row>
    <row r="275" spans="2:3" ht="12.75" x14ac:dyDescent="0.2">
      <c r="B275" s="1187" t="s">
        <v>971</v>
      </c>
      <c r="C275" s="1190" t="s">
        <v>1793</v>
      </c>
    </row>
    <row r="276" spans="2:3" ht="12.75" x14ac:dyDescent="0.2">
      <c r="B276" s="1187" t="s">
        <v>972</v>
      </c>
      <c r="C276" s="1190" t="s">
        <v>1793</v>
      </c>
    </row>
    <row r="277" spans="2:3" ht="12.75" x14ac:dyDescent="0.2">
      <c r="B277" s="1187" t="s">
        <v>973</v>
      </c>
      <c r="C277" s="1190" t="s">
        <v>1793</v>
      </c>
    </row>
    <row r="278" spans="2:3" ht="12.75" x14ac:dyDescent="0.2">
      <c r="B278" s="1187" t="s">
        <v>974</v>
      </c>
      <c r="C278" s="1190" t="s">
        <v>1793</v>
      </c>
    </row>
    <row r="279" spans="2:3" ht="12.75" x14ac:dyDescent="0.2">
      <c r="B279" s="1187" t="s">
        <v>975</v>
      </c>
      <c r="C279" s="1190" t="s">
        <v>1793</v>
      </c>
    </row>
    <row r="280" spans="2:3" ht="12.75" x14ac:dyDescent="0.2">
      <c r="B280" s="1187" t="s">
        <v>976</v>
      </c>
      <c r="C280" s="1190" t="s">
        <v>1793</v>
      </c>
    </row>
    <row r="281" spans="2:3" ht="12.75" x14ac:dyDescent="0.2">
      <c r="B281" s="1187" t="s">
        <v>977</v>
      </c>
      <c r="C281" s="1190" t="s">
        <v>1793</v>
      </c>
    </row>
    <row r="282" spans="2:3" ht="12.75" x14ac:dyDescent="0.2">
      <c r="B282" s="1187" t="s">
        <v>1794</v>
      </c>
      <c r="C282" s="1190" t="s">
        <v>1793</v>
      </c>
    </row>
    <row r="283" spans="2:3" ht="12.75" x14ac:dyDescent="0.2">
      <c r="B283" s="1187" t="s">
        <v>978</v>
      </c>
      <c r="C283" s="1190" t="s">
        <v>1793</v>
      </c>
    </row>
    <row r="284" spans="2:3" ht="12.75" x14ac:dyDescent="0.2">
      <c r="B284" s="1187" t="s">
        <v>979</v>
      </c>
      <c r="C284" s="1190" t="s">
        <v>1793</v>
      </c>
    </row>
    <row r="285" spans="2:3" ht="12.75" x14ac:dyDescent="0.2">
      <c r="B285" s="1187" t="s">
        <v>980</v>
      </c>
      <c r="C285" s="1190" t="s">
        <v>1793</v>
      </c>
    </row>
    <row r="286" spans="2:3" ht="12.75" x14ac:dyDescent="0.2">
      <c r="B286" s="1187" t="s">
        <v>806</v>
      </c>
      <c r="C286" s="1190" t="s">
        <v>1793</v>
      </c>
    </row>
    <row r="287" spans="2:3" ht="12.75" x14ac:dyDescent="0.2">
      <c r="B287" s="830"/>
      <c r="C287" s="1027"/>
    </row>
    <row r="288" spans="2:3" ht="12.75" x14ac:dyDescent="0.2">
      <c r="B288" s="830"/>
      <c r="C288" s="1027"/>
    </row>
    <row r="289" spans="2:3" ht="12.75" x14ac:dyDescent="0.2">
      <c r="B289" s="830"/>
      <c r="C289" s="1027"/>
    </row>
    <row r="290" spans="2:3" ht="12.75" x14ac:dyDescent="0.2">
      <c r="B290" s="830"/>
      <c r="C290" s="1027"/>
    </row>
    <row r="291" spans="2:3" ht="12.75" x14ac:dyDescent="0.2">
      <c r="B291" s="830"/>
      <c r="C291" s="1027"/>
    </row>
    <row r="292" spans="2:3" ht="12.75" x14ac:dyDescent="0.2">
      <c r="B292" s="830"/>
      <c r="C292" s="1027"/>
    </row>
    <row r="293" spans="2:3" ht="12.75" x14ac:dyDescent="0.2">
      <c r="B293" s="830"/>
      <c r="C293" s="1027"/>
    </row>
    <row r="294" spans="2:3" ht="12.75" x14ac:dyDescent="0.2">
      <c r="B294" s="830"/>
      <c r="C294" s="1027"/>
    </row>
    <row r="295" spans="2:3" ht="12.75" x14ac:dyDescent="0.2">
      <c r="B295" s="830"/>
      <c r="C295" s="1027"/>
    </row>
    <row r="296" spans="2:3" ht="12.75" x14ac:dyDescent="0.2">
      <c r="B296" s="830"/>
      <c r="C296" s="1027"/>
    </row>
    <row r="297" spans="2:3" ht="12.75" x14ac:dyDescent="0.2">
      <c r="B297" s="830"/>
      <c r="C297" s="1027"/>
    </row>
    <row r="298" spans="2:3" ht="12.75" x14ac:dyDescent="0.2">
      <c r="B298" s="830"/>
      <c r="C298" s="1027"/>
    </row>
    <row r="299" spans="2:3" ht="12.75" x14ac:dyDescent="0.2">
      <c r="B299" s="830"/>
      <c r="C299" s="1027"/>
    </row>
    <row r="300" spans="2:3" ht="12.75" x14ac:dyDescent="0.2">
      <c r="B300" s="830"/>
      <c r="C300" s="1027"/>
    </row>
    <row r="301" spans="2:3" ht="12.75" x14ac:dyDescent="0.2">
      <c r="B301" s="830"/>
      <c r="C301" s="1027"/>
    </row>
    <row r="302" spans="2:3" ht="12.75" x14ac:dyDescent="0.2">
      <c r="B302" s="830"/>
      <c r="C302" s="1027"/>
    </row>
    <row r="303" spans="2:3" ht="12.75" x14ac:dyDescent="0.2">
      <c r="B303" s="830"/>
      <c r="C303" s="1027"/>
    </row>
    <row r="304" spans="2:3" ht="12.75" x14ac:dyDescent="0.2">
      <c r="B304" s="830"/>
      <c r="C304" s="1027"/>
    </row>
    <row r="305" spans="2:3" ht="12.75" x14ac:dyDescent="0.2">
      <c r="B305" s="830"/>
      <c r="C305" s="1027"/>
    </row>
    <row r="306" spans="2:3" ht="12.75" x14ac:dyDescent="0.2">
      <c r="B306" s="830"/>
      <c r="C306" s="1027"/>
    </row>
    <row r="307" spans="2:3" ht="12.75" x14ac:dyDescent="0.2">
      <c r="B307" s="830"/>
      <c r="C307" s="1027"/>
    </row>
    <row r="308" spans="2:3" x14ac:dyDescent="0.2">
      <c r="C308" s="1028">
        <f>COUNTA(C30:C307)</f>
        <v>257</v>
      </c>
    </row>
  </sheetData>
  <phoneticPr fontId="4" type="noConversion"/>
  <pageMargins left="0.75" right="0.75" top="1" bottom="1" header="0.5" footer="0.5"/>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indexed="42"/>
  </sheetPr>
  <dimension ref="A1:N217"/>
  <sheetViews>
    <sheetView showGridLines="0" workbookViewId="0">
      <pane xSplit="2" ySplit="5" topLeftCell="C6" activePane="bottomRight" state="frozen"/>
      <selection activeCell="C6" sqref="C6"/>
      <selection pane="topRight" activeCell="C6" sqref="C6"/>
      <selection pane="bottomLeft" activeCell="C6" sqref="C6"/>
      <selection pane="bottomRight" activeCell="P30" sqref="P30"/>
    </sheetView>
  </sheetViews>
  <sheetFormatPr defaultColWidth="9.140625" defaultRowHeight="12.75" x14ac:dyDescent="0.25"/>
  <cols>
    <col min="1" max="1" width="34.140625" style="5" bestFit="1" customWidth="1"/>
    <col min="2" max="2" width="3.140625" style="58" customWidth="1"/>
    <col min="3" max="13" width="9.140625" style="5"/>
    <col min="14" max="14" width="13.28515625" style="5" customWidth="1"/>
    <col min="15" max="15" width="9.5703125" style="5" customWidth="1"/>
    <col min="16" max="16" width="9.85546875" style="5" customWidth="1"/>
    <col min="17" max="19" width="9.5703125" style="5" customWidth="1"/>
    <col min="20" max="20" width="9.85546875" style="5" customWidth="1"/>
    <col min="21" max="23" width="9.5703125" style="5" customWidth="1"/>
    <col min="24" max="25" width="9.85546875" style="5" customWidth="1"/>
    <col min="26" max="16384" width="9.140625" style="5"/>
  </cols>
  <sheetData>
    <row r="1" spans="1:14" ht="13.5" x14ac:dyDescent="0.25">
      <c r="A1" s="57" t="str">
        <f>muni&amp;" - "&amp;ADJB18d&amp;" - "&amp;Date</f>
        <v>LIM354 Polokwane - Supporting Table SB18d Adjustments Budget - depreciation by asset class - 2020</v>
      </c>
      <c r="B1" s="5"/>
      <c r="C1" s="58"/>
    </row>
    <row r="2" spans="1:14" ht="25.5" x14ac:dyDescent="0.25">
      <c r="A2" s="1406" t="str">
        <f>desc</f>
        <v>Description</v>
      </c>
      <c r="B2" s="1406" t="str">
        <f>head27</f>
        <v>Ref</v>
      </c>
      <c r="C2" s="1403" t="str">
        <f>Head2</f>
        <v>Budget Year 2020/21</v>
      </c>
      <c r="D2" s="1404"/>
      <c r="E2" s="1404"/>
      <c r="F2" s="1404"/>
      <c r="G2" s="1404"/>
      <c r="H2" s="1404"/>
      <c r="I2" s="1404"/>
      <c r="J2" s="1404"/>
      <c r="K2" s="1405"/>
      <c r="L2" s="169" t="str">
        <f>Head10</f>
        <v>Budget Year +1 2021/22</v>
      </c>
      <c r="M2" s="170" t="str">
        <f>Head11</f>
        <v>Budget Year +2 2022/23</v>
      </c>
    </row>
    <row r="3" spans="1:14" ht="25.5" x14ac:dyDescent="0.25">
      <c r="A3" s="1407"/>
      <c r="B3" s="1407"/>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x14ac:dyDescent="0.25">
      <c r="A4" s="1407"/>
      <c r="B4" s="1407"/>
      <c r="C4" s="65"/>
      <c r="D4" s="15">
        <v>7</v>
      </c>
      <c r="E4" s="15">
        <v>8</v>
      </c>
      <c r="F4" s="15">
        <v>9</v>
      </c>
      <c r="G4" s="15">
        <v>10</v>
      </c>
      <c r="H4" s="15">
        <v>11</v>
      </c>
      <c r="I4" s="15">
        <v>12</v>
      </c>
      <c r="J4" s="15">
        <v>13</v>
      </c>
      <c r="K4" s="15">
        <v>14</v>
      </c>
      <c r="L4" s="15"/>
      <c r="M4" s="17"/>
    </row>
    <row r="5" spans="1:14" x14ac:dyDescent="0.25">
      <c r="A5" s="66" t="s">
        <v>603</v>
      </c>
      <c r="B5" s="104"/>
      <c r="C5" s="67" t="s">
        <v>547</v>
      </c>
      <c r="D5" s="68" t="s">
        <v>548</v>
      </c>
      <c r="E5" s="68" t="s">
        <v>549</v>
      </c>
      <c r="F5" s="69" t="s">
        <v>550</v>
      </c>
      <c r="G5" s="69" t="s">
        <v>551</v>
      </c>
      <c r="H5" s="69" t="s">
        <v>552</v>
      </c>
      <c r="I5" s="70" t="s">
        <v>553</v>
      </c>
      <c r="J5" s="70" t="s">
        <v>554</v>
      </c>
      <c r="K5" s="70" t="s">
        <v>555</v>
      </c>
      <c r="L5" s="70"/>
      <c r="M5" s="71"/>
    </row>
    <row r="6" spans="1:14" ht="12.75" customHeight="1" x14ac:dyDescent="0.25">
      <c r="A6" s="845" t="s">
        <v>1417</v>
      </c>
      <c r="B6" s="73"/>
      <c r="C6" s="74"/>
      <c r="D6" s="75"/>
      <c r="E6" s="75"/>
      <c r="F6" s="75"/>
      <c r="G6" s="75"/>
      <c r="H6" s="75"/>
      <c r="I6" s="75"/>
      <c r="J6" s="75"/>
      <c r="K6" s="75"/>
      <c r="L6" s="75"/>
      <c r="M6" s="76"/>
      <c r="N6" s="128"/>
    </row>
    <row r="7" spans="1:14" ht="5.0999999999999996" customHeight="1" x14ac:dyDescent="0.25">
      <c r="A7" s="126"/>
      <c r="B7" s="73"/>
      <c r="C7" s="74"/>
      <c r="D7" s="75"/>
      <c r="E7" s="75"/>
      <c r="F7" s="75"/>
      <c r="G7" s="75"/>
      <c r="H7" s="75"/>
      <c r="I7" s="75"/>
      <c r="J7" s="75"/>
      <c r="K7" s="75"/>
      <c r="L7" s="75"/>
      <c r="M7" s="76"/>
      <c r="N7" s="128"/>
    </row>
    <row r="8" spans="1:14" ht="12.75" customHeight="1" x14ac:dyDescent="0.25">
      <c r="A8" s="126" t="s">
        <v>764</v>
      </c>
      <c r="B8" s="73"/>
      <c r="C8" s="693">
        <f>C9+C14+C18+C28+C70+C39+C46+C54+C64</f>
        <v>133005639.64585528</v>
      </c>
      <c r="D8" s="693">
        <f t="shared" ref="D8:I8" si="0">D9+D14+D18+D28+D70+D39+D46+D54+D64</f>
        <v>133005639.64585528</v>
      </c>
      <c r="E8" s="693">
        <f t="shared" si="0"/>
        <v>0</v>
      </c>
      <c r="F8" s="693">
        <f t="shared" si="0"/>
        <v>0</v>
      </c>
      <c r="G8" s="693">
        <f t="shared" si="0"/>
        <v>0</v>
      </c>
      <c r="H8" s="693">
        <f t="shared" si="0"/>
        <v>0</v>
      </c>
      <c r="I8" s="693">
        <f t="shared" si="0"/>
        <v>0</v>
      </c>
      <c r="J8" s="694">
        <f>SUM(E8:I8)</f>
        <v>0</v>
      </c>
      <c r="K8" s="694">
        <f>IF(D8=0,C8+J8,D8+J8)</f>
        <v>133005639.64585528</v>
      </c>
      <c r="L8" s="693">
        <f>L9+L14+L18+L28+L70+L39+L46+L54+L64</f>
        <v>148653361.95713246</v>
      </c>
      <c r="M8" s="695">
        <f>M9+M14+M18+M28+M70+M39+M46+M54+M64</f>
        <v>156477223.11277121</v>
      </c>
      <c r="N8" s="839"/>
    </row>
    <row r="9" spans="1:14" ht="12.75" customHeight="1" x14ac:dyDescent="0.25">
      <c r="A9" s="588" t="s">
        <v>1569</v>
      </c>
      <c r="B9" s="73"/>
      <c r="C9" s="265">
        <f>SUM(C10:C13)</f>
        <v>65179940.00911092</v>
      </c>
      <c r="D9" s="265">
        <f t="shared" ref="D9:M9" si="1">SUM(D10:D13)</f>
        <v>65179940.00911092</v>
      </c>
      <c r="E9" s="265">
        <f t="shared" si="1"/>
        <v>0</v>
      </c>
      <c r="F9" s="265">
        <f t="shared" si="1"/>
        <v>0</v>
      </c>
      <c r="G9" s="265">
        <f t="shared" si="1"/>
        <v>0</v>
      </c>
      <c r="H9" s="265">
        <f t="shared" si="1"/>
        <v>0</v>
      </c>
      <c r="I9" s="265">
        <f t="shared" si="1"/>
        <v>0</v>
      </c>
      <c r="J9" s="75">
        <f t="shared" ref="J9:J72" si="2">SUM(E9:I9)</f>
        <v>0</v>
      </c>
      <c r="K9" s="75">
        <f t="shared" ref="K9:K72" si="3">IF(D9=0,C9+J9,D9+J9)</f>
        <v>65179940.00911092</v>
      </c>
      <c r="L9" s="265">
        <f t="shared" si="1"/>
        <v>72848168.245476961</v>
      </c>
      <c r="M9" s="266">
        <f t="shared" si="1"/>
        <v>76682282.363660067</v>
      </c>
      <c r="N9" s="128"/>
    </row>
    <row r="10" spans="1:14" ht="12.75" customHeight="1" x14ac:dyDescent="0.25">
      <c r="A10" s="589" t="s">
        <v>1000</v>
      </c>
      <c r="B10" s="73"/>
      <c r="C10" s="109">
        <v>56504559.82301572</v>
      </c>
      <c r="D10" s="109">
        <v>56504559.82301572</v>
      </c>
      <c r="E10" s="109">
        <v>0</v>
      </c>
      <c r="F10" s="109">
        <v>0</v>
      </c>
      <c r="G10" s="109">
        <v>0</v>
      </c>
      <c r="H10" s="109">
        <v>0</v>
      </c>
      <c r="I10" s="109">
        <v>0</v>
      </c>
      <c r="J10" s="75">
        <f t="shared" si="2"/>
        <v>0</v>
      </c>
      <c r="K10" s="75">
        <f t="shared" si="3"/>
        <v>56504559.82301572</v>
      </c>
      <c r="L10" s="109">
        <v>63152155.096311726</v>
      </c>
      <c r="M10" s="110">
        <v>66475952.732959807</v>
      </c>
      <c r="N10" s="839"/>
    </row>
    <row r="11" spans="1:14" ht="12.75" customHeight="1" x14ac:dyDescent="0.25">
      <c r="A11" s="589" t="s">
        <v>1570</v>
      </c>
      <c r="B11" s="73"/>
      <c r="C11" s="109">
        <v>8037342.1791059384</v>
      </c>
      <c r="D11" s="109">
        <v>8037342.1791059384</v>
      </c>
      <c r="E11" s="109">
        <v>0</v>
      </c>
      <c r="F11" s="109">
        <v>0</v>
      </c>
      <c r="G11" s="109">
        <v>0</v>
      </c>
      <c r="H11" s="109">
        <v>0</v>
      </c>
      <c r="I11" s="109">
        <v>0</v>
      </c>
      <c r="J11" s="75">
        <f t="shared" si="2"/>
        <v>0</v>
      </c>
      <c r="K11" s="75">
        <f t="shared" si="3"/>
        <v>8037342.1791059384</v>
      </c>
      <c r="L11" s="109">
        <v>8982911.847236054</v>
      </c>
      <c r="M11" s="110">
        <v>9455696.6813011225</v>
      </c>
      <c r="N11" s="844"/>
    </row>
    <row r="12" spans="1:14" ht="12.75" customHeight="1" x14ac:dyDescent="0.25">
      <c r="A12" s="589" t="s">
        <v>1571</v>
      </c>
      <c r="B12" s="73"/>
      <c r="C12" s="109">
        <v>638038.00698926661</v>
      </c>
      <c r="D12" s="109">
        <v>638038.00698926661</v>
      </c>
      <c r="E12" s="109">
        <v>0</v>
      </c>
      <c r="F12" s="109">
        <v>0</v>
      </c>
      <c r="G12" s="109">
        <v>0</v>
      </c>
      <c r="H12" s="109">
        <v>0</v>
      </c>
      <c r="I12" s="109">
        <v>0</v>
      </c>
      <c r="J12" s="75">
        <f t="shared" si="2"/>
        <v>0</v>
      </c>
      <c r="K12" s="75">
        <f t="shared" si="3"/>
        <v>638038.00698926661</v>
      </c>
      <c r="L12" s="109">
        <v>713101.30192918074</v>
      </c>
      <c r="M12" s="110">
        <v>750632.94939913868</v>
      </c>
      <c r="N12" s="839"/>
    </row>
    <row r="13" spans="1:14" ht="12.75" customHeight="1" x14ac:dyDescent="0.25">
      <c r="A13" s="589" t="s">
        <v>1572</v>
      </c>
      <c r="B13" s="73"/>
      <c r="C13" s="109">
        <v>0</v>
      </c>
      <c r="D13" s="109">
        <v>0</v>
      </c>
      <c r="E13" s="109">
        <v>0</v>
      </c>
      <c r="F13" s="109">
        <v>0</v>
      </c>
      <c r="G13" s="109">
        <v>0</v>
      </c>
      <c r="H13" s="109">
        <v>0</v>
      </c>
      <c r="I13" s="109">
        <v>0</v>
      </c>
      <c r="J13" s="75">
        <f t="shared" si="2"/>
        <v>0</v>
      </c>
      <c r="K13" s="75">
        <f t="shared" si="3"/>
        <v>0</v>
      </c>
      <c r="L13" s="109">
        <v>0</v>
      </c>
      <c r="M13" s="110">
        <v>0</v>
      </c>
      <c r="N13" s="844"/>
    </row>
    <row r="14" spans="1:14" ht="12.75" customHeight="1" x14ac:dyDescent="0.25">
      <c r="A14" s="588" t="s">
        <v>1573</v>
      </c>
      <c r="B14" s="73"/>
      <c r="C14" s="132">
        <f t="shared" ref="C14:I14" si="4">SUM(C15:C17)</f>
        <v>8492468.7844288051</v>
      </c>
      <c r="D14" s="132">
        <f t="shared" si="4"/>
        <v>8492468.7844288051</v>
      </c>
      <c r="E14" s="132">
        <f t="shared" si="4"/>
        <v>0</v>
      </c>
      <c r="F14" s="132">
        <f t="shared" si="4"/>
        <v>0</v>
      </c>
      <c r="G14" s="132">
        <f t="shared" si="4"/>
        <v>0</v>
      </c>
      <c r="H14" s="132">
        <f t="shared" si="4"/>
        <v>0</v>
      </c>
      <c r="I14" s="132">
        <f t="shared" si="4"/>
        <v>0</v>
      </c>
      <c r="J14" s="75">
        <f t="shared" si="2"/>
        <v>0</v>
      </c>
      <c r="K14" s="75">
        <f t="shared" si="3"/>
        <v>8492468.7844288051</v>
      </c>
      <c r="L14" s="132">
        <f>SUM(L15:L17)</f>
        <v>9491582.7590674944</v>
      </c>
      <c r="M14" s="133">
        <f>SUM(M15:M17)</f>
        <v>9991139.7463868503</v>
      </c>
      <c r="N14" s="844"/>
    </row>
    <row r="15" spans="1:14" ht="12.75" customHeight="1" x14ac:dyDescent="0.25">
      <c r="A15" s="589" t="s">
        <v>1574</v>
      </c>
      <c r="B15" s="73"/>
      <c r="C15" s="109">
        <v>0</v>
      </c>
      <c r="D15" s="109">
        <v>0</v>
      </c>
      <c r="E15" s="109">
        <v>0</v>
      </c>
      <c r="F15" s="109">
        <v>0</v>
      </c>
      <c r="G15" s="109">
        <v>0</v>
      </c>
      <c r="H15" s="109">
        <v>0</v>
      </c>
      <c r="I15" s="109">
        <v>0</v>
      </c>
      <c r="J15" s="75">
        <f t="shared" si="2"/>
        <v>0</v>
      </c>
      <c r="K15" s="75">
        <f t="shared" si="3"/>
        <v>0</v>
      </c>
      <c r="L15" s="109">
        <v>0</v>
      </c>
      <c r="M15" s="110">
        <v>0</v>
      </c>
      <c r="N15" s="844"/>
    </row>
    <row r="16" spans="1:14" ht="12.75" customHeight="1" x14ac:dyDescent="0.25">
      <c r="A16" s="589" t="s">
        <v>1575</v>
      </c>
      <c r="B16" s="73"/>
      <c r="C16" s="109">
        <v>8492468.7844288051</v>
      </c>
      <c r="D16" s="109">
        <v>8492468.7844288051</v>
      </c>
      <c r="E16" s="109">
        <v>0</v>
      </c>
      <c r="F16" s="109">
        <v>0</v>
      </c>
      <c r="G16" s="109">
        <v>0</v>
      </c>
      <c r="H16" s="109">
        <v>0</v>
      </c>
      <c r="I16" s="109">
        <v>0</v>
      </c>
      <c r="J16" s="75">
        <f t="shared" si="2"/>
        <v>0</v>
      </c>
      <c r="K16" s="75">
        <f t="shared" si="3"/>
        <v>8492468.7844288051</v>
      </c>
      <c r="L16" s="109">
        <v>9491582.7590674944</v>
      </c>
      <c r="M16" s="110">
        <v>9991139.7463868503</v>
      </c>
      <c r="N16" s="844"/>
    </row>
    <row r="17" spans="1:14" ht="12.75" customHeight="1" x14ac:dyDescent="0.25">
      <c r="A17" s="589" t="s">
        <v>1576</v>
      </c>
      <c r="B17" s="73"/>
      <c r="C17" s="109">
        <v>0</v>
      </c>
      <c r="D17" s="109">
        <v>0</v>
      </c>
      <c r="E17" s="109">
        <v>0</v>
      </c>
      <c r="F17" s="109">
        <v>0</v>
      </c>
      <c r="G17" s="109">
        <v>0</v>
      </c>
      <c r="H17" s="109">
        <v>0</v>
      </c>
      <c r="I17" s="109">
        <v>0</v>
      </c>
      <c r="J17" s="75">
        <f t="shared" si="2"/>
        <v>0</v>
      </c>
      <c r="K17" s="75">
        <f t="shared" si="3"/>
        <v>0</v>
      </c>
      <c r="L17" s="109">
        <v>0</v>
      </c>
      <c r="M17" s="110">
        <v>0</v>
      </c>
      <c r="N17" s="844"/>
    </row>
    <row r="18" spans="1:14" ht="12.75" customHeight="1" x14ac:dyDescent="0.25">
      <c r="A18" s="588" t="s">
        <v>1577</v>
      </c>
      <c r="B18" s="73"/>
      <c r="C18" s="132">
        <f t="shared" ref="C18:M18" si="5">SUM(C19:C27)</f>
        <v>24186267.04740594</v>
      </c>
      <c r="D18" s="132">
        <f t="shared" si="5"/>
        <v>24186267.04740594</v>
      </c>
      <c r="E18" s="132">
        <f t="shared" si="5"/>
        <v>0</v>
      </c>
      <c r="F18" s="132">
        <f t="shared" si="5"/>
        <v>0</v>
      </c>
      <c r="G18" s="132">
        <f t="shared" si="5"/>
        <v>0</v>
      </c>
      <c r="H18" s="132">
        <f t="shared" si="5"/>
        <v>0</v>
      </c>
      <c r="I18" s="132">
        <f t="shared" si="5"/>
        <v>0</v>
      </c>
      <c r="J18" s="75">
        <f t="shared" si="2"/>
        <v>0</v>
      </c>
      <c r="K18" s="75">
        <f t="shared" si="3"/>
        <v>24186267.04740594</v>
      </c>
      <c r="L18" s="132">
        <f t="shared" si="5"/>
        <v>27031710.229453713</v>
      </c>
      <c r="M18" s="133">
        <f t="shared" si="5"/>
        <v>28454431.820477635</v>
      </c>
      <c r="N18" s="844"/>
    </row>
    <row r="19" spans="1:14" ht="12.75" customHeight="1" x14ac:dyDescent="0.25">
      <c r="A19" s="589" t="s">
        <v>1578</v>
      </c>
      <c r="B19" s="73"/>
      <c r="C19" s="109">
        <v>0</v>
      </c>
      <c r="D19" s="109">
        <v>0</v>
      </c>
      <c r="E19" s="109">
        <v>0</v>
      </c>
      <c r="F19" s="109">
        <v>0</v>
      </c>
      <c r="G19" s="109">
        <v>0</v>
      </c>
      <c r="H19" s="109">
        <v>0</v>
      </c>
      <c r="I19" s="109">
        <v>0</v>
      </c>
      <c r="J19" s="75">
        <f t="shared" si="2"/>
        <v>0</v>
      </c>
      <c r="K19" s="75">
        <f t="shared" si="3"/>
        <v>0</v>
      </c>
      <c r="L19" s="109">
        <v>0</v>
      </c>
      <c r="M19" s="110">
        <v>0</v>
      </c>
      <c r="N19" s="844"/>
    </row>
    <row r="20" spans="1:14" ht="12.6" customHeight="1" x14ac:dyDescent="0.25">
      <c r="A20" s="589" t="s">
        <v>1579</v>
      </c>
      <c r="B20" s="73"/>
      <c r="C20" s="109">
        <v>5258164.8231982216</v>
      </c>
      <c r="D20" s="109">
        <v>5258164.8231982216</v>
      </c>
      <c r="E20" s="109">
        <v>0</v>
      </c>
      <c r="F20" s="109">
        <v>0</v>
      </c>
      <c r="G20" s="109">
        <v>0</v>
      </c>
      <c r="H20" s="109">
        <v>0</v>
      </c>
      <c r="I20" s="109">
        <v>0</v>
      </c>
      <c r="J20" s="75">
        <f t="shared" si="2"/>
        <v>0</v>
      </c>
      <c r="K20" s="75">
        <f t="shared" si="3"/>
        <v>5258164.8231982216</v>
      </c>
      <c r="L20" s="109">
        <v>5876772.4494568398</v>
      </c>
      <c r="M20" s="110">
        <v>6186076.2625861559</v>
      </c>
      <c r="N20" s="844"/>
    </row>
    <row r="21" spans="1:14" ht="12.75" customHeight="1" x14ac:dyDescent="0.25">
      <c r="A21" s="589" t="s">
        <v>1580</v>
      </c>
      <c r="B21" s="73"/>
      <c r="C21" s="109">
        <v>0</v>
      </c>
      <c r="D21" s="109">
        <v>0</v>
      </c>
      <c r="E21" s="109">
        <v>0</v>
      </c>
      <c r="F21" s="109">
        <v>0</v>
      </c>
      <c r="G21" s="109">
        <v>0</v>
      </c>
      <c r="H21" s="109">
        <v>0</v>
      </c>
      <c r="I21" s="109">
        <v>0</v>
      </c>
      <c r="J21" s="75">
        <f t="shared" si="2"/>
        <v>0</v>
      </c>
      <c r="K21" s="75">
        <f t="shared" si="3"/>
        <v>0</v>
      </c>
      <c r="L21" s="109">
        <v>0</v>
      </c>
      <c r="M21" s="110">
        <v>0</v>
      </c>
      <c r="N21" s="844"/>
    </row>
    <row r="22" spans="1:14" ht="12.75" customHeight="1" x14ac:dyDescent="0.25">
      <c r="A22" s="589" t="s">
        <v>1581</v>
      </c>
      <c r="B22" s="73"/>
      <c r="C22" s="109">
        <v>0</v>
      </c>
      <c r="D22" s="109">
        <v>0</v>
      </c>
      <c r="E22" s="109">
        <v>0</v>
      </c>
      <c r="F22" s="109">
        <v>0</v>
      </c>
      <c r="G22" s="109">
        <v>0</v>
      </c>
      <c r="H22" s="109">
        <v>0</v>
      </c>
      <c r="I22" s="109">
        <v>0</v>
      </c>
      <c r="J22" s="75">
        <f t="shared" si="2"/>
        <v>0</v>
      </c>
      <c r="K22" s="75">
        <f t="shared" si="3"/>
        <v>0</v>
      </c>
      <c r="L22" s="109">
        <v>0</v>
      </c>
      <c r="M22" s="110">
        <v>0</v>
      </c>
      <c r="N22" s="839"/>
    </row>
    <row r="23" spans="1:14" ht="12.75" customHeight="1" x14ac:dyDescent="0.25">
      <c r="A23" s="589" t="s">
        <v>1582</v>
      </c>
      <c r="B23" s="73"/>
      <c r="C23" s="109">
        <v>0</v>
      </c>
      <c r="D23" s="109">
        <v>0</v>
      </c>
      <c r="E23" s="109">
        <v>0</v>
      </c>
      <c r="F23" s="109">
        <v>0</v>
      </c>
      <c r="G23" s="109">
        <v>0</v>
      </c>
      <c r="H23" s="109">
        <v>0</v>
      </c>
      <c r="I23" s="109">
        <v>0</v>
      </c>
      <c r="J23" s="75">
        <f t="shared" si="2"/>
        <v>0</v>
      </c>
      <c r="K23" s="75">
        <f t="shared" si="3"/>
        <v>0</v>
      </c>
      <c r="L23" s="109">
        <v>0</v>
      </c>
      <c r="M23" s="110">
        <v>0</v>
      </c>
      <c r="N23" s="844"/>
    </row>
    <row r="24" spans="1:14" ht="12.75" customHeight="1" x14ac:dyDescent="0.25">
      <c r="A24" s="589" t="s">
        <v>1583</v>
      </c>
      <c r="B24" s="73"/>
      <c r="C24" s="109">
        <v>0</v>
      </c>
      <c r="D24" s="109">
        <v>0</v>
      </c>
      <c r="E24" s="109">
        <v>0</v>
      </c>
      <c r="F24" s="109">
        <v>0</v>
      </c>
      <c r="G24" s="109">
        <v>0</v>
      </c>
      <c r="H24" s="109">
        <v>0</v>
      </c>
      <c r="I24" s="109">
        <v>0</v>
      </c>
      <c r="J24" s="75">
        <f t="shared" si="2"/>
        <v>0</v>
      </c>
      <c r="K24" s="75">
        <f t="shared" si="3"/>
        <v>0</v>
      </c>
      <c r="L24" s="109">
        <v>0</v>
      </c>
      <c r="M24" s="110">
        <v>0</v>
      </c>
      <c r="N24" s="839"/>
    </row>
    <row r="25" spans="1:14" ht="12.75" customHeight="1" x14ac:dyDescent="0.25">
      <c r="A25" s="589" t="s">
        <v>1584</v>
      </c>
      <c r="B25" s="73"/>
      <c r="C25" s="109">
        <v>12925380.401285091</v>
      </c>
      <c r="D25" s="109">
        <v>12925380.401285091</v>
      </c>
      <c r="E25" s="109">
        <v>0</v>
      </c>
      <c r="F25" s="109">
        <v>0</v>
      </c>
      <c r="G25" s="109">
        <v>0</v>
      </c>
      <c r="H25" s="109">
        <v>0</v>
      </c>
      <c r="I25" s="109">
        <v>0</v>
      </c>
      <c r="J25" s="75">
        <f t="shared" si="2"/>
        <v>0</v>
      </c>
      <c r="K25" s="75">
        <f t="shared" si="3"/>
        <v>12925380.401285091</v>
      </c>
      <c r="L25" s="109">
        <v>14446013.389671581</v>
      </c>
      <c r="M25" s="110">
        <v>15206329.883864844</v>
      </c>
      <c r="N25" s="844"/>
    </row>
    <row r="26" spans="1:14" ht="12.75" customHeight="1" x14ac:dyDescent="0.25">
      <c r="A26" s="589" t="s">
        <v>1585</v>
      </c>
      <c r="B26" s="73"/>
      <c r="C26" s="109">
        <v>6002721.8229226274</v>
      </c>
      <c r="D26" s="109">
        <v>6002721.8229226274</v>
      </c>
      <c r="E26" s="109">
        <v>0</v>
      </c>
      <c r="F26" s="109">
        <v>0</v>
      </c>
      <c r="G26" s="109">
        <v>0</v>
      </c>
      <c r="H26" s="109">
        <v>0</v>
      </c>
      <c r="I26" s="109">
        <v>0</v>
      </c>
      <c r="J26" s="75">
        <f t="shared" si="2"/>
        <v>0</v>
      </c>
      <c r="K26" s="75">
        <f t="shared" si="3"/>
        <v>6002721.8229226274</v>
      </c>
      <c r="L26" s="109">
        <v>6708924.3903252939</v>
      </c>
      <c r="M26" s="110">
        <v>7062025.6740266355</v>
      </c>
      <c r="N26" s="839"/>
    </row>
    <row r="27" spans="1:14" ht="12.75" customHeight="1" x14ac:dyDescent="0.25">
      <c r="A27" s="589" t="s">
        <v>1572</v>
      </c>
      <c r="B27" s="73"/>
      <c r="C27" s="109"/>
      <c r="D27" s="109">
        <v>0</v>
      </c>
      <c r="E27" s="109">
        <v>0</v>
      </c>
      <c r="F27" s="109">
        <v>0</v>
      </c>
      <c r="G27" s="109">
        <v>0</v>
      </c>
      <c r="H27" s="109">
        <v>0</v>
      </c>
      <c r="I27" s="109">
        <v>0</v>
      </c>
      <c r="J27" s="75">
        <f t="shared" si="2"/>
        <v>0</v>
      </c>
      <c r="K27" s="75">
        <f t="shared" si="3"/>
        <v>0</v>
      </c>
      <c r="L27" s="109">
        <v>0</v>
      </c>
      <c r="M27" s="110">
        <v>0</v>
      </c>
      <c r="N27" s="844"/>
    </row>
    <row r="28" spans="1:14" ht="12.75" customHeight="1" x14ac:dyDescent="0.25">
      <c r="A28" s="590" t="s">
        <v>1586</v>
      </c>
      <c r="B28" s="73"/>
      <c r="C28" s="132">
        <f t="shared" ref="C28:M28" si="6">SUM(C29:C38)</f>
        <v>24661836.691738583</v>
      </c>
      <c r="D28" s="132">
        <f t="shared" si="6"/>
        <v>24661836.691738583</v>
      </c>
      <c r="E28" s="132">
        <f t="shared" si="6"/>
        <v>0</v>
      </c>
      <c r="F28" s="132">
        <f t="shared" si="6"/>
        <v>0</v>
      </c>
      <c r="G28" s="132">
        <f t="shared" si="6"/>
        <v>0</v>
      </c>
      <c r="H28" s="132">
        <f t="shared" si="6"/>
        <v>0</v>
      </c>
      <c r="I28" s="132">
        <f t="shared" si="6"/>
        <v>0</v>
      </c>
      <c r="J28" s="75">
        <f t="shared" si="2"/>
        <v>0</v>
      </c>
      <c r="K28" s="75">
        <f t="shared" si="3"/>
        <v>24661836.691738583</v>
      </c>
      <c r="L28" s="132">
        <f t="shared" si="6"/>
        <v>27563229.243707843</v>
      </c>
      <c r="M28" s="133">
        <f t="shared" si="6"/>
        <v>29013925.519692507</v>
      </c>
      <c r="N28" s="844"/>
    </row>
    <row r="29" spans="1:14" ht="12.75" customHeight="1" x14ac:dyDescent="0.25">
      <c r="A29" s="589" t="s">
        <v>1587</v>
      </c>
      <c r="B29" s="73"/>
      <c r="C29" s="109">
        <v>674620.28732254659</v>
      </c>
      <c r="D29" s="109">
        <v>674620.28732254659</v>
      </c>
      <c r="E29" s="109">
        <v>0</v>
      </c>
      <c r="F29" s="109">
        <v>0</v>
      </c>
      <c r="G29" s="109">
        <v>0</v>
      </c>
      <c r="H29" s="109">
        <v>0</v>
      </c>
      <c r="I29" s="109">
        <v>0</v>
      </c>
      <c r="J29" s="75">
        <f t="shared" si="2"/>
        <v>0</v>
      </c>
      <c r="K29" s="75">
        <f t="shared" si="3"/>
        <v>674620.28732254659</v>
      </c>
      <c r="L29" s="109">
        <v>753987.37994872895</v>
      </c>
      <c r="M29" s="110">
        <v>793670.92626182106</v>
      </c>
      <c r="N29" s="844"/>
    </row>
    <row r="30" spans="1:14" ht="12.6" customHeight="1" x14ac:dyDescent="0.25">
      <c r="A30" s="589" t="s">
        <v>1588</v>
      </c>
      <c r="B30" s="73"/>
      <c r="C30" s="109">
        <v>1859240.6004678796</v>
      </c>
      <c r="D30" s="109">
        <v>1859240.6004678796</v>
      </c>
      <c r="E30" s="109">
        <v>0</v>
      </c>
      <c r="F30" s="109">
        <v>0</v>
      </c>
      <c r="G30" s="109">
        <v>0</v>
      </c>
      <c r="H30" s="109">
        <v>0</v>
      </c>
      <c r="I30" s="109">
        <v>0</v>
      </c>
      <c r="J30" s="75">
        <f t="shared" si="2"/>
        <v>0</v>
      </c>
      <c r="K30" s="75">
        <f t="shared" si="3"/>
        <v>1859240.6004678796</v>
      </c>
      <c r="L30" s="109">
        <v>2077974.7887582197</v>
      </c>
      <c r="M30" s="110">
        <v>2187341.8829033924</v>
      </c>
      <c r="N30" s="844"/>
    </row>
    <row r="31" spans="1:14" ht="12.75" customHeight="1" x14ac:dyDescent="0.25">
      <c r="A31" s="589" t="s">
        <v>1589</v>
      </c>
      <c r="B31" s="73"/>
      <c r="C31" s="109">
        <v>4907405.3117673602</v>
      </c>
      <c r="D31" s="109">
        <v>4907405.3117673602</v>
      </c>
      <c r="E31" s="109">
        <v>0</v>
      </c>
      <c r="F31" s="109">
        <v>0</v>
      </c>
      <c r="G31" s="109">
        <v>0</v>
      </c>
      <c r="H31" s="109">
        <v>0</v>
      </c>
      <c r="I31" s="109">
        <v>0</v>
      </c>
      <c r="J31" s="75">
        <f t="shared" si="2"/>
        <v>0</v>
      </c>
      <c r="K31" s="75">
        <f t="shared" si="3"/>
        <v>4907405.3117673602</v>
      </c>
      <c r="L31" s="109">
        <v>5484747.1131517589</v>
      </c>
      <c r="M31" s="110">
        <v>5773418.0138439648</v>
      </c>
      <c r="N31" s="844"/>
    </row>
    <row r="32" spans="1:14" ht="12.75" customHeight="1" x14ac:dyDescent="0.25">
      <c r="A32" s="589" t="s">
        <v>1590</v>
      </c>
      <c r="B32" s="73"/>
      <c r="C32" s="109">
        <v>703670.92170485726</v>
      </c>
      <c r="D32" s="109">
        <v>703670.92170485726</v>
      </c>
      <c r="E32" s="109">
        <v>0</v>
      </c>
      <c r="F32" s="109">
        <v>0</v>
      </c>
      <c r="G32" s="109">
        <v>0</v>
      </c>
      <c r="H32" s="109">
        <v>0</v>
      </c>
      <c r="I32" s="109">
        <v>0</v>
      </c>
      <c r="J32" s="75">
        <f t="shared" si="2"/>
        <v>0</v>
      </c>
      <c r="K32" s="75">
        <f t="shared" si="3"/>
        <v>703670.92170485726</v>
      </c>
      <c r="L32" s="109">
        <v>786455.73602307623</v>
      </c>
      <c r="M32" s="110">
        <v>827848.14318218664</v>
      </c>
      <c r="N32" s="839"/>
    </row>
    <row r="33" spans="1:14" ht="12.75" customHeight="1" x14ac:dyDescent="0.25">
      <c r="A33" s="589" t="s">
        <v>1591</v>
      </c>
      <c r="B33" s="73"/>
      <c r="C33" s="109">
        <v>839240.5488223068</v>
      </c>
      <c r="D33" s="109">
        <v>839240.5488223068</v>
      </c>
      <c r="E33" s="109">
        <v>0</v>
      </c>
      <c r="F33" s="109">
        <v>0</v>
      </c>
      <c r="G33" s="109">
        <v>0</v>
      </c>
      <c r="H33" s="109">
        <v>0</v>
      </c>
      <c r="I33" s="109">
        <v>0</v>
      </c>
      <c r="J33" s="75">
        <f t="shared" si="2"/>
        <v>0</v>
      </c>
      <c r="K33" s="75">
        <f t="shared" si="3"/>
        <v>839240.5488223068</v>
      </c>
      <c r="L33" s="109">
        <v>937974.73103669647</v>
      </c>
      <c r="M33" s="110">
        <v>987341.82214389241</v>
      </c>
      <c r="N33" s="844"/>
    </row>
    <row r="34" spans="1:14" ht="12.75" customHeight="1" x14ac:dyDescent="0.25">
      <c r="A34" s="589" t="s">
        <v>1592</v>
      </c>
      <c r="B34" s="73"/>
      <c r="C34" s="109">
        <v>3459177.3903380977</v>
      </c>
      <c r="D34" s="109">
        <v>3459177.3903380977</v>
      </c>
      <c r="E34" s="109">
        <v>0</v>
      </c>
      <c r="F34" s="109">
        <v>0</v>
      </c>
      <c r="G34" s="109">
        <v>0</v>
      </c>
      <c r="H34" s="109">
        <v>0</v>
      </c>
      <c r="I34" s="109">
        <v>0</v>
      </c>
      <c r="J34" s="75">
        <f t="shared" si="2"/>
        <v>0</v>
      </c>
      <c r="K34" s="75">
        <f t="shared" si="3"/>
        <v>3459177.3903380977</v>
      </c>
      <c r="L34" s="109">
        <v>3866139.4362602294</v>
      </c>
      <c r="M34" s="110">
        <v>4069620.4592212997</v>
      </c>
      <c r="N34" s="839"/>
    </row>
    <row r="35" spans="1:14" ht="12.75" customHeight="1" x14ac:dyDescent="0.25">
      <c r="A35" s="589" t="s">
        <v>1593</v>
      </c>
      <c r="B35" s="73"/>
      <c r="C35" s="109">
        <v>11765506.924835801</v>
      </c>
      <c r="D35" s="109">
        <v>11765506.924835801</v>
      </c>
      <c r="E35" s="109">
        <v>0</v>
      </c>
      <c r="F35" s="109">
        <v>0</v>
      </c>
      <c r="G35" s="109">
        <v>0</v>
      </c>
      <c r="H35" s="109">
        <v>0</v>
      </c>
      <c r="I35" s="109">
        <v>0</v>
      </c>
      <c r="J35" s="75">
        <f t="shared" si="2"/>
        <v>0</v>
      </c>
      <c r="K35" s="75">
        <f t="shared" si="3"/>
        <v>11765506.924835801</v>
      </c>
      <c r="L35" s="109">
        <v>13149684.210110608</v>
      </c>
      <c r="M35" s="110">
        <v>13841772.852748029</v>
      </c>
      <c r="N35" s="844"/>
    </row>
    <row r="36" spans="1:14" ht="12.75" customHeight="1" x14ac:dyDescent="0.25">
      <c r="A36" s="589" t="s">
        <v>1594</v>
      </c>
      <c r="B36" s="73"/>
      <c r="C36" s="109">
        <v>444367.11110719579</v>
      </c>
      <c r="D36" s="109">
        <v>444367.11110719579</v>
      </c>
      <c r="E36" s="109">
        <v>0</v>
      </c>
      <c r="F36" s="109">
        <v>0</v>
      </c>
      <c r="G36" s="109">
        <v>0</v>
      </c>
      <c r="H36" s="109">
        <v>0</v>
      </c>
      <c r="I36" s="109">
        <v>0</v>
      </c>
      <c r="J36" s="75">
        <f t="shared" si="2"/>
        <v>0</v>
      </c>
      <c r="K36" s="75">
        <f t="shared" si="3"/>
        <v>444367.11110719579</v>
      </c>
      <c r="L36" s="109">
        <v>496645.59476686618</v>
      </c>
      <c r="M36" s="110">
        <v>522784.83659670199</v>
      </c>
      <c r="N36" s="839"/>
    </row>
    <row r="37" spans="1:14" ht="12.75" customHeight="1" x14ac:dyDescent="0.25">
      <c r="A37" s="589" t="s">
        <v>1595</v>
      </c>
      <c r="B37" s="73"/>
      <c r="C37" s="109">
        <v>8607.5953725364798</v>
      </c>
      <c r="D37" s="109">
        <v>8607.5953725364798</v>
      </c>
      <c r="E37" s="109">
        <v>0</v>
      </c>
      <c r="F37" s="109">
        <v>0</v>
      </c>
      <c r="G37" s="109">
        <v>0</v>
      </c>
      <c r="H37" s="109">
        <v>0</v>
      </c>
      <c r="I37" s="109">
        <v>0</v>
      </c>
      <c r="J37" s="75">
        <f t="shared" si="2"/>
        <v>0</v>
      </c>
      <c r="K37" s="75">
        <f t="shared" si="3"/>
        <v>8607.5953725364798</v>
      </c>
      <c r="L37" s="109">
        <v>9620.2536516584241</v>
      </c>
      <c r="M37" s="110">
        <v>10126.582791219409</v>
      </c>
      <c r="N37" s="844"/>
    </row>
    <row r="38" spans="1:14" ht="12.75" customHeight="1" x14ac:dyDescent="0.25">
      <c r="A38" s="589" t="s">
        <v>1572</v>
      </c>
      <c r="B38" s="73"/>
      <c r="C38" s="382">
        <v>0</v>
      </c>
      <c r="D38" s="109">
        <v>0</v>
      </c>
      <c r="E38" s="109">
        <v>0</v>
      </c>
      <c r="F38" s="109">
        <v>0</v>
      </c>
      <c r="G38" s="109">
        <v>0</v>
      </c>
      <c r="H38" s="109">
        <v>0</v>
      </c>
      <c r="I38" s="109">
        <v>0</v>
      </c>
      <c r="J38" s="75">
        <f t="shared" si="2"/>
        <v>0</v>
      </c>
      <c r="K38" s="75">
        <f t="shared" si="3"/>
        <v>0</v>
      </c>
      <c r="L38" s="109">
        <v>0</v>
      </c>
      <c r="M38" s="110">
        <v>0</v>
      </c>
      <c r="N38" s="844"/>
    </row>
    <row r="39" spans="1:14" ht="12.75" customHeight="1" x14ac:dyDescent="0.25">
      <c r="A39" s="590" t="s">
        <v>1596</v>
      </c>
      <c r="B39" s="73"/>
      <c r="C39" s="1122">
        <f>SUM(C40:C45)</f>
        <v>7478924.4293126334</v>
      </c>
      <c r="D39" s="132">
        <f t="shared" ref="D39:M39" si="7">SUM(D40:D45)</f>
        <v>7478924.4293126334</v>
      </c>
      <c r="E39" s="132">
        <f t="shared" si="7"/>
        <v>0</v>
      </c>
      <c r="F39" s="132">
        <f t="shared" si="7"/>
        <v>0</v>
      </c>
      <c r="G39" s="132">
        <f t="shared" si="7"/>
        <v>0</v>
      </c>
      <c r="H39" s="132">
        <f t="shared" si="7"/>
        <v>0</v>
      </c>
      <c r="I39" s="132">
        <f t="shared" si="7"/>
        <v>0</v>
      </c>
      <c r="J39" s="75">
        <f t="shared" si="2"/>
        <v>0</v>
      </c>
      <c r="K39" s="75">
        <f t="shared" si="3"/>
        <v>7478924.4293126334</v>
      </c>
      <c r="L39" s="132">
        <f t="shared" si="7"/>
        <v>8358797.8915847149</v>
      </c>
      <c r="M39" s="133">
        <f t="shared" si="7"/>
        <v>8798734.6227207649</v>
      </c>
      <c r="N39" s="128"/>
    </row>
    <row r="40" spans="1:14" ht="12.75" customHeight="1" x14ac:dyDescent="0.25">
      <c r="A40" s="589" t="s">
        <v>1597</v>
      </c>
      <c r="B40" s="73"/>
      <c r="C40" s="382">
        <v>327088.62415638624</v>
      </c>
      <c r="D40" s="109">
        <v>327088.62415638624</v>
      </c>
      <c r="E40" s="109">
        <v>0</v>
      </c>
      <c r="F40" s="109">
        <v>0</v>
      </c>
      <c r="G40" s="109">
        <v>0</v>
      </c>
      <c r="H40" s="109">
        <v>0</v>
      </c>
      <c r="I40" s="109">
        <v>0</v>
      </c>
      <c r="J40" s="75">
        <f t="shared" si="2"/>
        <v>0</v>
      </c>
      <c r="K40" s="75">
        <f t="shared" si="3"/>
        <v>327088.62415638624</v>
      </c>
      <c r="L40" s="109">
        <v>365569.63876302016</v>
      </c>
      <c r="M40" s="110">
        <v>384810.14606633759</v>
      </c>
      <c r="N40" s="839"/>
    </row>
    <row r="41" spans="1:14" ht="12.75" customHeight="1" x14ac:dyDescent="0.25">
      <c r="A41" s="589" t="s">
        <v>485</v>
      </c>
      <c r="B41" s="73"/>
      <c r="C41" s="382">
        <v>2420886.1985258851</v>
      </c>
      <c r="D41" s="109">
        <v>2420886.1985258851</v>
      </c>
      <c r="E41" s="109">
        <v>0</v>
      </c>
      <c r="F41" s="109">
        <v>0</v>
      </c>
      <c r="G41" s="109">
        <v>0</v>
      </c>
      <c r="H41" s="109">
        <v>0</v>
      </c>
      <c r="I41" s="109">
        <v>0</v>
      </c>
      <c r="J41" s="75">
        <f t="shared" si="2"/>
        <v>0</v>
      </c>
      <c r="K41" s="75">
        <f t="shared" si="3"/>
        <v>2420886.1985258851</v>
      </c>
      <c r="L41" s="109">
        <v>2705696.3395289322</v>
      </c>
      <c r="M41" s="110">
        <v>2848101.4100304591</v>
      </c>
      <c r="N41" s="839"/>
    </row>
    <row r="42" spans="1:14" ht="12.75" customHeight="1" x14ac:dyDescent="0.25">
      <c r="A42" s="589" t="s">
        <v>1598</v>
      </c>
      <c r="B42" s="73"/>
      <c r="C42" s="382">
        <v>3491455.8729851097</v>
      </c>
      <c r="D42" s="109">
        <v>3491455.8729851097</v>
      </c>
      <c r="E42" s="109">
        <v>0</v>
      </c>
      <c r="F42" s="109">
        <v>0</v>
      </c>
      <c r="G42" s="109">
        <v>0</v>
      </c>
      <c r="H42" s="109">
        <v>0</v>
      </c>
      <c r="I42" s="109">
        <v>0</v>
      </c>
      <c r="J42" s="75">
        <f t="shared" si="2"/>
        <v>0</v>
      </c>
      <c r="K42" s="75">
        <f t="shared" si="3"/>
        <v>3491455.8729851097</v>
      </c>
      <c r="L42" s="109">
        <v>3902215.3874539486</v>
      </c>
      <c r="M42" s="110">
        <v>4107595.144688373</v>
      </c>
      <c r="N42" s="844"/>
    </row>
    <row r="43" spans="1:14" ht="12.75" customHeight="1" x14ac:dyDescent="0.25">
      <c r="A43" s="589" t="s">
        <v>1599</v>
      </c>
      <c r="B43" s="73"/>
      <c r="C43" s="382">
        <v>1239493.7336452531</v>
      </c>
      <c r="D43" s="109">
        <v>1239493.7336452531</v>
      </c>
      <c r="E43" s="109">
        <v>0</v>
      </c>
      <c r="F43" s="109">
        <v>0</v>
      </c>
      <c r="G43" s="109">
        <v>0</v>
      </c>
      <c r="H43" s="109">
        <v>0</v>
      </c>
      <c r="I43" s="109">
        <v>0</v>
      </c>
      <c r="J43" s="75">
        <f t="shared" si="2"/>
        <v>0</v>
      </c>
      <c r="K43" s="75">
        <f t="shared" si="3"/>
        <v>1239493.7336452531</v>
      </c>
      <c r="L43" s="109">
        <v>1385316.5258388133</v>
      </c>
      <c r="M43" s="110">
        <v>1458227.9219355951</v>
      </c>
      <c r="N43" s="844"/>
    </row>
    <row r="44" spans="1:14" ht="12.75" customHeight="1" x14ac:dyDescent="0.25">
      <c r="A44" s="589" t="s">
        <v>1600</v>
      </c>
      <c r="B44" s="73"/>
      <c r="C44" s="382">
        <v>0</v>
      </c>
      <c r="D44" s="109">
        <v>0</v>
      </c>
      <c r="E44" s="109">
        <v>0</v>
      </c>
      <c r="F44" s="109">
        <v>0</v>
      </c>
      <c r="G44" s="109">
        <v>0</v>
      </c>
      <c r="H44" s="109">
        <v>0</v>
      </c>
      <c r="I44" s="109">
        <v>0</v>
      </c>
      <c r="J44" s="75">
        <f t="shared" si="2"/>
        <v>0</v>
      </c>
      <c r="K44" s="75">
        <f t="shared" si="3"/>
        <v>0</v>
      </c>
      <c r="L44" s="109">
        <v>0</v>
      </c>
      <c r="M44" s="110">
        <v>0</v>
      </c>
      <c r="N44" s="839"/>
    </row>
    <row r="45" spans="1:14" ht="12.75" customHeight="1" x14ac:dyDescent="0.25">
      <c r="A45" s="589" t="s">
        <v>1572</v>
      </c>
      <c r="B45" s="73"/>
      <c r="C45" s="382">
        <v>0</v>
      </c>
      <c r="D45" s="109">
        <v>0</v>
      </c>
      <c r="E45" s="109">
        <v>0</v>
      </c>
      <c r="F45" s="109">
        <v>0</v>
      </c>
      <c r="G45" s="109">
        <v>0</v>
      </c>
      <c r="H45" s="109">
        <v>0</v>
      </c>
      <c r="I45" s="109">
        <v>0</v>
      </c>
      <c r="J45" s="75">
        <f t="shared" si="2"/>
        <v>0</v>
      </c>
      <c r="K45" s="75">
        <f t="shared" si="3"/>
        <v>0</v>
      </c>
      <c r="L45" s="109">
        <v>0</v>
      </c>
      <c r="M45" s="110">
        <v>0</v>
      </c>
      <c r="N45" s="844"/>
    </row>
    <row r="46" spans="1:14" ht="12.75" customHeight="1" x14ac:dyDescent="0.25">
      <c r="A46" s="590" t="s">
        <v>1601</v>
      </c>
      <c r="B46" s="73"/>
      <c r="C46" s="1122">
        <f>SUM(C47:C53)</f>
        <v>2300379.8633103743</v>
      </c>
      <c r="D46" s="132">
        <f t="shared" ref="D46:M46" si="8">SUM(D47:D53)</f>
        <v>2300379.8633103743</v>
      </c>
      <c r="E46" s="132">
        <f t="shared" si="8"/>
        <v>0</v>
      </c>
      <c r="F46" s="132">
        <f t="shared" si="8"/>
        <v>0</v>
      </c>
      <c r="G46" s="132">
        <f t="shared" si="8"/>
        <v>0</v>
      </c>
      <c r="H46" s="132">
        <f t="shared" si="8"/>
        <v>0</v>
      </c>
      <c r="I46" s="132">
        <f t="shared" si="8"/>
        <v>0</v>
      </c>
      <c r="J46" s="75">
        <f t="shared" si="2"/>
        <v>0</v>
      </c>
      <c r="K46" s="75">
        <f t="shared" si="3"/>
        <v>2300379.8633103743</v>
      </c>
      <c r="L46" s="132">
        <f t="shared" si="8"/>
        <v>2571012.7884057141</v>
      </c>
      <c r="M46" s="133">
        <f t="shared" si="8"/>
        <v>2706329.2509533875</v>
      </c>
      <c r="N46" s="128"/>
    </row>
    <row r="47" spans="1:14" ht="12.75" customHeight="1" x14ac:dyDescent="0.25">
      <c r="A47" s="589" t="s">
        <v>1602</v>
      </c>
      <c r="B47" s="73"/>
      <c r="C47" s="382">
        <v>2249810.2404967225</v>
      </c>
      <c r="D47" s="109">
        <v>2249810.2404967225</v>
      </c>
      <c r="E47" s="109">
        <v>0</v>
      </c>
      <c r="F47" s="109">
        <v>0</v>
      </c>
      <c r="G47" s="109">
        <v>0</v>
      </c>
      <c r="H47" s="109">
        <v>0</v>
      </c>
      <c r="I47" s="109">
        <v>0</v>
      </c>
      <c r="J47" s="75">
        <f t="shared" si="2"/>
        <v>0</v>
      </c>
      <c r="K47" s="75">
        <f t="shared" si="3"/>
        <v>2249810.2404967225</v>
      </c>
      <c r="L47" s="109">
        <v>2514493.7982022208</v>
      </c>
      <c r="M47" s="110">
        <v>2646835.5770549732</v>
      </c>
      <c r="N47" s="839"/>
    </row>
    <row r="48" spans="1:14" ht="12.75" customHeight="1" x14ac:dyDescent="0.25">
      <c r="A48" s="589" t="s">
        <v>1603</v>
      </c>
      <c r="B48" s="73"/>
      <c r="C48" s="382">
        <v>50569.622813651818</v>
      </c>
      <c r="D48" s="109">
        <v>50569.622813651818</v>
      </c>
      <c r="E48" s="109">
        <v>0</v>
      </c>
      <c r="F48" s="109">
        <v>0</v>
      </c>
      <c r="G48" s="109">
        <v>0</v>
      </c>
      <c r="H48" s="109">
        <v>0</v>
      </c>
      <c r="I48" s="109">
        <v>0</v>
      </c>
      <c r="J48" s="75">
        <f t="shared" si="2"/>
        <v>0</v>
      </c>
      <c r="K48" s="75">
        <f t="shared" si="3"/>
        <v>50569.622813651818</v>
      </c>
      <c r="L48" s="109">
        <v>56518.990203493246</v>
      </c>
      <c r="M48" s="110">
        <v>59493.673898414025</v>
      </c>
      <c r="N48" s="839"/>
    </row>
    <row r="49" spans="1:14" ht="12.75" customHeight="1" x14ac:dyDescent="0.25">
      <c r="A49" s="589" t="s">
        <v>1604</v>
      </c>
      <c r="B49" s="73"/>
      <c r="C49" s="382">
        <v>0</v>
      </c>
      <c r="D49" s="109">
        <v>0</v>
      </c>
      <c r="E49" s="109">
        <v>0</v>
      </c>
      <c r="F49" s="109">
        <v>0</v>
      </c>
      <c r="G49" s="109">
        <v>0</v>
      </c>
      <c r="H49" s="109">
        <v>0</v>
      </c>
      <c r="I49" s="109">
        <v>0</v>
      </c>
      <c r="J49" s="75">
        <f t="shared" si="2"/>
        <v>0</v>
      </c>
      <c r="K49" s="75">
        <f t="shared" si="3"/>
        <v>0</v>
      </c>
      <c r="L49" s="109">
        <v>0</v>
      </c>
      <c r="M49" s="110">
        <v>0</v>
      </c>
      <c r="N49" s="844"/>
    </row>
    <row r="50" spans="1:14" ht="12.75" customHeight="1" x14ac:dyDescent="0.25">
      <c r="A50" s="589" t="s">
        <v>1605</v>
      </c>
      <c r="B50" s="73"/>
      <c r="C50" s="382">
        <v>0</v>
      </c>
      <c r="D50" s="109">
        <v>0</v>
      </c>
      <c r="E50" s="109">
        <v>0</v>
      </c>
      <c r="F50" s="109">
        <v>0</v>
      </c>
      <c r="G50" s="109">
        <v>0</v>
      </c>
      <c r="H50" s="109">
        <v>0</v>
      </c>
      <c r="I50" s="109">
        <v>0</v>
      </c>
      <c r="J50" s="75">
        <f t="shared" si="2"/>
        <v>0</v>
      </c>
      <c r="K50" s="75">
        <f t="shared" si="3"/>
        <v>0</v>
      </c>
      <c r="L50" s="109">
        <v>0</v>
      </c>
      <c r="M50" s="110">
        <v>0</v>
      </c>
      <c r="N50" s="844"/>
    </row>
    <row r="51" spans="1:14" ht="12.75" customHeight="1" x14ac:dyDescent="0.25">
      <c r="A51" s="589" t="s">
        <v>1606</v>
      </c>
      <c r="B51" s="73"/>
      <c r="C51" s="382">
        <v>0</v>
      </c>
      <c r="D51" s="109">
        <v>0</v>
      </c>
      <c r="E51" s="109">
        <v>0</v>
      </c>
      <c r="F51" s="109">
        <v>0</v>
      </c>
      <c r="G51" s="109">
        <v>0</v>
      </c>
      <c r="H51" s="109">
        <v>0</v>
      </c>
      <c r="I51" s="109">
        <v>0</v>
      </c>
      <c r="J51" s="75">
        <f t="shared" si="2"/>
        <v>0</v>
      </c>
      <c r="K51" s="75">
        <f t="shared" si="3"/>
        <v>0</v>
      </c>
      <c r="L51" s="109">
        <v>0</v>
      </c>
      <c r="M51" s="110">
        <v>0</v>
      </c>
      <c r="N51" s="844"/>
    </row>
    <row r="52" spans="1:14" ht="12.75" customHeight="1" x14ac:dyDescent="0.25">
      <c r="A52" s="589" t="s">
        <v>1607</v>
      </c>
      <c r="B52" s="73"/>
      <c r="C52" s="382">
        <v>0</v>
      </c>
      <c r="D52" s="109">
        <v>0</v>
      </c>
      <c r="E52" s="109">
        <v>0</v>
      </c>
      <c r="F52" s="109">
        <v>0</v>
      </c>
      <c r="G52" s="109">
        <v>0</v>
      </c>
      <c r="H52" s="109">
        <v>0</v>
      </c>
      <c r="I52" s="109">
        <v>0</v>
      </c>
      <c r="J52" s="75">
        <f t="shared" si="2"/>
        <v>0</v>
      </c>
      <c r="K52" s="75">
        <f t="shared" si="3"/>
        <v>0</v>
      </c>
      <c r="L52" s="109">
        <v>0</v>
      </c>
      <c r="M52" s="110">
        <v>0</v>
      </c>
      <c r="N52" s="839"/>
    </row>
    <row r="53" spans="1:14" ht="12.75" customHeight="1" x14ac:dyDescent="0.25">
      <c r="A53" s="589" t="s">
        <v>1572</v>
      </c>
      <c r="B53" s="73"/>
      <c r="C53" s="382">
        <v>0</v>
      </c>
      <c r="D53" s="109">
        <v>0</v>
      </c>
      <c r="E53" s="109">
        <v>0</v>
      </c>
      <c r="F53" s="109">
        <v>0</v>
      </c>
      <c r="G53" s="109">
        <v>0</v>
      </c>
      <c r="H53" s="109">
        <v>0</v>
      </c>
      <c r="I53" s="109">
        <v>0</v>
      </c>
      <c r="J53" s="75">
        <f t="shared" si="2"/>
        <v>0</v>
      </c>
      <c r="K53" s="75">
        <f t="shared" si="3"/>
        <v>0</v>
      </c>
      <c r="L53" s="109">
        <v>0</v>
      </c>
      <c r="M53" s="110">
        <v>0</v>
      </c>
      <c r="N53" s="844"/>
    </row>
    <row r="54" spans="1:14" ht="12.75" customHeight="1" x14ac:dyDescent="0.25">
      <c r="A54" s="588" t="s">
        <v>1608</v>
      </c>
      <c r="B54" s="73"/>
      <c r="C54" s="1122">
        <f>SUM(C55:C63)</f>
        <v>0</v>
      </c>
      <c r="D54" s="132">
        <f t="shared" ref="D54:M54" si="9">SUM(D55:D63)</f>
        <v>0</v>
      </c>
      <c r="E54" s="132">
        <f t="shared" si="9"/>
        <v>0</v>
      </c>
      <c r="F54" s="132">
        <f t="shared" si="9"/>
        <v>0</v>
      </c>
      <c r="G54" s="132">
        <f t="shared" si="9"/>
        <v>0</v>
      </c>
      <c r="H54" s="132">
        <f t="shared" si="9"/>
        <v>0</v>
      </c>
      <c r="I54" s="132">
        <f t="shared" si="9"/>
        <v>0</v>
      </c>
      <c r="J54" s="75">
        <f t="shared" si="2"/>
        <v>0</v>
      </c>
      <c r="K54" s="75">
        <f t="shared" si="3"/>
        <v>0</v>
      </c>
      <c r="L54" s="132">
        <f t="shared" si="9"/>
        <v>0</v>
      </c>
      <c r="M54" s="133">
        <f t="shared" si="9"/>
        <v>0</v>
      </c>
      <c r="N54" s="128"/>
    </row>
    <row r="55" spans="1:14" ht="12.75" customHeight="1" x14ac:dyDescent="0.25">
      <c r="A55" s="589" t="s">
        <v>1609</v>
      </c>
      <c r="B55" s="73"/>
      <c r="C55" s="382"/>
      <c r="D55" s="109"/>
      <c r="E55" s="109"/>
      <c r="F55" s="109"/>
      <c r="G55" s="109"/>
      <c r="H55" s="109"/>
      <c r="I55" s="109"/>
      <c r="J55" s="75">
        <f t="shared" si="2"/>
        <v>0</v>
      </c>
      <c r="K55" s="75">
        <f t="shared" si="3"/>
        <v>0</v>
      </c>
      <c r="L55" s="109"/>
      <c r="M55" s="110"/>
      <c r="N55" s="839"/>
    </row>
    <row r="56" spans="1:14" ht="12.75" customHeight="1" x14ac:dyDescent="0.25">
      <c r="A56" s="589" t="s">
        <v>1610</v>
      </c>
      <c r="B56" s="73"/>
      <c r="C56" s="382"/>
      <c r="D56" s="109"/>
      <c r="E56" s="109"/>
      <c r="F56" s="109"/>
      <c r="G56" s="109"/>
      <c r="H56" s="109"/>
      <c r="I56" s="109"/>
      <c r="J56" s="75">
        <f t="shared" si="2"/>
        <v>0</v>
      </c>
      <c r="K56" s="75">
        <f t="shared" si="3"/>
        <v>0</v>
      </c>
      <c r="L56" s="109"/>
      <c r="M56" s="110"/>
      <c r="N56" s="839"/>
    </row>
    <row r="57" spans="1:14" ht="12.75" customHeight="1" x14ac:dyDescent="0.25">
      <c r="A57" s="589" t="s">
        <v>1611</v>
      </c>
      <c r="B57" s="73"/>
      <c r="C57" s="382"/>
      <c r="D57" s="109"/>
      <c r="E57" s="109"/>
      <c r="F57" s="109"/>
      <c r="G57" s="109"/>
      <c r="H57" s="109"/>
      <c r="I57" s="109"/>
      <c r="J57" s="75">
        <f t="shared" si="2"/>
        <v>0</v>
      </c>
      <c r="K57" s="75">
        <f t="shared" si="3"/>
        <v>0</v>
      </c>
      <c r="L57" s="109"/>
      <c r="M57" s="110"/>
      <c r="N57" s="844"/>
    </row>
    <row r="58" spans="1:14" ht="12.75" customHeight="1" x14ac:dyDescent="0.25">
      <c r="A58" s="589" t="s">
        <v>1574</v>
      </c>
      <c r="B58" s="73"/>
      <c r="C58" s="382"/>
      <c r="D58" s="109"/>
      <c r="E58" s="109"/>
      <c r="F58" s="109"/>
      <c r="G58" s="109"/>
      <c r="H58" s="109"/>
      <c r="I58" s="109"/>
      <c r="J58" s="75">
        <f t="shared" si="2"/>
        <v>0</v>
      </c>
      <c r="K58" s="75">
        <f t="shared" si="3"/>
        <v>0</v>
      </c>
      <c r="L58" s="109"/>
      <c r="M58" s="110"/>
      <c r="N58" s="844"/>
    </row>
    <row r="59" spans="1:14" ht="12.75" customHeight="1" x14ac:dyDescent="0.25">
      <c r="A59" s="589" t="s">
        <v>1575</v>
      </c>
      <c r="B59" s="73"/>
      <c r="C59" s="382"/>
      <c r="D59" s="109"/>
      <c r="E59" s="109"/>
      <c r="F59" s="109"/>
      <c r="G59" s="109"/>
      <c r="H59" s="109"/>
      <c r="I59" s="109"/>
      <c r="J59" s="75">
        <f t="shared" si="2"/>
        <v>0</v>
      </c>
      <c r="K59" s="75">
        <f t="shared" si="3"/>
        <v>0</v>
      </c>
      <c r="L59" s="109"/>
      <c r="M59" s="110"/>
      <c r="N59" s="844"/>
    </row>
    <row r="60" spans="1:14" ht="12.75" customHeight="1" x14ac:dyDescent="0.25">
      <c r="A60" s="589" t="s">
        <v>1576</v>
      </c>
      <c r="B60" s="73"/>
      <c r="C60" s="382"/>
      <c r="D60" s="109"/>
      <c r="E60" s="109"/>
      <c r="F60" s="109"/>
      <c r="G60" s="109"/>
      <c r="H60" s="109"/>
      <c r="I60" s="109"/>
      <c r="J60" s="75">
        <f t="shared" si="2"/>
        <v>0</v>
      </c>
      <c r="K60" s="75">
        <f t="shared" si="3"/>
        <v>0</v>
      </c>
      <c r="L60" s="109"/>
      <c r="M60" s="110"/>
      <c r="N60" s="844"/>
    </row>
    <row r="61" spans="1:14" ht="12.75" customHeight="1" x14ac:dyDescent="0.25">
      <c r="A61" s="589" t="s">
        <v>1582</v>
      </c>
      <c r="B61" s="73"/>
      <c r="C61" s="382"/>
      <c r="D61" s="109"/>
      <c r="E61" s="109"/>
      <c r="F61" s="109"/>
      <c r="G61" s="109"/>
      <c r="H61" s="109"/>
      <c r="I61" s="109"/>
      <c r="J61" s="75">
        <f t="shared" si="2"/>
        <v>0</v>
      </c>
      <c r="K61" s="75">
        <f t="shared" si="3"/>
        <v>0</v>
      </c>
      <c r="L61" s="109"/>
      <c r="M61" s="110"/>
      <c r="N61" s="844"/>
    </row>
    <row r="62" spans="1:14" ht="12.75" customHeight="1" x14ac:dyDescent="0.25">
      <c r="A62" s="589" t="s">
        <v>1585</v>
      </c>
      <c r="B62" s="73"/>
      <c r="C62" s="382"/>
      <c r="D62" s="109"/>
      <c r="E62" s="109"/>
      <c r="F62" s="109"/>
      <c r="G62" s="109"/>
      <c r="H62" s="109"/>
      <c r="I62" s="109"/>
      <c r="J62" s="75">
        <f t="shared" si="2"/>
        <v>0</v>
      </c>
      <c r="K62" s="75">
        <f t="shared" si="3"/>
        <v>0</v>
      </c>
      <c r="L62" s="109"/>
      <c r="M62" s="110"/>
      <c r="N62" s="839"/>
    </row>
    <row r="63" spans="1:14" ht="12.75" customHeight="1" x14ac:dyDescent="0.25">
      <c r="A63" s="589" t="s">
        <v>1572</v>
      </c>
      <c r="B63" s="73"/>
      <c r="C63" s="382"/>
      <c r="D63" s="109"/>
      <c r="E63" s="109"/>
      <c r="F63" s="109"/>
      <c r="G63" s="109"/>
      <c r="H63" s="109"/>
      <c r="I63" s="109"/>
      <c r="J63" s="75">
        <f t="shared" si="2"/>
        <v>0</v>
      </c>
      <c r="K63" s="75">
        <f t="shared" si="3"/>
        <v>0</v>
      </c>
      <c r="L63" s="109"/>
      <c r="M63" s="110"/>
      <c r="N63" s="844"/>
    </row>
    <row r="64" spans="1:14" ht="12.75" customHeight="1" x14ac:dyDescent="0.25">
      <c r="A64" s="590" t="s">
        <v>1612</v>
      </c>
      <c r="B64" s="73"/>
      <c r="C64" s="1122">
        <f t="shared" ref="C64:M64" si="10">SUM(C65:C69)</f>
        <v>0</v>
      </c>
      <c r="D64" s="132">
        <f t="shared" si="10"/>
        <v>0</v>
      </c>
      <c r="E64" s="132">
        <f t="shared" si="10"/>
        <v>0</v>
      </c>
      <c r="F64" s="132">
        <f t="shared" si="10"/>
        <v>0</v>
      </c>
      <c r="G64" s="132">
        <f t="shared" si="10"/>
        <v>0</v>
      </c>
      <c r="H64" s="132">
        <f t="shared" si="10"/>
        <v>0</v>
      </c>
      <c r="I64" s="132">
        <f t="shared" si="10"/>
        <v>0</v>
      </c>
      <c r="J64" s="75">
        <f t="shared" si="2"/>
        <v>0</v>
      </c>
      <c r="K64" s="75">
        <f t="shared" si="3"/>
        <v>0</v>
      </c>
      <c r="L64" s="132">
        <f t="shared" si="10"/>
        <v>0</v>
      </c>
      <c r="M64" s="133">
        <f t="shared" si="10"/>
        <v>0</v>
      </c>
      <c r="N64" s="128"/>
    </row>
    <row r="65" spans="1:14" ht="12.75" customHeight="1" x14ac:dyDescent="0.25">
      <c r="A65" s="589" t="s">
        <v>1613</v>
      </c>
      <c r="B65" s="73"/>
      <c r="C65" s="382"/>
      <c r="D65" s="109"/>
      <c r="E65" s="109"/>
      <c r="F65" s="109"/>
      <c r="G65" s="109"/>
      <c r="H65" s="109"/>
      <c r="I65" s="109"/>
      <c r="J65" s="75">
        <f t="shared" si="2"/>
        <v>0</v>
      </c>
      <c r="K65" s="75">
        <f t="shared" si="3"/>
        <v>0</v>
      </c>
      <c r="L65" s="109"/>
      <c r="M65" s="110"/>
      <c r="N65" s="839"/>
    </row>
    <row r="66" spans="1:14" ht="12.75" customHeight="1" x14ac:dyDescent="0.25">
      <c r="A66" s="589" t="s">
        <v>1614</v>
      </c>
      <c r="B66" s="73"/>
      <c r="C66" s="382"/>
      <c r="D66" s="109"/>
      <c r="E66" s="109"/>
      <c r="F66" s="109"/>
      <c r="G66" s="109"/>
      <c r="H66" s="109"/>
      <c r="I66" s="109"/>
      <c r="J66" s="75">
        <f t="shared" si="2"/>
        <v>0</v>
      </c>
      <c r="K66" s="75">
        <f t="shared" si="3"/>
        <v>0</v>
      </c>
      <c r="L66" s="109"/>
      <c r="M66" s="110"/>
      <c r="N66" s="839"/>
    </row>
    <row r="67" spans="1:14" ht="12.75" customHeight="1" x14ac:dyDescent="0.25">
      <c r="A67" s="589" t="s">
        <v>1615</v>
      </c>
      <c r="B67" s="73"/>
      <c r="C67" s="382"/>
      <c r="D67" s="109"/>
      <c r="E67" s="109"/>
      <c r="F67" s="109"/>
      <c r="G67" s="109"/>
      <c r="H67" s="109"/>
      <c r="I67" s="109"/>
      <c r="J67" s="75">
        <f t="shared" si="2"/>
        <v>0</v>
      </c>
      <c r="K67" s="75">
        <f t="shared" si="3"/>
        <v>0</v>
      </c>
      <c r="L67" s="109"/>
      <c r="M67" s="110"/>
      <c r="N67" s="844"/>
    </row>
    <row r="68" spans="1:14" ht="12.75" customHeight="1" x14ac:dyDescent="0.25">
      <c r="A68" s="589" t="s">
        <v>1616</v>
      </c>
      <c r="B68" s="73"/>
      <c r="C68" s="382"/>
      <c r="D68" s="109"/>
      <c r="E68" s="109"/>
      <c r="F68" s="109"/>
      <c r="G68" s="109"/>
      <c r="H68" s="109"/>
      <c r="I68" s="109"/>
      <c r="J68" s="75">
        <f t="shared" si="2"/>
        <v>0</v>
      </c>
      <c r="K68" s="75">
        <f t="shared" si="3"/>
        <v>0</v>
      </c>
      <c r="L68" s="109"/>
      <c r="M68" s="110"/>
      <c r="N68" s="839"/>
    </row>
    <row r="69" spans="1:14" ht="12.75" customHeight="1" x14ac:dyDescent="0.25">
      <c r="A69" s="589" t="s">
        <v>1572</v>
      </c>
      <c r="B69" s="73"/>
      <c r="C69" s="382"/>
      <c r="D69" s="109"/>
      <c r="E69" s="109"/>
      <c r="F69" s="109"/>
      <c r="G69" s="109"/>
      <c r="H69" s="109"/>
      <c r="I69" s="109"/>
      <c r="J69" s="75">
        <f t="shared" si="2"/>
        <v>0</v>
      </c>
      <c r="K69" s="75">
        <f t="shared" si="3"/>
        <v>0</v>
      </c>
      <c r="L69" s="109"/>
      <c r="M69" s="110"/>
      <c r="N69" s="844"/>
    </row>
    <row r="70" spans="1:14" ht="12.75" customHeight="1" x14ac:dyDescent="0.25">
      <c r="A70" s="588" t="s">
        <v>1617</v>
      </c>
      <c r="B70" s="73"/>
      <c r="C70" s="1122">
        <f t="shared" ref="C70:M70" si="11">SUM(C71:C74)</f>
        <v>705822.82054799132</v>
      </c>
      <c r="D70" s="132">
        <f t="shared" si="11"/>
        <v>705822.82054799132</v>
      </c>
      <c r="E70" s="132">
        <f t="shared" si="11"/>
        <v>0</v>
      </c>
      <c r="F70" s="132">
        <f t="shared" si="11"/>
        <v>0</v>
      </c>
      <c r="G70" s="132">
        <f t="shared" si="11"/>
        <v>0</v>
      </c>
      <c r="H70" s="132">
        <f t="shared" si="11"/>
        <v>0</v>
      </c>
      <c r="I70" s="132">
        <f t="shared" si="11"/>
        <v>0</v>
      </c>
      <c r="J70" s="75">
        <f t="shared" si="2"/>
        <v>0</v>
      </c>
      <c r="K70" s="75">
        <f t="shared" si="3"/>
        <v>705822.82054799132</v>
      </c>
      <c r="L70" s="132">
        <f t="shared" si="11"/>
        <v>788860.79943599086</v>
      </c>
      <c r="M70" s="133">
        <f t="shared" si="11"/>
        <v>830379.78887999151</v>
      </c>
      <c r="N70" s="844"/>
    </row>
    <row r="71" spans="1:14" ht="12.75" customHeight="1" x14ac:dyDescent="0.25">
      <c r="A71" s="589" t="s">
        <v>1618</v>
      </c>
      <c r="B71" s="73"/>
      <c r="C71" s="382">
        <v>211962.03604871081</v>
      </c>
      <c r="D71" s="109">
        <v>211962.03604871081</v>
      </c>
      <c r="E71" s="109">
        <v>0</v>
      </c>
      <c r="F71" s="109">
        <v>0</v>
      </c>
      <c r="G71" s="109">
        <v>0</v>
      </c>
      <c r="H71" s="109">
        <v>0</v>
      </c>
      <c r="I71" s="109">
        <v>0</v>
      </c>
      <c r="J71" s="75">
        <f t="shared" si="2"/>
        <v>0</v>
      </c>
      <c r="K71" s="75">
        <f t="shared" si="3"/>
        <v>211962.03604871081</v>
      </c>
      <c r="L71" s="109">
        <v>236898.74617208869</v>
      </c>
      <c r="M71" s="110">
        <v>249367.10123377794</v>
      </c>
      <c r="N71" s="844"/>
    </row>
    <row r="72" spans="1:14" ht="12.75" customHeight="1" x14ac:dyDescent="0.25">
      <c r="A72" s="589" t="s">
        <v>1619</v>
      </c>
      <c r="B72" s="73"/>
      <c r="C72" s="382">
        <v>459430.40300913464</v>
      </c>
      <c r="D72" s="109">
        <v>459430.40300913464</v>
      </c>
      <c r="E72" s="109">
        <v>0</v>
      </c>
      <c r="F72" s="109">
        <v>0</v>
      </c>
      <c r="G72" s="109">
        <v>0</v>
      </c>
      <c r="H72" s="109">
        <v>0</v>
      </c>
      <c r="I72" s="109">
        <v>0</v>
      </c>
      <c r="J72" s="75">
        <f t="shared" si="2"/>
        <v>0</v>
      </c>
      <c r="K72" s="75">
        <f t="shared" si="3"/>
        <v>459430.40300913464</v>
      </c>
      <c r="L72" s="109">
        <v>513481.03865726845</v>
      </c>
      <c r="M72" s="110">
        <v>540506.35648133594</v>
      </c>
      <c r="N72" s="844"/>
    </row>
    <row r="73" spans="1:14" ht="12.75" customHeight="1" x14ac:dyDescent="0.25">
      <c r="A73" s="589" t="s">
        <v>1620</v>
      </c>
      <c r="B73" s="73"/>
      <c r="C73" s="109">
        <v>10759.4942156706</v>
      </c>
      <c r="D73" s="109">
        <v>10759.4942156706</v>
      </c>
      <c r="E73" s="109">
        <v>0</v>
      </c>
      <c r="F73" s="109">
        <v>0</v>
      </c>
      <c r="G73" s="109">
        <v>0</v>
      </c>
      <c r="H73" s="109">
        <v>0</v>
      </c>
      <c r="I73" s="109">
        <v>0</v>
      </c>
      <c r="J73" s="75">
        <f t="shared" ref="J73:J136" si="12">SUM(E73:I73)</f>
        <v>0</v>
      </c>
      <c r="K73" s="75">
        <f t="shared" ref="K73:K136" si="13">IF(D73=0,C73+J73,D73+J73)</f>
        <v>10759.4942156706</v>
      </c>
      <c r="L73" s="109">
        <v>12025.317064573032</v>
      </c>
      <c r="M73" s="110">
        <v>12658.228489024261</v>
      </c>
      <c r="N73" s="844"/>
    </row>
    <row r="74" spans="1:14" ht="12.75" customHeight="1" x14ac:dyDescent="0.25">
      <c r="A74" s="589" t="s">
        <v>1572</v>
      </c>
      <c r="B74" s="73"/>
      <c r="C74" s="109">
        <v>23670.887274475321</v>
      </c>
      <c r="D74" s="109">
        <v>23670.887274475321</v>
      </c>
      <c r="E74" s="109">
        <v>0</v>
      </c>
      <c r="F74" s="109">
        <v>0</v>
      </c>
      <c r="G74" s="109">
        <v>0</v>
      </c>
      <c r="H74" s="109">
        <v>0</v>
      </c>
      <c r="I74" s="109">
        <v>0</v>
      </c>
      <c r="J74" s="75">
        <f t="shared" si="12"/>
        <v>0</v>
      </c>
      <c r="K74" s="75">
        <f t="shared" si="13"/>
        <v>23670.887274475321</v>
      </c>
      <c r="L74" s="109">
        <v>26455.697542060669</v>
      </c>
      <c r="M74" s="110">
        <v>27848.102675853374</v>
      </c>
      <c r="N74" s="844"/>
    </row>
    <row r="75" spans="1:14" ht="5.0999999999999996" customHeight="1" x14ac:dyDescent="0.25">
      <c r="A75" s="136"/>
      <c r="B75" s="73"/>
      <c r="C75" s="74"/>
      <c r="D75" s="75"/>
      <c r="E75" s="75"/>
      <c r="F75" s="75"/>
      <c r="G75" s="75"/>
      <c r="H75" s="75"/>
      <c r="I75" s="75"/>
      <c r="J75" s="75"/>
      <c r="K75" s="75"/>
      <c r="L75" s="75"/>
      <c r="M75" s="76"/>
      <c r="N75" s="128"/>
    </row>
    <row r="76" spans="1:14" ht="12.75" customHeight="1" x14ac:dyDescent="0.25">
      <c r="A76" s="486" t="s">
        <v>1621</v>
      </c>
      <c r="B76" s="73"/>
      <c r="C76" s="236">
        <f>+C77+C100</f>
        <v>53506964.734529898</v>
      </c>
      <c r="D76" s="237">
        <f>+D77+D100</f>
        <v>53506964.734529898</v>
      </c>
      <c r="E76" s="237">
        <f t="shared" ref="E76:M76" si="14">+E77+E100</f>
        <v>0</v>
      </c>
      <c r="F76" s="237">
        <f t="shared" si="14"/>
        <v>0</v>
      </c>
      <c r="G76" s="237">
        <f t="shared" si="14"/>
        <v>0</v>
      </c>
      <c r="H76" s="237">
        <f t="shared" si="14"/>
        <v>0</v>
      </c>
      <c r="I76" s="237">
        <f t="shared" si="14"/>
        <v>0</v>
      </c>
      <c r="J76" s="145">
        <f t="shared" si="12"/>
        <v>0</v>
      </c>
      <c r="K76" s="145">
        <f t="shared" si="13"/>
        <v>53506964.734529898</v>
      </c>
      <c r="L76" s="237">
        <f t="shared" si="14"/>
        <v>59801901.762121685</v>
      </c>
      <c r="M76" s="238">
        <f t="shared" si="14"/>
        <v>62949370.275917649</v>
      </c>
      <c r="N76" s="128"/>
    </row>
    <row r="77" spans="1:14" ht="12.75" customHeight="1" x14ac:dyDescent="0.25">
      <c r="A77" s="588" t="s">
        <v>1622</v>
      </c>
      <c r="B77" s="73"/>
      <c r="C77" s="132">
        <f>SUM(C78:C99)</f>
        <v>26855697.562313817</v>
      </c>
      <c r="D77" s="132">
        <f>SUM(D78:D99)</f>
        <v>26855697.562313817</v>
      </c>
      <c r="E77" s="132">
        <f t="shared" ref="E77:M77" si="15">SUM(E78:E99)</f>
        <v>0</v>
      </c>
      <c r="F77" s="132">
        <f t="shared" si="15"/>
        <v>0</v>
      </c>
      <c r="G77" s="132">
        <f t="shared" si="15"/>
        <v>0</v>
      </c>
      <c r="H77" s="132">
        <f t="shared" si="15"/>
        <v>0</v>
      </c>
      <c r="I77" s="132">
        <f t="shared" si="15"/>
        <v>0</v>
      </c>
      <c r="J77" s="75">
        <f t="shared" si="12"/>
        <v>0</v>
      </c>
      <c r="K77" s="75">
        <f t="shared" si="13"/>
        <v>26855697.562313817</v>
      </c>
      <c r="L77" s="132">
        <f t="shared" si="15"/>
        <v>30015191.393174287</v>
      </c>
      <c r="M77" s="133">
        <f t="shared" si="15"/>
        <v>31594938.308604561</v>
      </c>
      <c r="N77" s="844"/>
    </row>
    <row r="78" spans="1:14" ht="12.75" customHeight="1" x14ac:dyDescent="0.25">
      <c r="A78" s="589" t="s">
        <v>1623</v>
      </c>
      <c r="B78" s="73"/>
      <c r="C78" s="130">
        <v>792974.72369492322</v>
      </c>
      <c r="D78" s="109">
        <v>792974.72369492322</v>
      </c>
      <c r="E78" s="109">
        <v>0</v>
      </c>
      <c r="F78" s="109">
        <v>0</v>
      </c>
      <c r="G78" s="109">
        <v>0</v>
      </c>
      <c r="H78" s="109">
        <v>0</v>
      </c>
      <c r="I78" s="109">
        <v>0</v>
      </c>
      <c r="J78" s="75">
        <f t="shared" si="12"/>
        <v>0</v>
      </c>
      <c r="K78" s="75">
        <f t="shared" si="13"/>
        <v>792974.72369492322</v>
      </c>
      <c r="L78" s="109">
        <v>886265.86765903234</v>
      </c>
      <c r="M78" s="110">
        <v>932911.43964108801</v>
      </c>
      <c r="N78" s="128"/>
    </row>
    <row r="79" spans="1:14" ht="12.75" customHeight="1" x14ac:dyDescent="0.25">
      <c r="A79" s="589" t="s">
        <v>1624</v>
      </c>
      <c r="B79" s="73"/>
      <c r="C79" s="130">
        <v>26898.735539176498</v>
      </c>
      <c r="D79" s="109">
        <v>26898.735539176498</v>
      </c>
      <c r="E79" s="109">
        <v>0</v>
      </c>
      <c r="F79" s="109">
        <v>0</v>
      </c>
      <c r="G79" s="109">
        <v>0</v>
      </c>
      <c r="H79" s="109">
        <v>0</v>
      </c>
      <c r="I79" s="109">
        <v>0</v>
      </c>
      <c r="J79" s="75">
        <f t="shared" si="12"/>
        <v>0</v>
      </c>
      <c r="K79" s="75">
        <f t="shared" si="13"/>
        <v>26898.735539176498</v>
      </c>
      <c r="L79" s="109">
        <v>30063.292661432573</v>
      </c>
      <c r="M79" s="110">
        <v>31645.571222560648</v>
      </c>
      <c r="N79" s="128"/>
    </row>
    <row r="80" spans="1:14" ht="12.75" customHeight="1" x14ac:dyDescent="0.25">
      <c r="A80" s="589" t="s">
        <v>1625</v>
      </c>
      <c r="B80" s="73"/>
      <c r="C80" s="130">
        <v>0</v>
      </c>
      <c r="D80" s="109">
        <v>0</v>
      </c>
      <c r="E80" s="109">
        <v>0</v>
      </c>
      <c r="F80" s="109">
        <v>0</v>
      </c>
      <c r="G80" s="109">
        <v>0</v>
      </c>
      <c r="H80" s="109">
        <v>0</v>
      </c>
      <c r="I80" s="109">
        <v>0</v>
      </c>
      <c r="J80" s="75">
        <f t="shared" si="12"/>
        <v>0</v>
      </c>
      <c r="K80" s="75">
        <f t="shared" si="13"/>
        <v>0</v>
      </c>
      <c r="L80" s="109">
        <v>0</v>
      </c>
      <c r="M80" s="110">
        <v>0</v>
      </c>
      <c r="N80" s="128"/>
    </row>
    <row r="81" spans="1:14" ht="12.75" customHeight="1" x14ac:dyDescent="0.25">
      <c r="A81" s="589" t="s">
        <v>1626</v>
      </c>
      <c r="B81" s="73"/>
      <c r="C81" s="130">
        <v>60253.167607755357</v>
      </c>
      <c r="D81" s="109">
        <v>60253.167607755357</v>
      </c>
      <c r="E81" s="109">
        <v>0</v>
      </c>
      <c r="F81" s="109">
        <v>0</v>
      </c>
      <c r="G81" s="109">
        <v>0</v>
      </c>
      <c r="H81" s="109">
        <v>0</v>
      </c>
      <c r="I81" s="109">
        <v>0</v>
      </c>
      <c r="J81" s="75">
        <f t="shared" si="12"/>
        <v>0</v>
      </c>
      <c r="K81" s="75">
        <f t="shared" si="13"/>
        <v>60253.167607755357</v>
      </c>
      <c r="L81" s="109">
        <v>67341.775561608971</v>
      </c>
      <c r="M81" s="110">
        <v>70886.079538535865</v>
      </c>
      <c r="N81" s="128"/>
    </row>
    <row r="82" spans="1:14" ht="12.75" customHeight="1" x14ac:dyDescent="0.25">
      <c r="A82" s="589" t="s">
        <v>1627</v>
      </c>
      <c r="B82" s="73"/>
      <c r="C82" s="130">
        <v>745632.94914597261</v>
      </c>
      <c r="D82" s="109">
        <v>745632.94914597261</v>
      </c>
      <c r="E82" s="109">
        <v>0</v>
      </c>
      <c r="F82" s="109">
        <v>0</v>
      </c>
      <c r="G82" s="109">
        <v>0</v>
      </c>
      <c r="H82" s="109">
        <v>0</v>
      </c>
      <c r="I82" s="109">
        <v>0</v>
      </c>
      <c r="J82" s="75">
        <f t="shared" si="12"/>
        <v>0</v>
      </c>
      <c r="K82" s="75">
        <f t="shared" si="13"/>
        <v>745632.94914597261</v>
      </c>
      <c r="L82" s="109">
        <v>833354.47257491108</v>
      </c>
      <c r="M82" s="110">
        <v>877215.2342893813</v>
      </c>
      <c r="N82" s="128"/>
    </row>
    <row r="83" spans="1:14" ht="12.75" customHeight="1" x14ac:dyDescent="0.25">
      <c r="A83" s="589" t="s">
        <v>1628</v>
      </c>
      <c r="B83" s="73"/>
      <c r="C83" s="130">
        <v>130189.88000961425</v>
      </c>
      <c r="D83" s="109">
        <v>130189.88000961425</v>
      </c>
      <c r="E83" s="109">
        <v>0</v>
      </c>
      <c r="F83" s="109">
        <v>0</v>
      </c>
      <c r="G83" s="109">
        <v>0</v>
      </c>
      <c r="H83" s="109">
        <v>0</v>
      </c>
      <c r="I83" s="109">
        <v>0</v>
      </c>
      <c r="J83" s="75">
        <f t="shared" si="12"/>
        <v>0</v>
      </c>
      <c r="K83" s="75">
        <f t="shared" si="13"/>
        <v>130189.88000961425</v>
      </c>
      <c r="L83" s="109">
        <v>145506.33648133365</v>
      </c>
      <c r="M83" s="110">
        <v>153164.56471719354</v>
      </c>
      <c r="N83" s="128"/>
    </row>
    <row r="84" spans="1:14" ht="12.75" customHeight="1" x14ac:dyDescent="0.25">
      <c r="A84" s="589" t="s">
        <v>1629</v>
      </c>
      <c r="B84" s="73"/>
      <c r="C84" s="130">
        <v>1882911.4877423549</v>
      </c>
      <c r="D84" s="109">
        <v>1882911.4877423549</v>
      </c>
      <c r="E84" s="109">
        <v>0</v>
      </c>
      <c r="F84" s="109">
        <v>0</v>
      </c>
      <c r="G84" s="109">
        <v>0</v>
      </c>
      <c r="H84" s="109">
        <v>0</v>
      </c>
      <c r="I84" s="109">
        <v>0</v>
      </c>
      <c r="J84" s="75">
        <f t="shared" si="12"/>
        <v>0</v>
      </c>
      <c r="K84" s="75">
        <f t="shared" si="13"/>
        <v>1882911.4877423549</v>
      </c>
      <c r="L84" s="109">
        <v>2104430.4863002803</v>
      </c>
      <c r="M84" s="110">
        <v>2215189.9855792457</v>
      </c>
      <c r="N84" s="128"/>
    </row>
    <row r="85" spans="1:14" ht="12.75" customHeight="1" x14ac:dyDescent="0.25">
      <c r="A85" s="589" t="s">
        <v>1630</v>
      </c>
      <c r="B85" s="73"/>
      <c r="C85" s="130">
        <v>0</v>
      </c>
      <c r="D85" s="109">
        <v>0</v>
      </c>
      <c r="E85" s="109">
        <v>0</v>
      </c>
      <c r="F85" s="109">
        <v>0</v>
      </c>
      <c r="G85" s="109">
        <v>0</v>
      </c>
      <c r="H85" s="109">
        <v>0</v>
      </c>
      <c r="I85" s="109">
        <v>0</v>
      </c>
      <c r="J85" s="75">
        <f t="shared" si="12"/>
        <v>0</v>
      </c>
      <c r="K85" s="75">
        <f t="shared" si="13"/>
        <v>0</v>
      </c>
      <c r="L85" s="109">
        <v>0</v>
      </c>
      <c r="M85" s="110">
        <v>0</v>
      </c>
      <c r="N85" s="128"/>
    </row>
    <row r="86" spans="1:14" ht="12.75" customHeight="1" x14ac:dyDescent="0.25">
      <c r="A86" s="589" t="s">
        <v>1512</v>
      </c>
      <c r="B86" s="73"/>
      <c r="C86" s="130">
        <v>0</v>
      </c>
      <c r="D86" s="109">
        <v>0</v>
      </c>
      <c r="E86" s="109">
        <v>0</v>
      </c>
      <c r="F86" s="109">
        <v>0</v>
      </c>
      <c r="G86" s="109">
        <v>0</v>
      </c>
      <c r="H86" s="109">
        <v>0</v>
      </c>
      <c r="I86" s="109">
        <v>0</v>
      </c>
      <c r="J86" s="75">
        <f t="shared" si="12"/>
        <v>0</v>
      </c>
      <c r="K86" s="75">
        <f t="shared" si="13"/>
        <v>0</v>
      </c>
      <c r="L86" s="109">
        <v>0</v>
      </c>
      <c r="M86" s="110">
        <v>0</v>
      </c>
      <c r="N86" s="128"/>
    </row>
    <row r="87" spans="1:14" ht="12.75" customHeight="1" x14ac:dyDescent="0.25">
      <c r="A87" s="589" t="s">
        <v>492</v>
      </c>
      <c r="B87" s="73"/>
      <c r="C87" s="130">
        <v>0</v>
      </c>
      <c r="D87" s="109">
        <v>0</v>
      </c>
      <c r="E87" s="109">
        <v>0</v>
      </c>
      <c r="F87" s="109">
        <v>0</v>
      </c>
      <c r="G87" s="109">
        <v>0</v>
      </c>
      <c r="H87" s="109">
        <v>0</v>
      </c>
      <c r="I87" s="109">
        <v>0</v>
      </c>
      <c r="J87" s="75">
        <f t="shared" si="12"/>
        <v>0</v>
      </c>
      <c r="K87" s="75">
        <f t="shared" si="13"/>
        <v>0</v>
      </c>
      <c r="L87" s="109">
        <v>0</v>
      </c>
      <c r="M87" s="110">
        <v>0</v>
      </c>
      <c r="N87" s="128"/>
    </row>
    <row r="88" spans="1:14" ht="12.75" customHeight="1" x14ac:dyDescent="0.25">
      <c r="A88" s="589" t="s">
        <v>1631</v>
      </c>
      <c r="B88" s="73"/>
      <c r="C88" s="130">
        <v>263607.6082839297</v>
      </c>
      <c r="D88" s="109">
        <v>263607.6082839297</v>
      </c>
      <c r="E88" s="109">
        <v>0</v>
      </c>
      <c r="F88" s="109">
        <v>0</v>
      </c>
      <c r="G88" s="109">
        <v>0</v>
      </c>
      <c r="H88" s="109">
        <v>0</v>
      </c>
      <c r="I88" s="109">
        <v>0</v>
      </c>
      <c r="J88" s="75">
        <f t="shared" si="12"/>
        <v>0</v>
      </c>
      <c r="K88" s="75">
        <f t="shared" si="13"/>
        <v>263607.6082839297</v>
      </c>
      <c r="L88" s="109">
        <v>294620.26808203926</v>
      </c>
      <c r="M88" s="110">
        <v>310126.59798109438</v>
      </c>
      <c r="N88" s="128"/>
    </row>
    <row r="89" spans="1:14" ht="12.75" customHeight="1" x14ac:dyDescent="0.25">
      <c r="A89" s="589" t="s">
        <v>1632</v>
      </c>
      <c r="B89" s="73"/>
      <c r="C89" s="130">
        <v>0</v>
      </c>
      <c r="D89" s="109">
        <v>0</v>
      </c>
      <c r="E89" s="109">
        <v>0</v>
      </c>
      <c r="F89" s="109">
        <v>0</v>
      </c>
      <c r="G89" s="109">
        <v>0</v>
      </c>
      <c r="H89" s="109">
        <v>0</v>
      </c>
      <c r="I89" s="109">
        <v>0</v>
      </c>
      <c r="J89" s="75">
        <f t="shared" si="12"/>
        <v>0</v>
      </c>
      <c r="K89" s="75">
        <f t="shared" si="13"/>
        <v>0</v>
      </c>
      <c r="L89" s="109">
        <v>0</v>
      </c>
      <c r="M89" s="110">
        <v>0</v>
      </c>
      <c r="N89" s="128"/>
    </row>
    <row r="90" spans="1:14" ht="12.75" customHeight="1" x14ac:dyDescent="0.25">
      <c r="A90" s="589" t="s">
        <v>1633</v>
      </c>
      <c r="B90" s="73"/>
      <c r="C90" s="130">
        <v>0</v>
      </c>
      <c r="D90" s="109">
        <v>0</v>
      </c>
      <c r="E90" s="109">
        <v>0</v>
      </c>
      <c r="F90" s="109">
        <v>0</v>
      </c>
      <c r="G90" s="109">
        <v>0</v>
      </c>
      <c r="H90" s="109">
        <v>0</v>
      </c>
      <c r="I90" s="109">
        <v>0</v>
      </c>
      <c r="J90" s="75">
        <f t="shared" si="12"/>
        <v>0</v>
      </c>
      <c r="K90" s="75">
        <f t="shared" si="13"/>
        <v>0</v>
      </c>
      <c r="L90" s="109">
        <v>0</v>
      </c>
      <c r="M90" s="110">
        <v>0</v>
      </c>
      <c r="N90" s="128"/>
    </row>
    <row r="91" spans="1:14" ht="12.75" customHeight="1" x14ac:dyDescent="0.25">
      <c r="A91" s="589" t="s">
        <v>1634</v>
      </c>
      <c r="B91" s="73"/>
      <c r="C91" s="130">
        <v>1343860.8275372579</v>
      </c>
      <c r="D91" s="109">
        <v>1343860.8275372579</v>
      </c>
      <c r="E91" s="109">
        <v>0</v>
      </c>
      <c r="F91" s="109">
        <v>0</v>
      </c>
      <c r="G91" s="109">
        <v>0</v>
      </c>
      <c r="H91" s="109">
        <v>0</v>
      </c>
      <c r="I91" s="109">
        <v>0</v>
      </c>
      <c r="J91" s="75">
        <f t="shared" si="12"/>
        <v>0</v>
      </c>
      <c r="K91" s="75">
        <f t="shared" si="13"/>
        <v>1343860.8275372579</v>
      </c>
      <c r="L91" s="109">
        <v>1501962.1013651716</v>
      </c>
      <c r="M91" s="110">
        <v>1581012.7382791303</v>
      </c>
      <c r="N91" s="128"/>
    </row>
    <row r="92" spans="1:14" ht="12.75" customHeight="1" x14ac:dyDescent="0.25">
      <c r="A92" s="589" t="s">
        <v>1635</v>
      </c>
      <c r="B92" s="73"/>
      <c r="C92" s="130">
        <v>0</v>
      </c>
      <c r="D92" s="109">
        <v>0</v>
      </c>
      <c r="E92" s="109">
        <v>0</v>
      </c>
      <c r="F92" s="109">
        <v>0</v>
      </c>
      <c r="G92" s="109">
        <v>0</v>
      </c>
      <c r="H92" s="109">
        <v>0</v>
      </c>
      <c r="I92" s="109">
        <v>0</v>
      </c>
      <c r="J92" s="75">
        <f t="shared" si="12"/>
        <v>0</v>
      </c>
      <c r="K92" s="75">
        <f t="shared" si="13"/>
        <v>0</v>
      </c>
      <c r="L92" s="109">
        <v>0</v>
      </c>
      <c r="M92" s="110">
        <v>0</v>
      </c>
      <c r="N92" s="128"/>
    </row>
    <row r="93" spans="1:14" ht="12.75" customHeight="1" x14ac:dyDescent="0.25">
      <c r="A93" s="589" t="s">
        <v>1636</v>
      </c>
      <c r="B93" s="73"/>
      <c r="C93" s="130">
        <v>0</v>
      </c>
      <c r="D93" s="109">
        <v>0</v>
      </c>
      <c r="E93" s="109">
        <v>0</v>
      </c>
      <c r="F93" s="109">
        <v>0</v>
      </c>
      <c r="G93" s="109">
        <v>0</v>
      </c>
      <c r="H93" s="109">
        <v>0</v>
      </c>
      <c r="I93" s="109">
        <v>0</v>
      </c>
      <c r="J93" s="75">
        <f t="shared" si="12"/>
        <v>0</v>
      </c>
      <c r="K93" s="75">
        <f t="shared" si="13"/>
        <v>0</v>
      </c>
      <c r="L93" s="109">
        <v>0</v>
      </c>
      <c r="M93" s="110">
        <v>0</v>
      </c>
      <c r="N93" s="128"/>
    </row>
    <row r="94" spans="1:14" ht="12.75" customHeight="1" x14ac:dyDescent="0.25">
      <c r="A94" s="589" t="s">
        <v>508</v>
      </c>
      <c r="B94" s="73"/>
      <c r="C94" s="130">
        <v>264683.55770549673</v>
      </c>
      <c r="D94" s="109">
        <v>264683.55770549673</v>
      </c>
      <c r="E94" s="109">
        <v>0</v>
      </c>
      <c r="F94" s="109">
        <v>0</v>
      </c>
      <c r="G94" s="109">
        <v>0</v>
      </c>
      <c r="H94" s="109">
        <v>0</v>
      </c>
      <c r="I94" s="109">
        <v>0</v>
      </c>
      <c r="J94" s="75">
        <f t="shared" si="12"/>
        <v>0</v>
      </c>
      <c r="K94" s="75">
        <f t="shared" si="13"/>
        <v>264683.55770549673</v>
      </c>
      <c r="L94" s="109">
        <v>295822.79978849652</v>
      </c>
      <c r="M94" s="110">
        <v>311392.42082999676</v>
      </c>
      <c r="N94" s="128"/>
    </row>
    <row r="95" spans="1:14" ht="12.75" customHeight="1" x14ac:dyDescent="0.25">
      <c r="A95" s="589" t="s">
        <v>1637</v>
      </c>
      <c r="B95" s="73"/>
      <c r="C95" s="130">
        <v>0</v>
      </c>
      <c r="D95" s="109">
        <v>0</v>
      </c>
      <c r="E95" s="109">
        <v>0</v>
      </c>
      <c r="F95" s="109">
        <v>0</v>
      </c>
      <c r="G95" s="109">
        <v>0</v>
      </c>
      <c r="H95" s="109">
        <v>0</v>
      </c>
      <c r="I95" s="109">
        <v>0</v>
      </c>
      <c r="J95" s="75">
        <f t="shared" si="12"/>
        <v>0</v>
      </c>
      <c r="K95" s="75">
        <f t="shared" si="13"/>
        <v>0</v>
      </c>
      <c r="L95" s="109">
        <v>0</v>
      </c>
      <c r="M95" s="110">
        <v>0</v>
      </c>
      <c r="N95" s="128"/>
    </row>
    <row r="96" spans="1:14" ht="12.75" customHeight="1" x14ac:dyDescent="0.25">
      <c r="A96" s="589" t="s">
        <v>507</v>
      </c>
      <c r="B96" s="73"/>
      <c r="C96" s="130">
        <v>0</v>
      </c>
      <c r="D96" s="109">
        <v>0</v>
      </c>
      <c r="E96" s="109">
        <v>0</v>
      </c>
      <c r="F96" s="109">
        <v>0</v>
      </c>
      <c r="G96" s="109">
        <v>0</v>
      </c>
      <c r="H96" s="109">
        <v>0</v>
      </c>
      <c r="I96" s="109">
        <v>0</v>
      </c>
      <c r="J96" s="75">
        <f t="shared" si="12"/>
        <v>0</v>
      </c>
      <c r="K96" s="75">
        <f t="shared" si="13"/>
        <v>0</v>
      </c>
      <c r="L96" s="109">
        <v>0</v>
      </c>
      <c r="M96" s="110">
        <v>0</v>
      </c>
      <c r="N96" s="844"/>
    </row>
    <row r="97" spans="1:14" ht="12.75" customHeight="1" x14ac:dyDescent="0.25">
      <c r="A97" s="589" t="s">
        <v>1638</v>
      </c>
      <c r="B97" s="73"/>
      <c r="C97" s="130">
        <v>883354.4751065562</v>
      </c>
      <c r="D97" s="109">
        <v>883354.4751065562</v>
      </c>
      <c r="E97" s="109">
        <v>0</v>
      </c>
      <c r="F97" s="109">
        <v>0</v>
      </c>
      <c r="G97" s="109">
        <v>0</v>
      </c>
      <c r="H97" s="109">
        <v>0</v>
      </c>
      <c r="I97" s="109">
        <v>0</v>
      </c>
      <c r="J97" s="75">
        <f t="shared" si="12"/>
        <v>0</v>
      </c>
      <c r="K97" s="75">
        <f t="shared" si="13"/>
        <v>883354.4751065562</v>
      </c>
      <c r="L97" s="109">
        <v>987278.53100144572</v>
      </c>
      <c r="M97" s="110">
        <v>1039240.5589488917</v>
      </c>
      <c r="N97" s="128"/>
    </row>
    <row r="98" spans="1:14" ht="12.75" customHeight="1" x14ac:dyDescent="0.25">
      <c r="A98" s="589" t="s">
        <v>1639</v>
      </c>
      <c r="B98" s="73"/>
      <c r="C98" s="130">
        <v>1035063.3435475117</v>
      </c>
      <c r="D98" s="109">
        <v>1035063.3435475117</v>
      </c>
      <c r="E98" s="109">
        <v>0</v>
      </c>
      <c r="F98" s="109">
        <v>0</v>
      </c>
      <c r="G98" s="109">
        <v>0</v>
      </c>
      <c r="H98" s="109">
        <v>0</v>
      </c>
      <c r="I98" s="109">
        <v>0</v>
      </c>
      <c r="J98" s="75">
        <f t="shared" si="12"/>
        <v>0</v>
      </c>
      <c r="K98" s="75">
        <f t="shared" si="13"/>
        <v>1035063.3435475117</v>
      </c>
      <c r="L98" s="109">
        <v>1156835.5016119257</v>
      </c>
      <c r="M98" s="110">
        <v>1217721.580644134</v>
      </c>
      <c r="N98" s="128"/>
    </row>
    <row r="99" spans="1:14" ht="12.75" customHeight="1" x14ac:dyDescent="0.25">
      <c r="A99" s="589" t="s">
        <v>1572</v>
      </c>
      <c r="B99" s="73"/>
      <c r="C99" s="130">
        <v>19426266.806393269</v>
      </c>
      <c r="D99" s="109">
        <v>19426266.806393269</v>
      </c>
      <c r="E99" s="109">
        <v>0</v>
      </c>
      <c r="F99" s="109">
        <v>0</v>
      </c>
      <c r="G99" s="109">
        <v>0</v>
      </c>
      <c r="H99" s="109">
        <v>0</v>
      </c>
      <c r="I99" s="109">
        <v>0</v>
      </c>
      <c r="J99" s="75">
        <f t="shared" si="12"/>
        <v>0</v>
      </c>
      <c r="K99" s="75">
        <f t="shared" si="13"/>
        <v>19426266.806393269</v>
      </c>
      <c r="L99" s="109">
        <v>21711709.96008661</v>
      </c>
      <c r="M99" s="110">
        <v>22854431.536933307</v>
      </c>
      <c r="N99" s="128"/>
    </row>
    <row r="100" spans="1:14" ht="10.15" customHeight="1" x14ac:dyDescent="0.25">
      <c r="A100" s="588" t="s">
        <v>1640</v>
      </c>
      <c r="B100" s="73"/>
      <c r="C100" s="140">
        <f>SUM(C101:C103)</f>
        <v>26651267.172216076</v>
      </c>
      <c r="D100" s="141">
        <f t="shared" ref="D100:M100" si="16">SUM(D101:D103)</f>
        <v>26651267.172216076</v>
      </c>
      <c r="E100" s="141">
        <f t="shared" si="16"/>
        <v>0</v>
      </c>
      <c r="F100" s="141">
        <f t="shared" si="16"/>
        <v>0</v>
      </c>
      <c r="G100" s="141">
        <f t="shared" si="16"/>
        <v>0</v>
      </c>
      <c r="H100" s="141">
        <f t="shared" si="16"/>
        <v>0</v>
      </c>
      <c r="I100" s="141">
        <f t="shared" si="16"/>
        <v>0</v>
      </c>
      <c r="J100" s="141">
        <f t="shared" si="12"/>
        <v>0</v>
      </c>
      <c r="K100" s="141">
        <f t="shared" si="13"/>
        <v>26651267.172216076</v>
      </c>
      <c r="L100" s="141">
        <f t="shared" si="16"/>
        <v>29786710.368947398</v>
      </c>
      <c r="M100" s="142">
        <f t="shared" si="16"/>
        <v>31354431.967313092</v>
      </c>
      <c r="N100" s="128"/>
    </row>
    <row r="101" spans="1:14" ht="12.75" customHeight="1" x14ac:dyDescent="0.25">
      <c r="A101" s="589" t="s">
        <v>1641</v>
      </c>
      <c r="B101" s="73"/>
      <c r="C101" s="130">
        <v>1688164.6424387172</v>
      </c>
      <c r="D101" s="109">
        <v>1688164.6424387172</v>
      </c>
      <c r="E101" s="109">
        <v>0</v>
      </c>
      <c r="F101" s="109">
        <v>0</v>
      </c>
      <c r="G101" s="109">
        <v>0</v>
      </c>
      <c r="H101" s="109">
        <v>0</v>
      </c>
      <c r="I101" s="109">
        <v>0</v>
      </c>
      <c r="J101" s="75">
        <f t="shared" si="12"/>
        <v>0</v>
      </c>
      <c r="K101" s="75">
        <f t="shared" si="13"/>
        <v>1688164.6424387172</v>
      </c>
      <c r="L101" s="109">
        <v>1886772.2474315085</v>
      </c>
      <c r="M101" s="110">
        <v>1986076.0499279066</v>
      </c>
      <c r="N101" s="128"/>
    </row>
    <row r="102" spans="1:14" ht="12.75" customHeight="1" x14ac:dyDescent="0.25">
      <c r="A102" s="589" t="s">
        <v>1642</v>
      </c>
      <c r="B102" s="73"/>
      <c r="C102" s="130">
        <v>24963102.529777359</v>
      </c>
      <c r="D102" s="109">
        <v>24963102.529777359</v>
      </c>
      <c r="E102" s="109">
        <v>0</v>
      </c>
      <c r="F102" s="109">
        <v>0</v>
      </c>
      <c r="G102" s="109">
        <v>0</v>
      </c>
      <c r="H102" s="109">
        <v>0</v>
      </c>
      <c r="I102" s="109">
        <v>0</v>
      </c>
      <c r="J102" s="75">
        <f t="shared" si="12"/>
        <v>0</v>
      </c>
      <c r="K102" s="75">
        <f t="shared" si="13"/>
        <v>24963102.529777359</v>
      </c>
      <c r="L102" s="109">
        <v>27899938.121515889</v>
      </c>
      <c r="M102" s="110">
        <v>29368355.917385187</v>
      </c>
      <c r="N102" s="128"/>
    </row>
    <row r="103" spans="1:14" ht="12.75" customHeight="1" x14ac:dyDescent="0.25">
      <c r="A103" s="589" t="s">
        <v>1572</v>
      </c>
      <c r="B103" s="73"/>
      <c r="C103" s="130">
        <v>0</v>
      </c>
      <c r="D103" s="109">
        <v>0</v>
      </c>
      <c r="E103" s="109">
        <v>0</v>
      </c>
      <c r="F103" s="109">
        <v>0</v>
      </c>
      <c r="G103" s="109">
        <v>0</v>
      </c>
      <c r="H103" s="109">
        <v>0</v>
      </c>
      <c r="I103" s="109">
        <v>0</v>
      </c>
      <c r="J103" s="75">
        <f t="shared" si="12"/>
        <v>0</v>
      </c>
      <c r="K103" s="75">
        <f t="shared" si="13"/>
        <v>0</v>
      </c>
      <c r="L103" s="109">
        <v>0</v>
      </c>
      <c r="M103" s="110">
        <v>0</v>
      </c>
      <c r="N103" s="128"/>
    </row>
    <row r="104" spans="1:14" ht="5.0999999999999996" customHeight="1" x14ac:dyDescent="0.25">
      <c r="A104" s="136"/>
      <c r="B104" s="73"/>
      <c r="C104" s="127"/>
      <c r="D104" s="171"/>
      <c r="E104" s="171"/>
      <c r="F104" s="171"/>
      <c r="G104" s="171"/>
      <c r="H104" s="171"/>
      <c r="I104" s="171"/>
      <c r="J104" s="75"/>
      <c r="K104" s="75"/>
      <c r="L104" s="75"/>
      <c r="M104" s="76"/>
      <c r="N104" s="128"/>
    </row>
    <row r="105" spans="1:14" ht="12.75" customHeight="1" x14ac:dyDescent="0.25">
      <c r="A105" s="486" t="s">
        <v>765</v>
      </c>
      <c r="B105" s="73"/>
      <c r="C105" s="140">
        <f t="shared" ref="C105:M105" si="17">SUM(C106:C110)</f>
        <v>0</v>
      </c>
      <c r="D105" s="141">
        <f t="shared" si="17"/>
        <v>0</v>
      </c>
      <c r="E105" s="237">
        <f t="shared" si="17"/>
        <v>0</v>
      </c>
      <c r="F105" s="237">
        <f t="shared" si="17"/>
        <v>0</v>
      </c>
      <c r="G105" s="237">
        <f t="shared" si="17"/>
        <v>0</v>
      </c>
      <c r="H105" s="237">
        <f t="shared" si="17"/>
        <v>0</v>
      </c>
      <c r="I105" s="237">
        <f t="shared" si="17"/>
        <v>0</v>
      </c>
      <c r="J105" s="237">
        <f t="shared" si="12"/>
        <v>0</v>
      </c>
      <c r="K105" s="237">
        <f t="shared" si="13"/>
        <v>0</v>
      </c>
      <c r="L105" s="237">
        <f t="shared" si="17"/>
        <v>0</v>
      </c>
      <c r="M105" s="238">
        <f t="shared" si="17"/>
        <v>0</v>
      </c>
      <c r="N105" s="128"/>
    </row>
    <row r="106" spans="1:14" ht="12.75" customHeight="1" x14ac:dyDescent="0.25">
      <c r="A106" s="588" t="s">
        <v>1643</v>
      </c>
      <c r="B106" s="73"/>
      <c r="C106" s="130">
        <v>0</v>
      </c>
      <c r="D106" s="109">
        <v>0</v>
      </c>
      <c r="E106" s="109">
        <v>0</v>
      </c>
      <c r="F106" s="109">
        <v>0</v>
      </c>
      <c r="G106" s="109">
        <v>0</v>
      </c>
      <c r="H106" s="109">
        <v>0</v>
      </c>
      <c r="I106" s="109">
        <v>0</v>
      </c>
      <c r="J106" s="75">
        <f t="shared" si="12"/>
        <v>0</v>
      </c>
      <c r="K106" s="75">
        <f t="shared" si="13"/>
        <v>0</v>
      </c>
      <c r="L106" s="109">
        <v>0</v>
      </c>
      <c r="M106" s="110">
        <v>0</v>
      </c>
      <c r="N106" s="128"/>
    </row>
    <row r="107" spans="1:14" ht="12.75" customHeight="1" x14ac:dyDescent="0.25">
      <c r="A107" s="590" t="s">
        <v>1644</v>
      </c>
      <c r="B107" s="73"/>
      <c r="C107" s="130">
        <v>0</v>
      </c>
      <c r="D107" s="109">
        <v>0</v>
      </c>
      <c r="E107" s="109">
        <v>0</v>
      </c>
      <c r="F107" s="109">
        <v>0</v>
      </c>
      <c r="G107" s="109">
        <v>0</v>
      </c>
      <c r="H107" s="109">
        <v>0</v>
      </c>
      <c r="I107" s="109">
        <v>0</v>
      </c>
      <c r="J107" s="75">
        <f t="shared" si="12"/>
        <v>0</v>
      </c>
      <c r="K107" s="75">
        <f t="shared" si="13"/>
        <v>0</v>
      </c>
      <c r="L107" s="109">
        <v>0</v>
      </c>
      <c r="M107" s="110">
        <v>0</v>
      </c>
      <c r="N107" s="128"/>
    </row>
    <row r="108" spans="1:14" ht="12.75" customHeight="1" x14ac:dyDescent="0.25">
      <c r="A108" s="588" t="s">
        <v>1645</v>
      </c>
      <c r="B108" s="73"/>
      <c r="C108" s="130">
        <v>0</v>
      </c>
      <c r="D108" s="109">
        <v>0</v>
      </c>
      <c r="E108" s="109">
        <v>0</v>
      </c>
      <c r="F108" s="109">
        <v>0</v>
      </c>
      <c r="G108" s="109">
        <v>0</v>
      </c>
      <c r="H108" s="109">
        <v>0</v>
      </c>
      <c r="I108" s="109">
        <v>0</v>
      </c>
      <c r="J108" s="75">
        <f t="shared" si="12"/>
        <v>0</v>
      </c>
      <c r="K108" s="75">
        <f t="shared" si="13"/>
        <v>0</v>
      </c>
      <c r="L108" s="109">
        <v>0</v>
      </c>
      <c r="M108" s="110">
        <v>0</v>
      </c>
      <c r="N108" s="128"/>
    </row>
    <row r="109" spans="1:14" ht="12.75" customHeight="1" x14ac:dyDescent="0.25">
      <c r="A109" s="588" t="s">
        <v>1646</v>
      </c>
      <c r="B109" s="73"/>
      <c r="C109" s="130">
        <v>0</v>
      </c>
      <c r="D109" s="109">
        <v>0</v>
      </c>
      <c r="E109" s="109">
        <v>0</v>
      </c>
      <c r="F109" s="109">
        <v>0</v>
      </c>
      <c r="G109" s="109">
        <v>0</v>
      </c>
      <c r="H109" s="109">
        <v>0</v>
      </c>
      <c r="I109" s="109">
        <v>0</v>
      </c>
      <c r="J109" s="75">
        <f t="shared" si="12"/>
        <v>0</v>
      </c>
      <c r="K109" s="75">
        <f t="shared" si="13"/>
        <v>0</v>
      </c>
      <c r="L109" s="109">
        <v>0</v>
      </c>
      <c r="M109" s="110">
        <v>0</v>
      </c>
      <c r="N109" s="128"/>
    </row>
    <row r="110" spans="1:14" ht="12.75" customHeight="1" x14ac:dyDescent="0.25">
      <c r="A110" s="590" t="s">
        <v>1647</v>
      </c>
      <c r="B110" s="73"/>
      <c r="C110" s="130">
        <v>0</v>
      </c>
      <c r="D110" s="109">
        <v>0</v>
      </c>
      <c r="E110" s="109">
        <v>0</v>
      </c>
      <c r="F110" s="109">
        <v>0</v>
      </c>
      <c r="G110" s="109">
        <v>0</v>
      </c>
      <c r="H110" s="109">
        <v>0</v>
      </c>
      <c r="I110" s="109">
        <v>0</v>
      </c>
      <c r="J110" s="75">
        <f t="shared" si="12"/>
        <v>0</v>
      </c>
      <c r="K110" s="75">
        <f t="shared" si="13"/>
        <v>0</v>
      </c>
      <c r="L110" s="109">
        <v>0</v>
      </c>
      <c r="M110" s="110">
        <v>0</v>
      </c>
      <c r="N110" s="128"/>
    </row>
    <row r="111" spans="1:14" ht="5.0999999999999996" customHeight="1" x14ac:dyDescent="0.25">
      <c r="A111" s="1226"/>
      <c r="B111" s="73"/>
      <c r="C111" s="74"/>
      <c r="D111" s="75"/>
      <c r="E111" s="75"/>
      <c r="F111" s="75"/>
      <c r="G111" s="75"/>
      <c r="H111" s="75"/>
      <c r="I111" s="75"/>
      <c r="J111" s="75"/>
      <c r="K111" s="75"/>
      <c r="L111" s="75"/>
      <c r="M111" s="76"/>
      <c r="N111" s="128"/>
    </row>
    <row r="112" spans="1:14" ht="12.75" customHeight="1" x14ac:dyDescent="0.25">
      <c r="A112" s="1227" t="s">
        <v>766</v>
      </c>
      <c r="B112" s="73"/>
      <c r="C112" s="140">
        <f>+C113+C116</f>
        <v>0</v>
      </c>
      <c r="D112" s="141">
        <f t="shared" ref="D112:I112" si="18">+D113+D116</f>
        <v>0</v>
      </c>
      <c r="E112" s="237">
        <f t="shared" si="18"/>
        <v>0</v>
      </c>
      <c r="F112" s="237">
        <f t="shared" si="18"/>
        <v>0</v>
      </c>
      <c r="G112" s="237">
        <f t="shared" si="18"/>
        <v>0</v>
      </c>
      <c r="H112" s="237">
        <f t="shared" si="18"/>
        <v>0</v>
      </c>
      <c r="I112" s="237">
        <f t="shared" si="18"/>
        <v>0</v>
      </c>
      <c r="J112" s="237">
        <f t="shared" si="12"/>
        <v>0</v>
      </c>
      <c r="K112" s="237">
        <f t="shared" si="13"/>
        <v>0</v>
      </c>
      <c r="L112" s="237">
        <f>+L113+L116</f>
        <v>0</v>
      </c>
      <c r="M112" s="238">
        <f>+M113+M116</f>
        <v>0</v>
      </c>
      <c r="N112" s="128"/>
    </row>
    <row r="113" spans="1:14" ht="10.15" customHeight="1" x14ac:dyDescent="0.25">
      <c r="A113" s="588" t="s">
        <v>1648</v>
      </c>
      <c r="B113" s="73"/>
      <c r="C113" s="140">
        <f>SUM(C114:C115)</f>
        <v>0</v>
      </c>
      <c r="D113" s="141">
        <f t="shared" ref="D113:I113" si="19">SUM(D114:D115)</f>
        <v>0</v>
      </c>
      <c r="E113" s="141">
        <f t="shared" si="19"/>
        <v>0</v>
      </c>
      <c r="F113" s="141">
        <f t="shared" si="19"/>
        <v>0</v>
      </c>
      <c r="G113" s="141">
        <f t="shared" si="19"/>
        <v>0</v>
      </c>
      <c r="H113" s="141">
        <f t="shared" si="19"/>
        <v>0</v>
      </c>
      <c r="I113" s="141">
        <f t="shared" si="19"/>
        <v>0</v>
      </c>
      <c r="J113" s="141">
        <f t="shared" si="12"/>
        <v>0</v>
      </c>
      <c r="K113" s="141">
        <f t="shared" si="13"/>
        <v>0</v>
      </c>
      <c r="L113" s="141">
        <f>SUM(L114:L115)</f>
        <v>0</v>
      </c>
      <c r="M113" s="142">
        <f>SUM(M114:M115)</f>
        <v>0</v>
      </c>
      <c r="N113" s="128"/>
    </row>
    <row r="114" spans="1:14" ht="12.75" customHeight="1" x14ac:dyDescent="0.25">
      <c r="A114" s="589" t="s">
        <v>1649</v>
      </c>
      <c r="B114" s="73"/>
      <c r="C114" s="130">
        <v>0</v>
      </c>
      <c r="D114" s="109">
        <v>0</v>
      </c>
      <c r="E114" s="109">
        <v>0</v>
      </c>
      <c r="F114" s="109">
        <v>0</v>
      </c>
      <c r="G114" s="109">
        <v>0</v>
      </c>
      <c r="H114" s="109">
        <v>0</v>
      </c>
      <c r="I114" s="109">
        <v>0</v>
      </c>
      <c r="J114" s="75">
        <f t="shared" si="12"/>
        <v>0</v>
      </c>
      <c r="K114" s="75">
        <f t="shared" si="13"/>
        <v>0</v>
      </c>
      <c r="L114" s="109">
        <v>0</v>
      </c>
      <c r="M114" s="110">
        <v>0</v>
      </c>
      <c r="N114" s="128"/>
    </row>
    <row r="115" spans="1:14" ht="12.75" customHeight="1" x14ac:dyDescent="0.25">
      <c r="A115" s="589" t="s">
        <v>1650</v>
      </c>
      <c r="B115" s="73"/>
      <c r="C115" s="130">
        <v>0</v>
      </c>
      <c r="D115" s="109">
        <v>0</v>
      </c>
      <c r="E115" s="109">
        <v>0</v>
      </c>
      <c r="F115" s="109">
        <v>0</v>
      </c>
      <c r="G115" s="109">
        <v>0</v>
      </c>
      <c r="H115" s="109">
        <v>0</v>
      </c>
      <c r="I115" s="109">
        <v>0</v>
      </c>
      <c r="J115" s="75">
        <f t="shared" si="12"/>
        <v>0</v>
      </c>
      <c r="K115" s="75">
        <f t="shared" si="13"/>
        <v>0</v>
      </c>
      <c r="L115" s="109">
        <v>0</v>
      </c>
      <c r="M115" s="110">
        <v>0</v>
      </c>
      <c r="N115" s="128"/>
    </row>
    <row r="116" spans="1:14" ht="10.15" customHeight="1" x14ac:dyDescent="0.25">
      <c r="A116" s="588" t="s">
        <v>1651</v>
      </c>
      <c r="B116" s="73"/>
      <c r="C116" s="140">
        <f>SUM(C117:C118)</f>
        <v>0</v>
      </c>
      <c r="D116" s="141">
        <f>SUM(D117:D118)</f>
        <v>0</v>
      </c>
      <c r="E116" s="141">
        <f t="shared" ref="E116:M116" si="20">SUM(E117:E118)</f>
        <v>0</v>
      </c>
      <c r="F116" s="141">
        <f t="shared" si="20"/>
        <v>0</v>
      </c>
      <c r="G116" s="141">
        <f t="shared" si="20"/>
        <v>0</v>
      </c>
      <c r="H116" s="141">
        <f t="shared" si="20"/>
        <v>0</v>
      </c>
      <c r="I116" s="141">
        <f t="shared" si="20"/>
        <v>0</v>
      </c>
      <c r="J116" s="141">
        <f t="shared" si="12"/>
        <v>0</v>
      </c>
      <c r="K116" s="141">
        <f t="shared" si="13"/>
        <v>0</v>
      </c>
      <c r="L116" s="141">
        <f t="shared" si="20"/>
        <v>0</v>
      </c>
      <c r="M116" s="142">
        <f t="shared" si="20"/>
        <v>0</v>
      </c>
      <c r="N116" s="128"/>
    </row>
    <row r="117" spans="1:14" ht="12.75" customHeight="1" x14ac:dyDescent="0.25">
      <c r="A117" s="589" t="s">
        <v>1649</v>
      </c>
      <c r="B117" s="73"/>
      <c r="C117" s="130">
        <v>0</v>
      </c>
      <c r="D117" s="109">
        <v>0</v>
      </c>
      <c r="E117" s="109">
        <v>0</v>
      </c>
      <c r="F117" s="109">
        <v>0</v>
      </c>
      <c r="G117" s="109">
        <v>0</v>
      </c>
      <c r="H117" s="109">
        <v>0</v>
      </c>
      <c r="I117" s="109">
        <v>0</v>
      </c>
      <c r="J117" s="75">
        <f t="shared" si="12"/>
        <v>0</v>
      </c>
      <c r="K117" s="75">
        <f t="shared" si="13"/>
        <v>0</v>
      </c>
      <c r="L117" s="109">
        <v>0</v>
      </c>
      <c r="M117" s="110">
        <v>0</v>
      </c>
      <c r="N117" s="128"/>
    </row>
    <row r="118" spans="1:14" ht="12.75" customHeight="1" x14ac:dyDescent="0.25">
      <c r="A118" s="589" t="s">
        <v>1650</v>
      </c>
      <c r="B118" s="73"/>
      <c r="C118" s="130">
        <v>0</v>
      </c>
      <c r="D118" s="109">
        <v>0</v>
      </c>
      <c r="E118" s="109">
        <v>0</v>
      </c>
      <c r="F118" s="109">
        <v>0</v>
      </c>
      <c r="G118" s="109">
        <v>0</v>
      </c>
      <c r="H118" s="109">
        <v>0</v>
      </c>
      <c r="I118" s="109">
        <v>0</v>
      </c>
      <c r="J118" s="75">
        <f t="shared" si="12"/>
        <v>0</v>
      </c>
      <c r="K118" s="75">
        <f t="shared" si="13"/>
        <v>0</v>
      </c>
      <c r="L118" s="109">
        <v>0</v>
      </c>
      <c r="M118" s="110">
        <v>0</v>
      </c>
      <c r="N118" s="128"/>
    </row>
    <row r="119" spans="1:14" ht="5.0999999999999996" customHeight="1" x14ac:dyDescent="0.25">
      <c r="A119" s="136"/>
      <c r="B119" s="73"/>
      <c r="C119" s="74"/>
      <c r="D119" s="75"/>
      <c r="E119" s="75"/>
      <c r="F119" s="75"/>
      <c r="G119" s="75"/>
      <c r="H119" s="75"/>
      <c r="I119" s="75"/>
      <c r="J119" s="75"/>
      <c r="K119" s="75"/>
      <c r="L119" s="75"/>
      <c r="M119" s="76"/>
      <c r="N119" s="128"/>
    </row>
    <row r="120" spans="1:14" ht="12.75" customHeight="1" x14ac:dyDescent="0.25">
      <c r="A120" s="1227" t="s">
        <v>767</v>
      </c>
      <c r="B120" s="73"/>
      <c r="C120" s="140">
        <f>+C121+C133</f>
        <v>31131520.563621312</v>
      </c>
      <c r="D120" s="141">
        <f t="shared" ref="D120:I120" si="21">+D121+D133</f>
        <v>31131520.563621312</v>
      </c>
      <c r="E120" s="237">
        <f t="shared" si="21"/>
        <v>0</v>
      </c>
      <c r="F120" s="237">
        <f t="shared" si="21"/>
        <v>0</v>
      </c>
      <c r="G120" s="237">
        <f t="shared" si="21"/>
        <v>0</v>
      </c>
      <c r="H120" s="237">
        <f t="shared" si="21"/>
        <v>0</v>
      </c>
      <c r="I120" s="237">
        <f t="shared" si="21"/>
        <v>0</v>
      </c>
      <c r="J120" s="237">
        <f t="shared" si="12"/>
        <v>0</v>
      </c>
      <c r="K120" s="237">
        <f t="shared" si="13"/>
        <v>31131520.563621312</v>
      </c>
      <c r="L120" s="237">
        <f>+L121+L133</f>
        <v>34794052.394635603</v>
      </c>
      <c r="M120" s="238">
        <f>+M121+M133</f>
        <v>36625318.3101428</v>
      </c>
      <c r="N120" s="128"/>
    </row>
    <row r="121" spans="1:14" ht="10.15" customHeight="1" x14ac:dyDescent="0.25">
      <c r="A121" s="588" t="s">
        <v>1652</v>
      </c>
      <c r="B121" s="73"/>
      <c r="C121" s="140">
        <f>SUM(C122:C132)</f>
        <v>30906647.134513795</v>
      </c>
      <c r="D121" s="141">
        <f>SUM(D122:D132)</f>
        <v>30906647.134513795</v>
      </c>
      <c r="E121" s="141">
        <f t="shared" ref="E121:M121" si="22">SUM(E122:E132)</f>
        <v>0</v>
      </c>
      <c r="F121" s="141">
        <f t="shared" si="22"/>
        <v>0</v>
      </c>
      <c r="G121" s="141">
        <f t="shared" si="22"/>
        <v>0</v>
      </c>
      <c r="H121" s="141">
        <f t="shared" si="22"/>
        <v>0</v>
      </c>
      <c r="I121" s="141">
        <f t="shared" si="22"/>
        <v>0</v>
      </c>
      <c r="J121" s="141">
        <f t="shared" si="12"/>
        <v>0</v>
      </c>
      <c r="K121" s="141">
        <f t="shared" si="13"/>
        <v>30906647.134513795</v>
      </c>
      <c r="L121" s="141">
        <f t="shared" si="22"/>
        <v>34542723.267986029</v>
      </c>
      <c r="M121" s="142">
        <f t="shared" si="22"/>
        <v>36360761.334722191</v>
      </c>
      <c r="N121" s="128"/>
    </row>
    <row r="122" spans="1:14" ht="12.75" customHeight="1" x14ac:dyDescent="0.25">
      <c r="A122" s="589" t="s">
        <v>1653</v>
      </c>
      <c r="B122" s="73"/>
      <c r="C122" s="130">
        <v>4871898.9808556475</v>
      </c>
      <c r="D122" s="109">
        <v>4871898.9808556475</v>
      </c>
      <c r="E122" s="109">
        <v>0</v>
      </c>
      <c r="F122" s="109">
        <v>0</v>
      </c>
      <c r="G122" s="109">
        <v>0</v>
      </c>
      <c r="H122" s="109">
        <v>0</v>
      </c>
      <c r="I122" s="109">
        <v>0</v>
      </c>
      <c r="J122" s="75">
        <f t="shared" si="12"/>
        <v>0</v>
      </c>
      <c r="K122" s="75">
        <f t="shared" si="13"/>
        <v>4871898.9808556475</v>
      </c>
      <c r="L122" s="109">
        <v>5445063.5668386687</v>
      </c>
      <c r="M122" s="110">
        <v>5731645.8598301858</v>
      </c>
      <c r="N122" s="128"/>
    </row>
    <row r="123" spans="1:14" ht="12.75" customHeight="1" x14ac:dyDescent="0.25">
      <c r="A123" s="589" t="s">
        <v>1654</v>
      </c>
      <c r="B123" s="137"/>
      <c r="C123" s="130">
        <v>356139.25853869686</v>
      </c>
      <c r="D123" s="109">
        <v>356139.25853869686</v>
      </c>
      <c r="E123" s="109">
        <v>0</v>
      </c>
      <c r="F123" s="109">
        <v>0</v>
      </c>
      <c r="G123" s="109">
        <v>0</v>
      </c>
      <c r="H123" s="109">
        <v>0</v>
      </c>
      <c r="I123" s="109">
        <v>0</v>
      </c>
      <c r="J123" s="75">
        <f t="shared" si="12"/>
        <v>0</v>
      </c>
      <c r="K123" s="75">
        <f t="shared" si="13"/>
        <v>356139.25853869686</v>
      </c>
      <c r="L123" s="109">
        <v>398037.99483736733</v>
      </c>
      <c r="M123" s="110">
        <v>418987.36298670305</v>
      </c>
      <c r="N123" s="128"/>
    </row>
    <row r="124" spans="1:14" ht="12.75" customHeight="1" x14ac:dyDescent="0.25">
      <c r="A124" s="589" t="s">
        <v>1655</v>
      </c>
      <c r="B124" s="73"/>
      <c r="C124" s="130">
        <v>0</v>
      </c>
      <c r="D124" s="109">
        <v>0</v>
      </c>
      <c r="E124" s="109">
        <v>0</v>
      </c>
      <c r="F124" s="109">
        <v>0</v>
      </c>
      <c r="G124" s="109">
        <v>0</v>
      </c>
      <c r="H124" s="109">
        <v>0</v>
      </c>
      <c r="I124" s="109">
        <v>0</v>
      </c>
      <c r="J124" s="75">
        <f t="shared" si="12"/>
        <v>0</v>
      </c>
      <c r="K124" s="75">
        <f t="shared" si="13"/>
        <v>0</v>
      </c>
      <c r="L124" s="109">
        <v>0</v>
      </c>
      <c r="M124" s="110">
        <v>0</v>
      </c>
      <c r="N124" s="128"/>
    </row>
    <row r="125" spans="1:14" ht="12.75" customHeight="1" x14ac:dyDescent="0.25">
      <c r="A125" s="589" t="s">
        <v>1656</v>
      </c>
      <c r="B125" s="73"/>
      <c r="C125" s="130">
        <v>402405.08366608043</v>
      </c>
      <c r="D125" s="109">
        <v>402405.08366608043</v>
      </c>
      <c r="E125" s="109">
        <v>0</v>
      </c>
      <c r="F125" s="109">
        <v>0</v>
      </c>
      <c r="G125" s="109">
        <v>0</v>
      </c>
      <c r="H125" s="109">
        <v>0</v>
      </c>
      <c r="I125" s="109">
        <v>0</v>
      </c>
      <c r="J125" s="75">
        <f t="shared" si="12"/>
        <v>0</v>
      </c>
      <c r="K125" s="75">
        <f t="shared" si="13"/>
        <v>402405.08366608043</v>
      </c>
      <c r="L125" s="109">
        <v>449746.85821503133</v>
      </c>
      <c r="M125" s="110">
        <v>473417.74548950733</v>
      </c>
      <c r="N125" s="128"/>
    </row>
    <row r="126" spans="1:14" ht="12.75" customHeight="1" x14ac:dyDescent="0.25">
      <c r="A126" s="589" t="s">
        <v>1657</v>
      </c>
      <c r="B126" s="73"/>
      <c r="C126" s="130">
        <v>1041519.040076914</v>
      </c>
      <c r="D126" s="109">
        <v>1041519.040076914</v>
      </c>
      <c r="E126" s="109">
        <v>0</v>
      </c>
      <c r="F126" s="109">
        <v>0</v>
      </c>
      <c r="G126" s="109">
        <v>0</v>
      </c>
      <c r="H126" s="109">
        <v>0</v>
      </c>
      <c r="I126" s="109">
        <v>0</v>
      </c>
      <c r="J126" s="75">
        <f t="shared" si="12"/>
        <v>0</v>
      </c>
      <c r="K126" s="75">
        <f t="shared" si="13"/>
        <v>1041519.040076914</v>
      </c>
      <c r="L126" s="109">
        <v>1164050.6918506692</v>
      </c>
      <c r="M126" s="110">
        <v>1225316.5177375483</v>
      </c>
      <c r="N126" s="128"/>
    </row>
    <row r="127" spans="1:14" ht="12.75" customHeight="1" x14ac:dyDescent="0.25">
      <c r="A127" s="589" t="s">
        <v>1658</v>
      </c>
      <c r="B127" s="73"/>
      <c r="C127" s="130">
        <v>0</v>
      </c>
      <c r="D127" s="109">
        <v>0</v>
      </c>
      <c r="E127" s="109">
        <v>0</v>
      </c>
      <c r="F127" s="109">
        <v>0</v>
      </c>
      <c r="G127" s="109">
        <v>0</v>
      </c>
      <c r="H127" s="109">
        <v>0</v>
      </c>
      <c r="I127" s="109">
        <v>0</v>
      </c>
      <c r="J127" s="75">
        <f t="shared" si="12"/>
        <v>0</v>
      </c>
      <c r="K127" s="75">
        <f t="shared" si="13"/>
        <v>0</v>
      </c>
      <c r="L127" s="109">
        <v>0</v>
      </c>
      <c r="M127" s="110">
        <v>0</v>
      </c>
      <c r="N127" s="128"/>
    </row>
    <row r="128" spans="1:14" ht="12.75" customHeight="1" x14ac:dyDescent="0.25">
      <c r="A128" s="589" t="s">
        <v>1659</v>
      </c>
      <c r="B128" s="73"/>
      <c r="C128" s="130">
        <v>0</v>
      </c>
      <c r="D128" s="109">
        <v>0</v>
      </c>
      <c r="E128" s="109">
        <v>0</v>
      </c>
      <c r="F128" s="109">
        <v>0</v>
      </c>
      <c r="G128" s="109">
        <v>0</v>
      </c>
      <c r="H128" s="109">
        <v>0</v>
      </c>
      <c r="I128" s="109">
        <v>0</v>
      </c>
      <c r="J128" s="75">
        <f t="shared" si="12"/>
        <v>0</v>
      </c>
      <c r="K128" s="75">
        <f t="shared" si="13"/>
        <v>0</v>
      </c>
      <c r="L128" s="109">
        <v>0</v>
      </c>
      <c r="M128" s="110">
        <v>0</v>
      </c>
      <c r="N128" s="128"/>
    </row>
    <row r="129" spans="1:14" ht="12.75" customHeight="1" x14ac:dyDescent="0.25">
      <c r="A129" s="589" t="s">
        <v>1660</v>
      </c>
      <c r="B129" s="137"/>
      <c r="C129" s="130">
        <v>0</v>
      </c>
      <c r="D129" s="109">
        <v>0</v>
      </c>
      <c r="E129" s="109">
        <v>0</v>
      </c>
      <c r="F129" s="109">
        <v>0</v>
      </c>
      <c r="G129" s="109">
        <v>0</v>
      </c>
      <c r="H129" s="109">
        <v>0</v>
      </c>
      <c r="I129" s="109">
        <v>0</v>
      </c>
      <c r="J129" s="75">
        <f t="shared" si="12"/>
        <v>0</v>
      </c>
      <c r="K129" s="75">
        <f t="shared" si="13"/>
        <v>0</v>
      </c>
      <c r="L129" s="109">
        <v>0</v>
      </c>
      <c r="M129" s="110">
        <v>0</v>
      </c>
      <c r="N129" s="128"/>
    </row>
    <row r="130" spans="1:14" ht="12.75" customHeight="1" x14ac:dyDescent="0.25">
      <c r="A130" s="589" t="s">
        <v>1661</v>
      </c>
      <c r="B130" s="73"/>
      <c r="C130" s="130">
        <v>0</v>
      </c>
      <c r="D130" s="109">
        <v>0</v>
      </c>
      <c r="E130" s="109">
        <v>0</v>
      </c>
      <c r="F130" s="109">
        <v>0</v>
      </c>
      <c r="G130" s="109">
        <v>0</v>
      </c>
      <c r="H130" s="109">
        <v>0</v>
      </c>
      <c r="I130" s="109">
        <v>0</v>
      </c>
      <c r="J130" s="75">
        <f t="shared" si="12"/>
        <v>0</v>
      </c>
      <c r="K130" s="75">
        <f t="shared" si="13"/>
        <v>0</v>
      </c>
      <c r="L130" s="109">
        <v>0</v>
      </c>
      <c r="M130" s="110">
        <v>0</v>
      </c>
      <c r="N130" s="128"/>
    </row>
    <row r="131" spans="1:14" ht="12.75" customHeight="1" x14ac:dyDescent="0.25">
      <c r="A131" s="589" t="s">
        <v>1662</v>
      </c>
      <c r="B131" s="73"/>
      <c r="C131" s="130">
        <v>0</v>
      </c>
      <c r="D131" s="109">
        <v>0</v>
      </c>
      <c r="E131" s="109">
        <v>0</v>
      </c>
      <c r="F131" s="109">
        <v>0</v>
      </c>
      <c r="G131" s="109">
        <v>0</v>
      </c>
      <c r="H131" s="109">
        <v>0</v>
      </c>
      <c r="I131" s="109">
        <v>0</v>
      </c>
      <c r="J131" s="75">
        <f t="shared" si="12"/>
        <v>0</v>
      </c>
      <c r="K131" s="75">
        <f t="shared" si="13"/>
        <v>0</v>
      </c>
      <c r="L131" s="109">
        <v>0</v>
      </c>
      <c r="M131" s="110">
        <v>0</v>
      </c>
      <c r="N131" s="128"/>
    </row>
    <row r="132" spans="1:14" ht="12.75" customHeight="1" x14ac:dyDescent="0.25">
      <c r="A132" s="589" t="s">
        <v>1572</v>
      </c>
      <c r="B132" s="73"/>
      <c r="C132" s="130">
        <v>24234684.771376457</v>
      </c>
      <c r="D132" s="109">
        <v>24234684.771376457</v>
      </c>
      <c r="E132" s="109">
        <v>0</v>
      </c>
      <c r="F132" s="109">
        <v>0</v>
      </c>
      <c r="G132" s="109">
        <v>0</v>
      </c>
      <c r="H132" s="109">
        <v>0</v>
      </c>
      <c r="I132" s="109">
        <v>0</v>
      </c>
      <c r="J132" s="75">
        <f t="shared" si="12"/>
        <v>0</v>
      </c>
      <c r="K132" s="75">
        <f t="shared" si="13"/>
        <v>24234684.771376457</v>
      </c>
      <c r="L132" s="109">
        <v>27085824.156244293</v>
      </c>
      <c r="M132" s="110">
        <v>28511393.848678242</v>
      </c>
      <c r="N132" s="128"/>
    </row>
    <row r="133" spans="1:14" ht="10.15" customHeight="1" x14ac:dyDescent="0.25">
      <c r="A133" s="588" t="s">
        <v>619</v>
      </c>
      <c r="B133" s="73"/>
      <c r="C133" s="140">
        <f>SUM(C134:C136)</f>
        <v>224873.42910751552</v>
      </c>
      <c r="D133" s="141">
        <f>SUM(D134:D136)</f>
        <v>224873.42910751552</v>
      </c>
      <c r="E133" s="141">
        <f t="shared" ref="E133:M133" si="23">SUM(E134:E136)</f>
        <v>0</v>
      </c>
      <c r="F133" s="141">
        <f t="shared" si="23"/>
        <v>0</v>
      </c>
      <c r="G133" s="141">
        <f t="shared" si="23"/>
        <v>0</v>
      </c>
      <c r="H133" s="141">
        <f t="shared" si="23"/>
        <v>0</v>
      </c>
      <c r="I133" s="141">
        <f t="shared" si="23"/>
        <v>0</v>
      </c>
      <c r="J133" s="141">
        <f t="shared" si="12"/>
        <v>0</v>
      </c>
      <c r="K133" s="141">
        <f t="shared" si="13"/>
        <v>224873.42910751552</v>
      </c>
      <c r="L133" s="141">
        <f t="shared" si="23"/>
        <v>251329.12664957633</v>
      </c>
      <c r="M133" s="142">
        <f t="shared" si="23"/>
        <v>264556.97542060702</v>
      </c>
      <c r="N133" s="128"/>
    </row>
    <row r="134" spans="1:14" s="1234" customFormat="1" ht="12.75" customHeight="1" x14ac:dyDescent="0.25">
      <c r="A134" s="589" t="s">
        <v>1663</v>
      </c>
      <c r="B134" s="1228"/>
      <c r="C134" s="1229">
        <v>142025.3236468519</v>
      </c>
      <c r="D134" s="1230">
        <v>142025.3236468519</v>
      </c>
      <c r="E134" s="1230">
        <v>0</v>
      </c>
      <c r="F134" s="1230">
        <v>0</v>
      </c>
      <c r="G134" s="1230">
        <v>0</v>
      </c>
      <c r="H134" s="1230">
        <v>0</v>
      </c>
      <c r="I134" s="1230">
        <v>0</v>
      </c>
      <c r="J134" s="1231">
        <f t="shared" si="12"/>
        <v>0</v>
      </c>
      <c r="K134" s="1231">
        <f t="shared" si="13"/>
        <v>142025.3236468519</v>
      </c>
      <c r="L134" s="1230">
        <v>158734.185252364</v>
      </c>
      <c r="M134" s="1232">
        <v>167088.61605512025</v>
      </c>
      <c r="N134" s="1233"/>
    </row>
    <row r="135" spans="1:14" ht="12.75" customHeight="1" x14ac:dyDescent="0.25">
      <c r="A135" s="589" t="s">
        <v>1664</v>
      </c>
      <c r="B135" s="73"/>
      <c r="C135" s="130">
        <v>82848.105460663617</v>
      </c>
      <c r="D135" s="109">
        <v>82848.105460663617</v>
      </c>
      <c r="E135" s="109">
        <v>0</v>
      </c>
      <c r="F135" s="109">
        <v>0</v>
      </c>
      <c r="G135" s="109">
        <v>0</v>
      </c>
      <c r="H135" s="109">
        <v>0</v>
      </c>
      <c r="I135" s="109">
        <v>0</v>
      </c>
      <c r="J135" s="75">
        <f t="shared" si="12"/>
        <v>0</v>
      </c>
      <c r="K135" s="75">
        <f t="shared" si="13"/>
        <v>82848.105460663617</v>
      </c>
      <c r="L135" s="109">
        <v>92594.941397212329</v>
      </c>
      <c r="M135" s="110">
        <v>97468.359365486802</v>
      </c>
      <c r="N135" s="128"/>
    </row>
    <row r="136" spans="1:14" ht="12.75" customHeight="1" x14ac:dyDescent="0.25">
      <c r="A136" s="589" t="s">
        <v>1572</v>
      </c>
      <c r="B136" s="73"/>
      <c r="C136" s="130">
        <v>0</v>
      </c>
      <c r="D136" s="109">
        <v>0</v>
      </c>
      <c r="E136" s="109">
        <v>0</v>
      </c>
      <c r="F136" s="109">
        <v>0</v>
      </c>
      <c r="G136" s="109">
        <v>0</v>
      </c>
      <c r="H136" s="109">
        <v>0</v>
      </c>
      <c r="I136" s="109">
        <v>0</v>
      </c>
      <c r="J136" s="75">
        <f t="shared" si="12"/>
        <v>0</v>
      </c>
      <c r="K136" s="75">
        <f t="shared" si="13"/>
        <v>0</v>
      </c>
      <c r="L136" s="109">
        <v>0</v>
      </c>
      <c r="M136" s="110">
        <v>0</v>
      </c>
      <c r="N136" s="128"/>
    </row>
    <row r="137" spans="1:14" ht="5.0999999999999996" customHeight="1" x14ac:dyDescent="0.25">
      <c r="A137" s="136"/>
      <c r="B137" s="73"/>
      <c r="C137" s="74"/>
      <c r="D137" s="75"/>
      <c r="E137" s="75"/>
      <c r="F137" s="75"/>
      <c r="G137" s="75"/>
      <c r="H137" s="75"/>
      <c r="I137" s="75"/>
      <c r="J137" s="75"/>
      <c r="K137" s="75"/>
      <c r="L137" s="75"/>
      <c r="M137" s="76"/>
      <c r="N137" s="128"/>
    </row>
    <row r="138" spans="1:14" ht="12.75" customHeight="1" x14ac:dyDescent="0.25">
      <c r="A138" s="486" t="s">
        <v>1665</v>
      </c>
      <c r="B138" s="73"/>
      <c r="C138" s="140">
        <f t="shared" ref="C138:M138" si="24">SUM(C139:C139)</f>
        <v>0</v>
      </c>
      <c r="D138" s="141">
        <f t="shared" si="24"/>
        <v>0</v>
      </c>
      <c r="E138" s="237">
        <f t="shared" si="24"/>
        <v>0</v>
      </c>
      <c r="F138" s="237">
        <f t="shared" si="24"/>
        <v>0</v>
      </c>
      <c r="G138" s="237">
        <f t="shared" si="24"/>
        <v>0</v>
      </c>
      <c r="H138" s="237">
        <f t="shared" si="24"/>
        <v>0</v>
      </c>
      <c r="I138" s="237">
        <f t="shared" si="24"/>
        <v>0</v>
      </c>
      <c r="J138" s="237">
        <f t="shared" ref="J138:J169" si="25">SUM(E138:I138)</f>
        <v>0</v>
      </c>
      <c r="K138" s="237">
        <f t="shared" ref="K138:K169" si="26">IF(D138=0,C138+J138,D138+J138)</f>
        <v>0</v>
      </c>
      <c r="L138" s="237">
        <f t="shared" si="24"/>
        <v>0</v>
      </c>
      <c r="M138" s="238">
        <f t="shared" si="24"/>
        <v>0</v>
      </c>
      <c r="N138" s="128"/>
    </row>
    <row r="139" spans="1:14" ht="12.75" customHeight="1" x14ac:dyDescent="0.25">
      <c r="A139" s="588" t="s">
        <v>1665</v>
      </c>
      <c r="B139" s="73"/>
      <c r="C139" s="130">
        <v>0</v>
      </c>
      <c r="D139" s="109">
        <v>0</v>
      </c>
      <c r="E139" s="109">
        <v>0</v>
      </c>
      <c r="F139" s="109">
        <v>0</v>
      </c>
      <c r="G139" s="109">
        <v>0</v>
      </c>
      <c r="H139" s="109">
        <v>0</v>
      </c>
      <c r="I139" s="109">
        <v>0</v>
      </c>
      <c r="J139" s="75">
        <f t="shared" si="25"/>
        <v>0</v>
      </c>
      <c r="K139" s="75">
        <f t="shared" si="26"/>
        <v>0</v>
      </c>
      <c r="L139" s="109">
        <v>0</v>
      </c>
      <c r="M139" s="110">
        <v>0</v>
      </c>
      <c r="N139" s="128"/>
    </row>
    <row r="140" spans="1:14" ht="5.0999999999999996" customHeight="1" x14ac:dyDescent="0.25">
      <c r="A140" s="1235"/>
      <c r="B140" s="73"/>
      <c r="C140" s="74"/>
      <c r="D140" s="75"/>
      <c r="E140" s="75"/>
      <c r="F140" s="75"/>
      <c r="G140" s="75"/>
      <c r="H140" s="75"/>
      <c r="I140" s="75"/>
      <c r="J140" s="75"/>
      <c r="K140" s="75"/>
      <c r="L140" s="75"/>
      <c r="M140" s="76"/>
      <c r="N140" s="128"/>
    </row>
    <row r="141" spans="1:14" ht="12.75" customHeight="1" x14ac:dyDescent="0.25">
      <c r="A141" s="486" t="s">
        <v>1666</v>
      </c>
      <c r="B141" s="73"/>
      <c r="C141" s="140">
        <f>SUM(C142:C143)</f>
        <v>0</v>
      </c>
      <c r="D141" s="141">
        <f>SUM(D142:D143)</f>
        <v>0</v>
      </c>
      <c r="E141" s="237">
        <f t="shared" ref="E141:M141" si="27">SUM(E142:E143)</f>
        <v>0</v>
      </c>
      <c r="F141" s="237">
        <f t="shared" si="27"/>
        <v>0</v>
      </c>
      <c r="G141" s="237">
        <f t="shared" si="27"/>
        <v>0</v>
      </c>
      <c r="H141" s="237">
        <f t="shared" si="27"/>
        <v>0</v>
      </c>
      <c r="I141" s="237">
        <f t="shared" si="27"/>
        <v>0</v>
      </c>
      <c r="J141" s="237">
        <f t="shared" si="25"/>
        <v>0</v>
      </c>
      <c r="K141" s="237">
        <f t="shared" si="26"/>
        <v>0</v>
      </c>
      <c r="L141" s="237">
        <f t="shared" si="27"/>
        <v>0</v>
      </c>
      <c r="M141" s="238">
        <f t="shared" si="27"/>
        <v>0</v>
      </c>
      <c r="N141" s="128"/>
    </row>
    <row r="142" spans="1:14" ht="12.75" customHeight="1" x14ac:dyDescent="0.25">
      <c r="A142" s="590" t="s">
        <v>1667</v>
      </c>
      <c r="B142" s="73"/>
      <c r="C142" s="130">
        <v>0</v>
      </c>
      <c r="D142" s="109">
        <v>0</v>
      </c>
      <c r="E142" s="109">
        <v>0</v>
      </c>
      <c r="F142" s="109">
        <v>0</v>
      </c>
      <c r="G142" s="109">
        <v>0</v>
      </c>
      <c r="H142" s="109">
        <v>0</v>
      </c>
      <c r="I142" s="109">
        <v>0</v>
      </c>
      <c r="J142" s="75">
        <f t="shared" si="25"/>
        <v>0</v>
      </c>
      <c r="K142" s="75">
        <f t="shared" si="26"/>
        <v>0</v>
      </c>
      <c r="L142" s="109">
        <v>0</v>
      </c>
      <c r="M142" s="110">
        <v>0</v>
      </c>
      <c r="N142" s="128"/>
    </row>
    <row r="143" spans="1:14" ht="10.15" customHeight="1" x14ac:dyDescent="0.25">
      <c r="A143" s="590" t="s">
        <v>1668</v>
      </c>
      <c r="B143" s="73"/>
      <c r="C143" s="140">
        <f>SUM(C144:C149)</f>
        <v>0</v>
      </c>
      <c r="D143" s="141">
        <f>SUM(D144:D149)</f>
        <v>0</v>
      </c>
      <c r="E143" s="141">
        <f t="shared" ref="E143:M143" si="28">SUM(E144:E149)</f>
        <v>0</v>
      </c>
      <c r="F143" s="141">
        <f t="shared" si="28"/>
        <v>0</v>
      </c>
      <c r="G143" s="141">
        <f t="shared" si="28"/>
        <v>0</v>
      </c>
      <c r="H143" s="141">
        <f t="shared" si="28"/>
        <v>0</v>
      </c>
      <c r="I143" s="141">
        <f t="shared" si="28"/>
        <v>0</v>
      </c>
      <c r="J143" s="141">
        <f t="shared" si="25"/>
        <v>0</v>
      </c>
      <c r="K143" s="141">
        <f t="shared" si="26"/>
        <v>0</v>
      </c>
      <c r="L143" s="141">
        <f t="shared" si="28"/>
        <v>0</v>
      </c>
      <c r="M143" s="142">
        <f t="shared" si="28"/>
        <v>0</v>
      </c>
      <c r="N143" s="128"/>
    </row>
    <row r="144" spans="1:14" ht="12.75" customHeight="1" x14ac:dyDescent="0.25">
      <c r="A144" s="589" t="s">
        <v>1669</v>
      </c>
      <c r="B144" s="73"/>
      <c r="C144" s="130">
        <v>0</v>
      </c>
      <c r="D144" s="109">
        <v>0</v>
      </c>
      <c r="E144" s="109">
        <v>0</v>
      </c>
      <c r="F144" s="109">
        <v>0</v>
      </c>
      <c r="G144" s="109">
        <v>0</v>
      </c>
      <c r="H144" s="109">
        <v>0</v>
      </c>
      <c r="I144" s="109">
        <v>0</v>
      </c>
      <c r="J144" s="75">
        <f t="shared" si="25"/>
        <v>0</v>
      </c>
      <c r="K144" s="75">
        <f t="shared" si="26"/>
        <v>0</v>
      </c>
      <c r="L144" s="109">
        <v>0</v>
      </c>
      <c r="M144" s="110">
        <v>0</v>
      </c>
      <c r="N144" s="128"/>
    </row>
    <row r="145" spans="1:14" ht="12.75" customHeight="1" x14ac:dyDescent="0.25">
      <c r="A145" s="589" t="s">
        <v>1670</v>
      </c>
      <c r="B145" s="137"/>
      <c r="C145" s="130">
        <v>0</v>
      </c>
      <c r="D145" s="109">
        <v>0</v>
      </c>
      <c r="E145" s="109">
        <v>0</v>
      </c>
      <c r="F145" s="109">
        <v>0</v>
      </c>
      <c r="G145" s="109">
        <v>0</v>
      </c>
      <c r="H145" s="109">
        <v>0</v>
      </c>
      <c r="I145" s="109">
        <v>0</v>
      </c>
      <c r="J145" s="75">
        <f t="shared" si="25"/>
        <v>0</v>
      </c>
      <c r="K145" s="75">
        <f t="shared" si="26"/>
        <v>0</v>
      </c>
      <c r="L145" s="109">
        <v>0</v>
      </c>
      <c r="M145" s="110">
        <v>0</v>
      </c>
      <c r="N145" s="128"/>
    </row>
    <row r="146" spans="1:14" ht="12.75" customHeight="1" x14ac:dyDescent="0.25">
      <c r="A146" s="589" t="s">
        <v>1671</v>
      </c>
      <c r="B146" s="73"/>
      <c r="C146" s="130">
        <v>0</v>
      </c>
      <c r="D146" s="109">
        <v>0</v>
      </c>
      <c r="E146" s="109">
        <v>0</v>
      </c>
      <c r="F146" s="109">
        <v>0</v>
      </c>
      <c r="G146" s="109">
        <v>0</v>
      </c>
      <c r="H146" s="109">
        <v>0</v>
      </c>
      <c r="I146" s="109">
        <v>0</v>
      </c>
      <c r="J146" s="75">
        <f t="shared" si="25"/>
        <v>0</v>
      </c>
      <c r="K146" s="75">
        <f t="shared" si="26"/>
        <v>0</v>
      </c>
      <c r="L146" s="109">
        <v>0</v>
      </c>
      <c r="M146" s="110">
        <v>0</v>
      </c>
      <c r="N146" s="128"/>
    </row>
    <row r="147" spans="1:14" ht="12.75" customHeight="1" x14ac:dyDescent="0.25">
      <c r="A147" s="589" t="s">
        <v>1672</v>
      </c>
      <c r="B147" s="73"/>
      <c r="C147" s="130">
        <v>0</v>
      </c>
      <c r="D147" s="109">
        <v>0</v>
      </c>
      <c r="E147" s="109">
        <v>0</v>
      </c>
      <c r="F147" s="109">
        <v>0</v>
      </c>
      <c r="G147" s="109">
        <v>0</v>
      </c>
      <c r="H147" s="109">
        <v>0</v>
      </c>
      <c r="I147" s="109">
        <v>0</v>
      </c>
      <c r="J147" s="75">
        <f t="shared" si="25"/>
        <v>0</v>
      </c>
      <c r="K147" s="75">
        <f t="shared" si="26"/>
        <v>0</v>
      </c>
      <c r="L147" s="109">
        <v>0</v>
      </c>
      <c r="M147" s="110">
        <v>0</v>
      </c>
      <c r="N147" s="128"/>
    </row>
    <row r="148" spans="1:14" ht="12.75" customHeight="1" x14ac:dyDescent="0.25">
      <c r="A148" s="589" t="s">
        <v>1673</v>
      </c>
      <c r="B148" s="73"/>
      <c r="C148" s="130">
        <v>0</v>
      </c>
      <c r="D148" s="109">
        <v>0</v>
      </c>
      <c r="E148" s="109">
        <v>0</v>
      </c>
      <c r="F148" s="109">
        <v>0</v>
      </c>
      <c r="G148" s="109">
        <v>0</v>
      </c>
      <c r="H148" s="109">
        <v>0</v>
      </c>
      <c r="I148" s="109">
        <v>0</v>
      </c>
      <c r="J148" s="75">
        <f t="shared" si="25"/>
        <v>0</v>
      </c>
      <c r="K148" s="75">
        <f t="shared" si="26"/>
        <v>0</v>
      </c>
      <c r="L148" s="109">
        <v>0</v>
      </c>
      <c r="M148" s="110">
        <v>0</v>
      </c>
      <c r="N148" s="128"/>
    </row>
    <row r="149" spans="1:14" ht="12.75" customHeight="1" x14ac:dyDescent="0.25">
      <c r="A149" s="589" t="s">
        <v>1674</v>
      </c>
      <c r="B149" s="73"/>
      <c r="C149" s="130">
        <v>0</v>
      </c>
      <c r="D149" s="109">
        <v>0</v>
      </c>
      <c r="E149" s="109">
        <v>0</v>
      </c>
      <c r="F149" s="109">
        <v>0</v>
      </c>
      <c r="G149" s="109">
        <v>0</v>
      </c>
      <c r="H149" s="109">
        <v>0</v>
      </c>
      <c r="I149" s="109">
        <v>0</v>
      </c>
      <c r="J149" s="75">
        <f t="shared" si="25"/>
        <v>0</v>
      </c>
      <c r="K149" s="75">
        <f t="shared" si="26"/>
        <v>0</v>
      </c>
      <c r="L149" s="109">
        <v>0</v>
      </c>
      <c r="M149" s="110">
        <v>0</v>
      </c>
      <c r="N149" s="128"/>
    </row>
    <row r="150" spans="1:14" ht="5.0999999999999996" customHeight="1" x14ac:dyDescent="0.25">
      <c r="A150" s="1235"/>
      <c r="B150" s="73"/>
      <c r="C150" s="74"/>
      <c r="D150" s="75"/>
      <c r="E150" s="75"/>
      <c r="F150" s="75"/>
      <c r="G150" s="75"/>
      <c r="H150" s="75"/>
      <c r="I150" s="75"/>
      <c r="J150" s="75"/>
      <c r="K150" s="75"/>
      <c r="L150" s="75"/>
      <c r="M150" s="76"/>
      <c r="N150" s="128"/>
    </row>
    <row r="151" spans="1:14" ht="12.75" customHeight="1" x14ac:dyDescent="0.25">
      <c r="A151" s="486" t="s">
        <v>1675</v>
      </c>
      <c r="B151" s="73"/>
      <c r="C151" s="140">
        <f t="shared" ref="C151:M151" si="29">SUM(C152:C152)</f>
        <v>2336962.1436436544</v>
      </c>
      <c r="D151" s="141">
        <f t="shared" si="29"/>
        <v>2336962.1436436544</v>
      </c>
      <c r="E151" s="237">
        <f t="shared" si="29"/>
        <v>0</v>
      </c>
      <c r="F151" s="237">
        <f t="shared" si="29"/>
        <v>0</v>
      </c>
      <c r="G151" s="237">
        <f t="shared" si="29"/>
        <v>0</v>
      </c>
      <c r="H151" s="237">
        <f t="shared" si="29"/>
        <v>0</v>
      </c>
      <c r="I151" s="237">
        <f t="shared" si="29"/>
        <v>0</v>
      </c>
      <c r="J151" s="237">
        <f t="shared" si="25"/>
        <v>0</v>
      </c>
      <c r="K151" s="237">
        <f t="shared" si="26"/>
        <v>2336962.1436436544</v>
      </c>
      <c r="L151" s="237">
        <f t="shared" si="29"/>
        <v>2611898.8664252623</v>
      </c>
      <c r="M151" s="238">
        <f t="shared" si="29"/>
        <v>2749367.2278160695</v>
      </c>
      <c r="N151" s="128"/>
    </row>
    <row r="152" spans="1:14" ht="12.75" customHeight="1" x14ac:dyDescent="0.25">
      <c r="A152" s="588" t="s">
        <v>1675</v>
      </c>
      <c r="B152" s="73"/>
      <c r="C152" s="130">
        <v>2336962.1436436544</v>
      </c>
      <c r="D152" s="109">
        <v>2336962.1436436544</v>
      </c>
      <c r="E152" s="109">
        <v>0</v>
      </c>
      <c r="F152" s="109">
        <v>0</v>
      </c>
      <c r="G152" s="109">
        <v>0</v>
      </c>
      <c r="H152" s="109">
        <v>0</v>
      </c>
      <c r="I152" s="109">
        <v>0</v>
      </c>
      <c r="J152" s="75">
        <f t="shared" si="25"/>
        <v>0</v>
      </c>
      <c r="K152" s="75">
        <f t="shared" si="26"/>
        <v>2336962.1436436544</v>
      </c>
      <c r="L152" s="109">
        <v>2611898.8664252623</v>
      </c>
      <c r="M152" s="110">
        <v>2749367.2278160695</v>
      </c>
      <c r="N152" s="128"/>
    </row>
    <row r="153" spans="1:14" ht="5.0999999999999996" customHeight="1" x14ac:dyDescent="0.25">
      <c r="A153" s="1235"/>
      <c r="B153" s="73"/>
      <c r="C153" s="74"/>
      <c r="D153" s="75"/>
      <c r="E153" s="75"/>
      <c r="F153" s="75"/>
      <c r="G153" s="75"/>
      <c r="H153" s="75"/>
      <c r="I153" s="75"/>
      <c r="J153" s="75"/>
      <c r="K153" s="75"/>
      <c r="L153" s="75"/>
      <c r="M153" s="76"/>
      <c r="N153" s="128"/>
    </row>
    <row r="154" spans="1:14" ht="12.75" customHeight="1" x14ac:dyDescent="0.25">
      <c r="A154" s="486" t="s">
        <v>1676</v>
      </c>
      <c r="B154" s="73"/>
      <c r="C154" s="140">
        <f t="shared" ref="C154:M154" si="30">SUM(C155:C155)</f>
        <v>7063607.9525877489</v>
      </c>
      <c r="D154" s="141">
        <f t="shared" si="30"/>
        <v>7063607.9525877489</v>
      </c>
      <c r="E154" s="237">
        <f t="shared" si="30"/>
        <v>0</v>
      </c>
      <c r="F154" s="237">
        <f t="shared" si="30"/>
        <v>0</v>
      </c>
      <c r="G154" s="237">
        <f t="shared" si="30"/>
        <v>0</v>
      </c>
      <c r="H154" s="237">
        <f t="shared" si="30"/>
        <v>0</v>
      </c>
      <c r="I154" s="237">
        <f t="shared" si="30"/>
        <v>0</v>
      </c>
      <c r="J154" s="237">
        <f t="shared" si="25"/>
        <v>0</v>
      </c>
      <c r="K154" s="237">
        <f t="shared" si="26"/>
        <v>7063607.9525877489</v>
      </c>
      <c r="L154" s="237">
        <f t="shared" si="30"/>
        <v>7894620.6528921947</v>
      </c>
      <c r="M154" s="238">
        <f t="shared" si="30"/>
        <v>8310127.0030444274</v>
      </c>
      <c r="N154" s="128"/>
    </row>
    <row r="155" spans="1:14" ht="12.75" customHeight="1" x14ac:dyDescent="0.25">
      <c r="A155" s="588" t="s">
        <v>1676</v>
      </c>
      <c r="B155" s="73"/>
      <c r="C155" s="130">
        <v>7063607.9525877489</v>
      </c>
      <c r="D155" s="109">
        <v>7063607.9525877489</v>
      </c>
      <c r="E155" s="109">
        <v>0</v>
      </c>
      <c r="F155" s="109">
        <v>0</v>
      </c>
      <c r="G155" s="109">
        <v>0</v>
      </c>
      <c r="H155" s="109">
        <v>0</v>
      </c>
      <c r="I155" s="109">
        <v>0</v>
      </c>
      <c r="J155" s="75">
        <f t="shared" si="25"/>
        <v>0</v>
      </c>
      <c r="K155" s="75">
        <f t="shared" si="26"/>
        <v>7063607.9525877489</v>
      </c>
      <c r="L155" s="109">
        <v>7894620.6528921947</v>
      </c>
      <c r="M155" s="110">
        <v>8310127.0030444274</v>
      </c>
      <c r="N155" s="128"/>
    </row>
    <row r="156" spans="1:14" ht="5.0999999999999996" customHeight="1" x14ac:dyDescent="0.25">
      <c r="A156" s="1235"/>
      <c r="B156" s="73"/>
      <c r="C156" s="74"/>
      <c r="D156" s="75"/>
      <c r="E156" s="75"/>
      <c r="F156" s="75"/>
      <c r="G156" s="75"/>
      <c r="H156" s="75"/>
      <c r="I156" s="75"/>
      <c r="J156" s="75"/>
      <c r="K156" s="75"/>
      <c r="L156" s="75"/>
      <c r="M156" s="76"/>
      <c r="N156" s="128"/>
    </row>
    <row r="157" spans="1:14" ht="12.75" customHeight="1" x14ac:dyDescent="0.25">
      <c r="A157" s="486" t="s">
        <v>1677</v>
      </c>
      <c r="B157" s="73"/>
      <c r="C157" s="140">
        <f t="shared" ref="C157:M157" si="31">SUM(C158:C158)</f>
        <v>3556012.8382791332</v>
      </c>
      <c r="D157" s="141">
        <f t="shared" si="31"/>
        <v>3556012.8382791332</v>
      </c>
      <c r="E157" s="237">
        <f t="shared" si="31"/>
        <v>0</v>
      </c>
      <c r="F157" s="237">
        <f t="shared" si="31"/>
        <v>0</v>
      </c>
      <c r="G157" s="237">
        <f t="shared" si="31"/>
        <v>0</v>
      </c>
      <c r="H157" s="237">
        <f t="shared" si="31"/>
        <v>0</v>
      </c>
      <c r="I157" s="237">
        <f t="shared" si="31"/>
        <v>0</v>
      </c>
      <c r="J157" s="237">
        <f t="shared" si="25"/>
        <v>0</v>
      </c>
      <c r="K157" s="237">
        <f t="shared" si="26"/>
        <v>3556012.8382791332</v>
      </c>
      <c r="L157" s="237">
        <f t="shared" si="31"/>
        <v>3974367.2898413865</v>
      </c>
      <c r="M157" s="238">
        <f t="shared" si="31"/>
        <v>4183544.515622518</v>
      </c>
      <c r="N157" s="128"/>
    </row>
    <row r="158" spans="1:14" ht="12.75" customHeight="1" x14ac:dyDescent="0.25">
      <c r="A158" s="588" t="s">
        <v>1677</v>
      </c>
      <c r="B158" s="73"/>
      <c r="C158" s="130">
        <v>3556012.8382791332</v>
      </c>
      <c r="D158" s="109">
        <v>3556012.8382791332</v>
      </c>
      <c r="E158" s="109">
        <v>0</v>
      </c>
      <c r="F158" s="109">
        <v>0</v>
      </c>
      <c r="G158" s="109">
        <v>0</v>
      </c>
      <c r="H158" s="109">
        <v>0</v>
      </c>
      <c r="I158" s="109">
        <v>0</v>
      </c>
      <c r="J158" s="75">
        <f t="shared" si="25"/>
        <v>0</v>
      </c>
      <c r="K158" s="75">
        <f t="shared" si="26"/>
        <v>3556012.8382791332</v>
      </c>
      <c r="L158" s="109">
        <v>3974367.2898413865</v>
      </c>
      <c r="M158" s="110">
        <v>4183544.515622518</v>
      </c>
      <c r="N158" s="128"/>
    </row>
    <row r="159" spans="1:14" ht="5.0999999999999996" customHeight="1" x14ac:dyDescent="0.25">
      <c r="A159" s="1235"/>
      <c r="B159" s="73"/>
      <c r="C159" s="74"/>
      <c r="D159" s="75"/>
      <c r="E159" s="75"/>
      <c r="F159" s="75"/>
      <c r="G159" s="75"/>
      <c r="H159" s="75"/>
      <c r="I159" s="75"/>
      <c r="J159" s="75"/>
      <c r="K159" s="75"/>
      <c r="L159" s="75"/>
      <c r="M159" s="76"/>
      <c r="N159" s="128"/>
    </row>
    <row r="160" spans="1:14" ht="12.75" customHeight="1" x14ac:dyDescent="0.25">
      <c r="A160" s="486" t="s">
        <v>1678</v>
      </c>
      <c r="B160" s="73"/>
      <c r="C160" s="140">
        <f t="shared" ref="C160:M160" si="32">SUM(C161:C161)</f>
        <v>24399292.121483002</v>
      </c>
      <c r="D160" s="141">
        <f t="shared" si="32"/>
        <v>24399292.121483002</v>
      </c>
      <c r="E160" s="237">
        <f t="shared" si="32"/>
        <v>0</v>
      </c>
      <c r="F160" s="237">
        <f t="shared" si="32"/>
        <v>0</v>
      </c>
      <c r="G160" s="237">
        <f t="shared" si="32"/>
        <v>0</v>
      </c>
      <c r="H160" s="237">
        <f t="shared" si="32"/>
        <v>0</v>
      </c>
      <c r="I160" s="237">
        <f t="shared" si="32"/>
        <v>0</v>
      </c>
      <c r="J160" s="237">
        <f t="shared" si="25"/>
        <v>0</v>
      </c>
      <c r="K160" s="237">
        <f t="shared" si="26"/>
        <v>24399292.121483002</v>
      </c>
      <c r="L160" s="237">
        <f t="shared" si="32"/>
        <v>27269797.076951399</v>
      </c>
      <c r="M160" s="238">
        <f t="shared" si="32"/>
        <v>28705049.554685298</v>
      </c>
      <c r="N160" s="128"/>
    </row>
    <row r="161" spans="1:14" ht="12.75" customHeight="1" x14ac:dyDescent="0.25">
      <c r="A161" s="588" t="s">
        <v>1678</v>
      </c>
      <c r="B161" s="73"/>
      <c r="C161" s="130">
        <v>24399292.121483002</v>
      </c>
      <c r="D161" s="109">
        <v>24399292.121483002</v>
      </c>
      <c r="E161" s="109">
        <v>0</v>
      </c>
      <c r="F161" s="109">
        <v>0</v>
      </c>
      <c r="G161" s="109">
        <v>0</v>
      </c>
      <c r="H161" s="109">
        <v>0</v>
      </c>
      <c r="I161" s="109">
        <v>0</v>
      </c>
      <c r="J161" s="75">
        <f t="shared" si="25"/>
        <v>0</v>
      </c>
      <c r="K161" s="75">
        <f t="shared" si="26"/>
        <v>24399292.121483002</v>
      </c>
      <c r="L161" s="109">
        <v>27269797.076951399</v>
      </c>
      <c r="M161" s="110">
        <v>28705049.554685298</v>
      </c>
      <c r="N161" s="128"/>
    </row>
    <row r="162" spans="1:14" ht="5.0999999999999996" customHeight="1" x14ac:dyDescent="0.25">
      <c r="A162" s="1235"/>
      <c r="B162" s="73"/>
      <c r="C162" s="74"/>
      <c r="D162" s="75"/>
      <c r="E162" s="75"/>
      <c r="F162" s="75"/>
      <c r="G162" s="75"/>
      <c r="H162" s="75"/>
      <c r="I162" s="75"/>
      <c r="J162" s="75"/>
      <c r="K162" s="75"/>
      <c r="L162" s="75"/>
      <c r="M162" s="76"/>
      <c r="N162" s="128"/>
    </row>
    <row r="163" spans="1:14" ht="12.75" customHeight="1" x14ac:dyDescent="0.25">
      <c r="A163" s="486" t="s">
        <v>1735</v>
      </c>
      <c r="B163" s="73"/>
      <c r="C163" s="140">
        <f t="shared" ref="C163:M163" si="33">SUM(C164:C164)</f>
        <v>0</v>
      </c>
      <c r="D163" s="141">
        <f t="shared" si="33"/>
        <v>0</v>
      </c>
      <c r="E163" s="237">
        <f t="shared" si="33"/>
        <v>0</v>
      </c>
      <c r="F163" s="237">
        <f t="shared" si="33"/>
        <v>0</v>
      </c>
      <c r="G163" s="237">
        <f t="shared" si="33"/>
        <v>0</v>
      </c>
      <c r="H163" s="237">
        <f t="shared" si="33"/>
        <v>0</v>
      </c>
      <c r="I163" s="237">
        <f t="shared" si="33"/>
        <v>0</v>
      </c>
      <c r="J163" s="237">
        <f t="shared" si="25"/>
        <v>0</v>
      </c>
      <c r="K163" s="237">
        <f t="shared" si="26"/>
        <v>0</v>
      </c>
      <c r="L163" s="237">
        <f t="shared" si="33"/>
        <v>0</v>
      </c>
      <c r="M163" s="238">
        <f t="shared" si="33"/>
        <v>0</v>
      </c>
      <c r="N163" s="128"/>
    </row>
    <row r="164" spans="1:14" ht="12.75" customHeight="1" x14ac:dyDescent="0.25">
      <c r="A164" s="588" t="s">
        <v>1735</v>
      </c>
      <c r="B164" s="73"/>
      <c r="C164" s="130">
        <v>0</v>
      </c>
      <c r="D164" s="109">
        <v>0</v>
      </c>
      <c r="E164" s="109">
        <v>0</v>
      </c>
      <c r="F164" s="109">
        <v>0</v>
      </c>
      <c r="G164" s="109">
        <v>0</v>
      </c>
      <c r="H164" s="109">
        <v>0</v>
      </c>
      <c r="I164" s="109">
        <v>0</v>
      </c>
      <c r="J164" s="75">
        <f t="shared" si="25"/>
        <v>0</v>
      </c>
      <c r="K164" s="75">
        <f t="shared" si="26"/>
        <v>0</v>
      </c>
      <c r="L164" s="109">
        <v>0</v>
      </c>
      <c r="M164" s="110">
        <v>0</v>
      </c>
      <c r="N164" s="128"/>
    </row>
    <row r="165" spans="1:14" ht="5.0999999999999996" customHeight="1" x14ac:dyDescent="0.25">
      <c r="A165" s="1235"/>
      <c r="B165" s="73"/>
      <c r="C165" s="74"/>
      <c r="D165" s="75"/>
      <c r="E165" s="75"/>
      <c r="F165" s="75"/>
      <c r="G165" s="75"/>
      <c r="H165" s="75"/>
      <c r="I165" s="75"/>
      <c r="J165" s="75"/>
      <c r="K165" s="75"/>
      <c r="L165" s="75"/>
      <c r="M165" s="76"/>
      <c r="N165" s="128"/>
    </row>
    <row r="166" spans="1:14" ht="12.75" customHeight="1" x14ac:dyDescent="0.25">
      <c r="A166" s="486" t="s">
        <v>1679</v>
      </c>
      <c r="B166" s="73"/>
      <c r="C166" s="140">
        <f t="shared" ref="C166:M166" si="34">SUM(C167:C167)</f>
        <v>0</v>
      </c>
      <c r="D166" s="141">
        <f t="shared" si="34"/>
        <v>0</v>
      </c>
      <c r="E166" s="237">
        <f t="shared" si="34"/>
        <v>0</v>
      </c>
      <c r="F166" s="237">
        <f t="shared" si="34"/>
        <v>0</v>
      </c>
      <c r="G166" s="237">
        <f t="shared" si="34"/>
        <v>0</v>
      </c>
      <c r="H166" s="237">
        <f t="shared" si="34"/>
        <v>0</v>
      </c>
      <c r="I166" s="237">
        <f t="shared" si="34"/>
        <v>0</v>
      </c>
      <c r="J166" s="237">
        <f t="shared" si="25"/>
        <v>0</v>
      </c>
      <c r="K166" s="237">
        <f t="shared" si="26"/>
        <v>0</v>
      </c>
      <c r="L166" s="237">
        <f t="shared" si="34"/>
        <v>0</v>
      </c>
      <c r="M166" s="238">
        <f t="shared" si="34"/>
        <v>0</v>
      </c>
      <c r="N166" s="128"/>
    </row>
    <row r="167" spans="1:14" ht="12.75" customHeight="1" x14ac:dyDescent="0.25">
      <c r="A167" s="588" t="s">
        <v>1679</v>
      </c>
      <c r="B167" s="73"/>
      <c r="C167" s="130">
        <v>0</v>
      </c>
      <c r="D167" s="109">
        <v>0</v>
      </c>
      <c r="E167" s="109">
        <v>0</v>
      </c>
      <c r="F167" s="109">
        <v>0</v>
      </c>
      <c r="G167" s="109">
        <v>0</v>
      </c>
      <c r="H167" s="109">
        <v>0</v>
      </c>
      <c r="I167" s="109">
        <v>0</v>
      </c>
      <c r="J167" s="75">
        <f t="shared" si="25"/>
        <v>0</v>
      </c>
      <c r="K167" s="75">
        <f t="shared" si="26"/>
        <v>0</v>
      </c>
      <c r="L167" s="109">
        <v>0</v>
      </c>
      <c r="M167" s="110">
        <v>0</v>
      </c>
      <c r="N167" s="128"/>
    </row>
    <row r="168" spans="1:14" ht="5.0999999999999996" customHeight="1" x14ac:dyDescent="0.25">
      <c r="A168" s="136"/>
      <c r="B168" s="73"/>
      <c r="C168" s="74"/>
      <c r="D168" s="75"/>
      <c r="E168" s="75"/>
      <c r="F168" s="75"/>
      <c r="G168" s="75"/>
      <c r="H168" s="75"/>
      <c r="I168" s="75"/>
      <c r="J168" s="75"/>
      <c r="K168" s="75"/>
      <c r="L168" s="75"/>
      <c r="M168" s="76"/>
      <c r="N168" s="128"/>
    </row>
    <row r="169" spans="1:14" ht="12.75" customHeight="1" x14ac:dyDescent="0.25">
      <c r="A169" s="849" t="s">
        <v>1418</v>
      </c>
      <c r="B169" s="156">
        <v>1</v>
      </c>
      <c r="C169" s="157">
        <f>C8+C76+C105+C112+C120+C151+C138+C141+C154+C157+C160+C163+C166</f>
        <v>255000000</v>
      </c>
      <c r="D169" s="117">
        <f t="shared" ref="D169:M169" si="35">D8+D76+D105+D112+D120+D151+D138+D141+D154+D157+D160+D163+D166</f>
        <v>255000000</v>
      </c>
      <c r="E169" s="117">
        <f t="shared" si="35"/>
        <v>0</v>
      </c>
      <c r="F169" s="117">
        <f t="shared" si="35"/>
        <v>0</v>
      </c>
      <c r="G169" s="117">
        <f t="shared" si="35"/>
        <v>0</v>
      </c>
      <c r="H169" s="117">
        <f t="shared" si="35"/>
        <v>0</v>
      </c>
      <c r="I169" s="117">
        <f t="shared" si="35"/>
        <v>0</v>
      </c>
      <c r="J169" s="117">
        <f t="shared" si="25"/>
        <v>0</v>
      </c>
      <c r="K169" s="117">
        <f t="shared" si="26"/>
        <v>255000000</v>
      </c>
      <c r="L169" s="117">
        <f t="shared" si="35"/>
        <v>285000000</v>
      </c>
      <c r="M169" s="118">
        <f t="shared" si="35"/>
        <v>300000000</v>
      </c>
      <c r="N169" s="128"/>
    </row>
    <row r="170" spans="1:14" ht="12.75" customHeight="1" x14ac:dyDescent="0.25">
      <c r="A170" s="591" t="str">
        <f>head27a</f>
        <v>References</v>
      </c>
      <c r="B170" s="121"/>
      <c r="C170" s="53"/>
      <c r="D170" s="53"/>
      <c r="E170" s="53"/>
      <c r="F170" s="53"/>
      <c r="G170" s="53"/>
      <c r="H170" s="53"/>
      <c r="I170" s="53"/>
      <c r="J170" s="53"/>
      <c r="K170" s="53"/>
      <c r="L170" s="53"/>
      <c r="M170" s="53"/>
      <c r="N170" s="128"/>
    </row>
    <row r="171" spans="1:14" ht="12.75" customHeight="1" x14ac:dyDescent="0.25">
      <c r="A171" s="847" t="s">
        <v>1190</v>
      </c>
      <c r="B171" s="751"/>
      <c r="C171" s="754"/>
      <c r="D171" s="754"/>
      <c r="E171" s="755"/>
      <c r="F171" s="755"/>
      <c r="G171" s="755"/>
      <c r="H171" s="755"/>
      <c r="I171" s="755"/>
      <c r="J171" s="53"/>
      <c r="K171" s="53"/>
      <c r="L171" s="53"/>
      <c r="M171" s="53"/>
      <c r="N171" s="128"/>
    </row>
    <row r="172" spans="1:14" ht="12.75" customHeight="1" x14ac:dyDescent="0.25">
      <c r="A172" s="1408" t="s">
        <v>984</v>
      </c>
      <c r="B172" s="1408"/>
      <c r="C172" s="1408"/>
      <c r="D172" s="1408"/>
      <c r="E172" s="1408"/>
      <c r="F172" s="1408"/>
      <c r="G172" s="1408"/>
      <c r="H172" s="1408"/>
      <c r="I172" s="1408"/>
      <c r="J172" s="1408"/>
      <c r="K172" s="1408"/>
      <c r="L172" s="1408"/>
      <c r="M172" s="1408"/>
      <c r="N172" s="128"/>
    </row>
    <row r="173" spans="1:14" ht="12.75" customHeight="1" x14ac:dyDescent="0.25">
      <c r="A173" s="1408" t="s">
        <v>990</v>
      </c>
      <c r="B173" s="1408"/>
      <c r="C173" s="1408"/>
      <c r="D173" s="1408"/>
      <c r="E173" s="1408"/>
      <c r="F173" s="1408"/>
      <c r="G173" s="1408"/>
      <c r="H173" s="1408"/>
      <c r="I173" s="1408"/>
      <c r="J173" s="1408"/>
      <c r="K173" s="824"/>
      <c r="L173" s="824"/>
      <c r="M173" s="824"/>
      <c r="N173" s="128"/>
    </row>
    <row r="174" spans="1:14" ht="12.75" customHeight="1" x14ac:dyDescent="0.25">
      <c r="A174" s="1408" t="s">
        <v>991</v>
      </c>
      <c r="B174" s="1408"/>
      <c r="C174" s="1408"/>
      <c r="D174" s="1408"/>
      <c r="E174" s="1408"/>
      <c r="F174" s="1408"/>
      <c r="G174" s="1408"/>
      <c r="H174" s="1408"/>
      <c r="I174" s="1408"/>
      <c r="J174" s="1408"/>
      <c r="K174" s="824"/>
      <c r="L174" s="824"/>
      <c r="M174" s="824"/>
      <c r="N174" s="128"/>
    </row>
    <row r="175" spans="1:14" ht="12.75" customHeight="1" x14ac:dyDescent="0.25">
      <c r="A175" s="1408" t="s">
        <v>1014</v>
      </c>
      <c r="B175" s="1408"/>
      <c r="C175" s="1408"/>
      <c r="D175" s="1408"/>
      <c r="E175" s="1408"/>
      <c r="F175" s="1408"/>
      <c r="G175" s="1408"/>
      <c r="H175" s="1408"/>
      <c r="I175" s="1408"/>
      <c r="J175" s="1408"/>
      <c r="K175" s="1408"/>
      <c r="L175" s="1408"/>
      <c r="M175" s="1408"/>
      <c r="N175" s="128"/>
    </row>
    <row r="176" spans="1:14" ht="12.75" customHeight="1" x14ac:dyDescent="0.25">
      <c r="A176" s="159" t="s">
        <v>1015</v>
      </c>
      <c r="B176" s="160"/>
      <c r="C176" s="94"/>
      <c r="D176" s="94"/>
      <c r="E176" s="94"/>
      <c r="F176" s="94"/>
      <c r="G176" s="94"/>
      <c r="H176" s="94"/>
      <c r="I176" s="94"/>
      <c r="J176" s="94"/>
      <c r="K176" s="94"/>
      <c r="L176" s="94"/>
      <c r="M176" s="94"/>
      <c r="N176" s="128"/>
    </row>
    <row r="177" spans="1:14" ht="12.75" customHeight="1" x14ac:dyDescent="0.25">
      <c r="A177" s="1408" t="s">
        <v>1016</v>
      </c>
      <c r="B177" s="1408"/>
      <c r="C177" s="1408"/>
      <c r="D177" s="1408"/>
      <c r="E177" s="1408"/>
      <c r="F177" s="1408"/>
      <c r="G177" s="1408"/>
      <c r="H177" s="1408"/>
      <c r="I177" s="1408"/>
      <c r="J177" s="1408"/>
      <c r="K177" s="1408"/>
      <c r="L177" s="1408"/>
      <c r="M177" s="1408"/>
      <c r="N177" s="128"/>
    </row>
    <row r="178" spans="1:14" ht="12.75" customHeight="1" x14ac:dyDescent="0.25">
      <c r="A178" s="159" t="s">
        <v>1017</v>
      </c>
      <c r="B178" s="160"/>
      <c r="C178" s="94"/>
      <c r="D178" s="94"/>
      <c r="E178" s="94"/>
      <c r="F178" s="94"/>
      <c r="G178" s="94"/>
      <c r="H178" s="94"/>
      <c r="I178" s="94"/>
      <c r="J178" s="94"/>
      <c r="K178" s="94"/>
      <c r="L178" s="94"/>
      <c r="M178" s="94"/>
      <c r="N178" s="128"/>
    </row>
    <row r="179" spans="1:14" ht="12.75" customHeight="1" x14ac:dyDescent="0.25">
      <c r="A179" s="1408" t="s">
        <v>1018</v>
      </c>
      <c r="B179" s="1408"/>
      <c r="C179" s="1408"/>
      <c r="D179" s="1408"/>
      <c r="E179" s="1408"/>
      <c r="F179" s="1408"/>
      <c r="G179" s="1408"/>
      <c r="H179" s="1408"/>
      <c r="I179" s="1408"/>
      <c r="J179" s="1408"/>
      <c r="K179" s="1408"/>
      <c r="L179" s="1408"/>
      <c r="M179" s="1408"/>
      <c r="N179" s="128"/>
    </row>
    <row r="180" spans="1:14" ht="11.25" customHeight="1" x14ac:dyDescent="0.25">
      <c r="A180" s="338"/>
      <c r="B180" s="782"/>
      <c r="C180" s="545"/>
      <c r="D180" s="545"/>
      <c r="E180" s="545"/>
      <c r="F180" s="545"/>
      <c r="G180" s="545"/>
      <c r="H180" s="545"/>
      <c r="I180" s="545"/>
      <c r="J180" s="545"/>
      <c r="K180" s="545"/>
      <c r="L180" s="545"/>
      <c r="M180" s="545"/>
      <c r="N180" s="128"/>
    </row>
    <row r="181" spans="1:14" ht="11.25" customHeight="1" x14ac:dyDescent="0.25">
      <c r="A181" s="48"/>
      <c r="B181" s="121"/>
      <c r="C181" s="53"/>
      <c r="D181" s="53"/>
      <c r="E181" s="53"/>
      <c r="F181" s="53"/>
      <c r="G181" s="53"/>
      <c r="H181" s="53"/>
      <c r="I181" s="53"/>
      <c r="J181" s="53"/>
      <c r="K181" s="53"/>
      <c r="L181" s="53"/>
      <c r="M181" s="53"/>
      <c r="N181" s="128"/>
    </row>
    <row r="182" spans="1:14" ht="11.25" customHeight="1" x14ac:dyDescent="0.25">
      <c r="A182" s="783" t="s">
        <v>671</v>
      </c>
      <c r="B182" s="160"/>
      <c r="C182" s="784">
        <f>C169-'B4-FinPerf RE'!C29</f>
        <v>0</v>
      </c>
      <c r="D182" s="784"/>
      <c r="E182" s="784"/>
      <c r="F182" s="784"/>
      <c r="G182" s="784"/>
      <c r="H182" s="784"/>
      <c r="I182" s="784"/>
      <c r="J182" s="784"/>
      <c r="K182" s="784"/>
      <c r="L182" s="784">
        <f>L169-'B4-FinPerf RE'!L29</f>
        <v>0</v>
      </c>
      <c r="M182" s="784">
        <f>M169-'B4-FinPerf RE'!M29</f>
        <v>0</v>
      </c>
      <c r="N182" s="128"/>
    </row>
    <row r="183" spans="1:14" ht="11.25" customHeight="1" x14ac:dyDescent="0.25">
      <c r="N183" s="128"/>
    </row>
    <row r="184" spans="1:14" ht="11.25" customHeight="1" x14ac:dyDescent="0.25"/>
    <row r="185" spans="1:14" ht="11.25" customHeight="1" x14ac:dyDescent="0.25"/>
    <row r="186" spans="1:14" ht="11.25" customHeight="1" x14ac:dyDescent="0.25"/>
    <row r="187" spans="1:14" ht="11.25" customHeight="1" x14ac:dyDescent="0.25"/>
    <row r="188" spans="1:14" ht="11.25" customHeight="1" x14ac:dyDescent="0.25"/>
    <row r="189" spans="1:14" ht="11.25" customHeight="1" x14ac:dyDescent="0.25"/>
    <row r="190" spans="1:14" ht="11.25" customHeight="1" x14ac:dyDescent="0.25"/>
    <row r="191" spans="1:14" ht="11.25" customHeight="1" x14ac:dyDescent="0.25"/>
    <row r="192" spans="1:14" ht="11.25" customHeight="1" x14ac:dyDescent="0.25"/>
    <row r="193" ht="11.25" customHeight="1" x14ac:dyDescent="0.25"/>
    <row r="194" ht="11.25" customHeight="1" x14ac:dyDescent="0.25"/>
    <row r="195" ht="11.25" customHeight="1" x14ac:dyDescent="0.25"/>
    <row r="196" ht="11.25" customHeight="1" x14ac:dyDescent="0.25"/>
    <row r="197" ht="11.25" customHeight="1" x14ac:dyDescent="0.25"/>
    <row r="198" ht="11.25" customHeight="1" x14ac:dyDescent="0.25"/>
    <row r="199" ht="11.25" customHeight="1" x14ac:dyDescent="0.25"/>
    <row r="200" ht="11.25" customHeight="1" x14ac:dyDescent="0.25"/>
    <row r="201" ht="11.25" customHeight="1" x14ac:dyDescent="0.25"/>
    <row r="202" ht="11.25" customHeight="1" x14ac:dyDescent="0.25"/>
    <row r="203" ht="11.25" customHeight="1" x14ac:dyDescent="0.25"/>
    <row r="204" ht="11.25" customHeight="1" x14ac:dyDescent="0.25"/>
    <row r="205" ht="11.25" customHeight="1" x14ac:dyDescent="0.25"/>
    <row r="206" ht="11.25" customHeight="1" x14ac:dyDescent="0.25"/>
    <row r="207" ht="11.25" customHeight="1" x14ac:dyDescent="0.25"/>
    <row r="208" ht="11.25" customHeight="1" x14ac:dyDescent="0.25"/>
    <row r="209" ht="11.25" customHeight="1" x14ac:dyDescent="0.25"/>
    <row r="210" ht="11.25" customHeight="1" x14ac:dyDescent="0.25"/>
    <row r="211" ht="11.25" customHeight="1" x14ac:dyDescent="0.25"/>
    <row r="212" ht="11.25" customHeight="1" x14ac:dyDescent="0.25"/>
    <row r="213" ht="11.25" customHeight="1" x14ac:dyDescent="0.25"/>
    <row r="214" ht="11.25" customHeight="1" x14ac:dyDescent="0.25"/>
    <row r="215" ht="11.25" customHeight="1" x14ac:dyDescent="0.25"/>
    <row r="216" ht="11.25" customHeight="1" x14ac:dyDescent="0.25"/>
    <row r="217" ht="11.25" customHeight="1" x14ac:dyDescent="0.25"/>
  </sheetData>
  <sheetProtection sheet="1" objects="1" scenarios="1"/>
  <mergeCells count="9">
    <mergeCell ref="A175:M175"/>
    <mergeCell ref="A177:M177"/>
    <mergeCell ref="A179:M179"/>
    <mergeCell ref="A2:A4"/>
    <mergeCell ref="B2:B4"/>
    <mergeCell ref="C2:K2"/>
    <mergeCell ref="A172:M172"/>
    <mergeCell ref="A173:J173"/>
    <mergeCell ref="A174:J174"/>
  </mergeCells>
  <pageMargins left="0.75" right="0.75" top="1" bottom="1" header="0.5" footer="0.5"/>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indexed="42"/>
  </sheetPr>
  <dimension ref="A1:N218"/>
  <sheetViews>
    <sheetView showGridLines="0" topLeftCell="A94" zoomScaleNormal="100" workbookViewId="0">
      <selection activeCell="M169" sqref="C8:M169"/>
    </sheetView>
  </sheetViews>
  <sheetFormatPr defaultColWidth="9.140625" defaultRowHeight="12.75" x14ac:dyDescent="0.25"/>
  <cols>
    <col min="1" max="1" width="42.85546875" style="5" customWidth="1"/>
    <col min="2" max="2" width="3.140625" style="58" customWidth="1"/>
    <col min="3" max="13" width="9.140625" style="5"/>
    <col min="14" max="14" width="13.28515625" style="5" customWidth="1"/>
    <col min="15" max="15" width="9.5703125" style="5" customWidth="1"/>
    <col min="16" max="16" width="9.85546875" style="5" customWidth="1"/>
    <col min="17" max="19" width="9.5703125" style="5" customWidth="1"/>
    <col min="20" max="20" width="9.85546875" style="5" customWidth="1"/>
    <col min="21" max="23" width="9.5703125" style="5" customWidth="1"/>
    <col min="24" max="25" width="9.85546875" style="5" customWidth="1"/>
    <col min="26" max="16384" width="9.140625" style="5"/>
  </cols>
  <sheetData>
    <row r="1" spans="1:14" ht="13.5" x14ac:dyDescent="0.25">
      <c r="A1" s="57" t="str">
        <f>muni&amp;" - "&amp;ADJB18e&amp;" - "&amp;Date</f>
        <v>LIM354 Polokwane - Adjustments Budget - capital expenditure on upgrading of existing assets by asset class - 2020</v>
      </c>
      <c r="B1" s="5"/>
      <c r="C1" s="58"/>
    </row>
    <row r="2" spans="1:14" ht="25.5" x14ac:dyDescent="0.25">
      <c r="A2" s="1406" t="str">
        <f>desc</f>
        <v>Description</v>
      </c>
      <c r="B2" s="1406" t="str">
        <f>head27</f>
        <v>Ref</v>
      </c>
      <c r="C2" s="1403" t="str">
        <f>Head2</f>
        <v>Budget Year 2020/21</v>
      </c>
      <c r="D2" s="1404"/>
      <c r="E2" s="1404"/>
      <c r="F2" s="1404"/>
      <c r="G2" s="1404"/>
      <c r="H2" s="1404"/>
      <c r="I2" s="1404"/>
      <c r="J2" s="1404"/>
      <c r="K2" s="1405"/>
      <c r="L2" s="169" t="str">
        <f>Head10</f>
        <v>Budget Year +1 2021/22</v>
      </c>
      <c r="M2" s="170" t="str">
        <f>Head11</f>
        <v>Budget Year +2 2022/23</v>
      </c>
    </row>
    <row r="3" spans="1:14" ht="25.5" x14ac:dyDescent="0.25">
      <c r="A3" s="1407"/>
      <c r="B3" s="1407"/>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x14ac:dyDescent="0.25">
      <c r="A4" s="1407"/>
      <c r="B4" s="1407"/>
      <c r="C4" s="65"/>
      <c r="D4" s="15">
        <v>7</v>
      </c>
      <c r="E4" s="15">
        <v>8</v>
      </c>
      <c r="F4" s="15">
        <v>9</v>
      </c>
      <c r="G4" s="15">
        <v>10</v>
      </c>
      <c r="H4" s="15">
        <v>11</v>
      </c>
      <c r="I4" s="15">
        <v>12</v>
      </c>
      <c r="J4" s="15">
        <v>13</v>
      </c>
      <c r="K4" s="15">
        <v>14</v>
      </c>
      <c r="L4" s="15"/>
      <c r="M4" s="17"/>
    </row>
    <row r="5" spans="1:14" x14ac:dyDescent="0.25">
      <c r="A5" s="66" t="s">
        <v>603</v>
      </c>
      <c r="B5" s="104"/>
      <c r="C5" s="67" t="s">
        <v>547</v>
      </c>
      <c r="D5" s="68" t="s">
        <v>548</v>
      </c>
      <c r="E5" s="68" t="s">
        <v>549</v>
      </c>
      <c r="F5" s="69" t="s">
        <v>550</v>
      </c>
      <c r="G5" s="69" t="s">
        <v>551</v>
      </c>
      <c r="H5" s="69" t="s">
        <v>552</v>
      </c>
      <c r="I5" s="70" t="s">
        <v>553</v>
      </c>
      <c r="J5" s="70" t="s">
        <v>554</v>
      </c>
      <c r="K5" s="70" t="s">
        <v>555</v>
      </c>
      <c r="L5" s="70"/>
      <c r="M5" s="71"/>
    </row>
    <row r="6" spans="1:14" ht="12.75" customHeight="1" x14ac:dyDescent="0.25">
      <c r="A6" s="845" t="s">
        <v>1680</v>
      </c>
      <c r="B6" s="73"/>
      <c r="C6" s="74"/>
      <c r="D6" s="75"/>
      <c r="E6" s="75"/>
      <c r="F6" s="75"/>
      <c r="G6" s="75"/>
      <c r="H6" s="75"/>
      <c r="I6" s="75"/>
      <c r="J6" s="75"/>
      <c r="K6" s="75"/>
      <c r="L6" s="75"/>
      <c r="M6" s="76"/>
      <c r="N6" s="128"/>
    </row>
    <row r="7" spans="1:14" ht="5.0999999999999996" customHeight="1" x14ac:dyDescent="0.25">
      <c r="A7" s="126"/>
      <c r="B7" s="73"/>
      <c r="C7" s="74"/>
      <c r="D7" s="75"/>
      <c r="E7" s="75"/>
      <c r="F7" s="75"/>
      <c r="G7" s="75"/>
      <c r="H7" s="75"/>
      <c r="I7" s="75"/>
      <c r="J7" s="75"/>
      <c r="K7" s="75"/>
      <c r="L7" s="75"/>
      <c r="M7" s="76"/>
      <c r="N7" s="128"/>
    </row>
    <row r="8" spans="1:14" ht="12.75" customHeight="1" x14ac:dyDescent="0.25">
      <c r="A8" s="126" t="s">
        <v>764</v>
      </c>
      <c r="B8" s="73"/>
      <c r="C8" s="693">
        <f>C9+C14+C18+C28+C70+C39+C46+C54+C64</f>
        <v>331197620</v>
      </c>
      <c r="D8" s="693">
        <f t="shared" ref="D8:I8" si="0">D9+D14+D18+D28+D70+D39+D46+D54+D64</f>
        <v>339282630</v>
      </c>
      <c r="E8" s="693">
        <f t="shared" si="0"/>
        <v>0</v>
      </c>
      <c r="F8" s="693">
        <f t="shared" si="0"/>
        <v>0</v>
      </c>
      <c r="G8" s="693">
        <f t="shared" si="0"/>
        <v>0</v>
      </c>
      <c r="H8" s="693">
        <f t="shared" si="0"/>
        <v>16071908</v>
      </c>
      <c r="I8" s="693">
        <f t="shared" si="0"/>
        <v>-93318078</v>
      </c>
      <c r="J8" s="694">
        <f>SUM(E8:I8)</f>
        <v>-77246170</v>
      </c>
      <c r="K8" s="694">
        <f>IF(D8=0,C8+J8,D8+J8)</f>
        <v>262036460</v>
      </c>
      <c r="L8" s="693">
        <f>L9+L14+L18+L28+L70+L39+L46+L54+L64</f>
        <v>253875882</v>
      </c>
      <c r="M8" s="695">
        <f>M9+M14+M18+M28+M70+M39+M46+M54+M64</f>
        <v>241324285</v>
      </c>
      <c r="N8" s="839"/>
    </row>
    <row r="9" spans="1:14" ht="12.75" customHeight="1" x14ac:dyDescent="0.25">
      <c r="A9" s="588" t="s">
        <v>1569</v>
      </c>
      <c r="B9" s="73"/>
      <c r="C9" s="265">
        <f>SUM(C10:C13)</f>
        <v>157040620</v>
      </c>
      <c r="D9" s="265">
        <f t="shared" ref="D9:M9" si="1">SUM(D10:D13)</f>
        <v>193436630</v>
      </c>
      <c r="E9" s="265">
        <f t="shared" si="1"/>
        <v>0</v>
      </c>
      <c r="F9" s="265">
        <f t="shared" si="1"/>
        <v>0</v>
      </c>
      <c r="G9" s="265">
        <f t="shared" si="1"/>
        <v>0</v>
      </c>
      <c r="H9" s="265">
        <f t="shared" si="1"/>
        <v>16071908</v>
      </c>
      <c r="I9" s="265">
        <f t="shared" si="1"/>
        <v>-73231045</v>
      </c>
      <c r="J9" s="75">
        <f t="shared" ref="J9:J72" si="2">SUM(E9:I9)</f>
        <v>-57159137</v>
      </c>
      <c r="K9" s="75">
        <f t="shared" ref="K9:K72" si="3">IF(D9=0,C9+J9,D9+J9)</f>
        <v>136277493</v>
      </c>
      <c r="L9" s="265">
        <f t="shared" si="1"/>
        <v>209565780</v>
      </c>
      <c r="M9" s="266">
        <f t="shared" si="1"/>
        <v>229482000</v>
      </c>
      <c r="N9" s="128"/>
    </row>
    <row r="10" spans="1:14" ht="12.75" customHeight="1" x14ac:dyDescent="0.25">
      <c r="A10" s="589" t="s">
        <v>1000</v>
      </c>
      <c r="B10" s="73"/>
      <c r="C10" s="109">
        <v>31593677</v>
      </c>
      <c r="D10" s="109">
        <v>31593677</v>
      </c>
      <c r="E10" s="109">
        <v>0</v>
      </c>
      <c r="F10" s="109">
        <v>0</v>
      </c>
      <c r="G10" s="109">
        <v>0</v>
      </c>
      <c r="H10" s="109">
        <v>16071908</v>
      </c>
      <c r="I10" s="109">
        <v>0</v>
      </c>
      <c r="J10" s="75">
        <f t="shared" si="2"/>
        <v>16071908</v>
      </c>
      <c r="K10" s="75">
        <f t="shared" si="3"/>
        <v>47665585</v>
      </c>
      <c r="L10" s="109">
        <v>44565780</v>
      </c>
      <c r="M10" s="110">
        <v>69500000</v>
      </c>
      <c r="N10" s="839"/>
    </row>
    <row r="11" spans="1:14" ht="12.75" customHeight="1" x14ac:dyDescent="0.25">
      <c r="A11" s="589" t="s">
        <v>1570</v>
      </c>
      <c r="B11" s="73"/>
      <c r="C11" s="109">
        <v>125446943</v>
      </c>
      <c r="D11" s="109">
        <v>161842953</v>
      </c>
      <c r="E11" s="109">
        <v>0</v>
      </c>
      <c r="F11" s="109">
        <v>0</v>
      </c>
      <c r="G11" s="109">
        <v>0</v>
      </c>
      <c r="H11" s="109">
        <v>0</v>
      </c>
      <c r="I11" s="109">
        <v>-73231045</v>
      </c>
      <c r="J11" s="75">
        <f t="shared" si="2"/>
        <v>-73231045</v>
      </c>
      <c r="K11" s="75">
        <f t="shared" si="3"/>
        <v>88611908</v>
      </c>
      <c r="L11" s="109">
        <v>165000000</v>
      </c>
      <c r="M11" s="110">
        <v>159982000</v>
      </c>
      <c r="N11" s="844"/>
    </row>
    <row r="12" spans="1:14" ht="12.75" customHeight="1" x14ac:dyDescent="0.25">
      <c r="A12" s="589" t="s">
        <v>1571</v>
      </c>
      <c r="B12" s="73"/>
      <c r="C12" s="109">
        <v>0</v>
      </c>
      <c r="D12" s="109">
        <v>0</v>
      </c>
      <c r="E12" s="109">
        <v>0</v>
      </c>
      <c r="F12" s="109">
        <v>0</v>
      </c>
      <c r="G12" s="109">
        <v>0</v>
      </c>
      <c r="H12" s="109">
        <v>0</v>
      </c>
      <c r="I12" s="109">
        <v>0</v>
      </c>
      <c r="J12" s="75">
        <f t="shared" si="2"/>
        <v>0</v>
      </c>
      <c r="K12" s="75">
        <f t="shared" si="3"/>
        <v>0</v>
      </c>
      <c r="L12" s="109">
        <v>0</v>
      </c>
      <c r="M12" s="110">
        <v>0</v>
      </c>
      <c r="N12" s="839"/>
    </row>
    <row r="13" spans="1:14" ht="12.75" customHeight="1" x14ac:dyDescent="0.25">
      <c r="A13" s="589" t="s">
        <v>1572</v>
      </c>
      <c r="B13" s="73"/>
      <c r="C13" s="382">
        <v>0</v>
      </c>
      <c r="D13" s="109">
        <v>0</v>
      </c>
      <c r="E13" s="109">
        <v>0</v>
      </c>
      <c r="F13" s="109">
        <v>0</v>
      </c>
      <c r="G13" s="109">
        <v>0</v>
      </c>
      <c r="H13" s="109">
        <v>0</v>
      </c>
      <c r="I13" s="109">
        <v>0</v>
      </c>
      <c r="J13" s="75">
        <f t="shared" si="2"/>
        <v>0</v>
      </c>
      <c r="K13" s="75">
        <f t="shared" si="3"/>
        <v>0</v>
      </c>
      <c r="L13" s="109">
        <v>0</v>
      </c>
      <c r="M13" s="110">
        <v>0</v>
      </c>
      <c r="N13" s="844"/>
    </row>
    <row r="14" spans="1:14" ht="12.75" customHeight="1" x14ac:dyDescent="0.25">
      <c r="A14" s="588" t="s">
        <v>1573</v>
      </c>
      <c r="B14" s="73"/>
      <c r="C14" s="1122">
        <f t="shared" ref="C14:I14" si="4">SUM(C15:C17)</f>
        <v>0</v>
      </c>
      <c r="D14" s="132">
        <f t="shared" si="4"/>
        <v>0</v>
      </c>
      <c r="E14" s="132">
        <f t="shared" si="4"/>
        <v>0</v>
      </c>
      <c r="F14" s="132">
        <f t="shared" si="4"/>
        <v>0</v>
      </c>
      <c r="G14" s="132">
        <f t="shared" si="4"/>
        <v>0</v>
      </c>
      <c r="H14" s="132">
        <f t="shared" si="4"/>
        <v>0</v>
      </c>
      <c r="I14" s="132">
        <f t="shared" si="4"/>
        <v>0</v>
      </c>
      <c r="J14" s="75">
        <f t="shared" si="2"/>
        <v>0</v>
      </c>
      <c r="K14" s="75">
        <f t="shared" si="3"/>
        <v>0</v>
      </c>
      <c r="L14" s="132">
        <f>SUM(L15:L17)</f>
        <v>0</v>
      </c>
      <c r="M14" s="133">
        <f>SUM(M15:M17)</f>
        <v>2100000</v>
      </c>
      <c r="N14" s="844"/>
    </row>
    <row r="15" spans="1:14" ht="12.75" customHeight="1" x14ac:dyDescent="0.25">
      <c r="A15" s="589" t="s">
        <v>1574</v>
      </c>
      <c r="B15" s="73"/>
      <c r="C15" s="382">
        <v>0</v>
      </c>
      <c r="D15" s="109">
        <v>0</v>
      </c>
      <c r="E15" s="109">
        <v>0</v>
      </c>
      <c r="F15" s="109">
        <v>0</v>
      </c>
      <c r="G15" s="109">
        <v>0</v>
      </c>
      <c r="H15" s="109">
        <v>0</v>
      </c>
      <c r="I15" s="109">
        <v>0</v>
      </c>
      <c r="J15" s="75">
        <f t="shared" si="2"/>
        <v>0</v>
      </c>
      <c r="K15" s="75">
        <f t="shared" si="3"/>
        <v>0</v>
      </c>
      <c r="L15" s="109">
        <v>0</v>
      </c>
      <c r="M15" s="110">
        <v>0</v>
      </c>
      <c r="N15" s="844"/>
    </row>
    <row r="16" spans="1:14" ht="12.75" customHeight="1" x14ac:dyDescent="0.25">
      <c r="A16" s="589" t="s">
        <v>1575</v>
      </c>
      <c r="B16" s="73"/>
      <c r="C16" s="382">
        <v>0</v>
      </c>
      <c r="D16" s="109">
        <v>0</v>
      </c>
      <c r="E16" s="109">
        <v>0</v>
      </c>
      <c r="F16" s="109">
        <v>0</v>
      </c>
      <c r="G16" s="109">
        <v>0</v>
      </c>
      <c r="H16" s="109">
        <v>0</v>
      </c>
      <c r="I16" s="109">
        <v>0</v>
      </c>
      <c r="J16" s="75">
        <f t="shared" si="2"/>
        <v>0</v>
      </c>
      <c r="K16" s="75">
        <f t="shared" si="3"/>
        <v>0</v>
      </c>
      <c r="L16" s="109">
        <v>0</v>
      </c>
      <c r="M16" s="110">
        <v>2100000</v>
      </c>
      <c r="N16" s="844"/>
    </row>
    <row r="17" spans="1:14" ht="12.75" customHeight="1" x14ac:dyDescent="0.25">
      <c r="A17" s="589" t="s">
        <v>1576</v>
      </c>
      <c r="B17" s="73"/>
      <c r="C17" s="382">
        <v>0</v>
      </c>
      <c r="D17" s="109">
        <v>0</v>
      </c>
      <c r="E17" s="109">
        <v>0</v>
      </c>
      <c r="F17" s="109">
        <v>0</v>
      </c>
      <c r="G17" s="109">
        <v>0</v>
      </c>
      <c r="H17" s="109">
        <v>0</v>
      </c>
      <c r="I17" s="109">
        <v>0</v>
      </c>
      <c r="J17" s="75">
        <f t="shared" si="2"/>
        <v>0</v>
      </c>
      <c r="K17" s="75">
        <f t="shared" si="3"/>
        <v>0</v>
      </c>
      <c r="L17" s="109">
        <v>0</v>
      </c>
      <c r="M17" s="110">
        <v>0</v>
      </c>
      <c r="N17" s="844"/>
    </row>
    <row r="18" spans="1:14" ht="12.75" customHeight="1" x14ac:dyDescent="0.25">
      <c r="A18" s="588" t="s">
        <v>1577</v>
      </c>
      <c r="B18" s="73"/>
      <c r="C18" s="1122">
        <f t="shared" ref="C18:M18" si="5">SUM(C19:C27)</f>
        <v>0</v>
      </c>
      <c r="D18" s="132">
        <f t="shared" si="5"/>
        <v>10000000</v>
      </c>
      <c r="E18" s="132">
        <f t="shared" si="5"/>
        <v>0</v>
      </c>
      <c r="F18" s="132">
        <f t="shared" si="5"/>
        <v>0</v>
      </c>
      <c r="G18" s="132">
        <f t="shared" si="5"/>
        <v>0</v>
      </c>
      <c r="H18" s="132">
        <f t="shared" si="5"/>
        <v>0</v>
      </c>
      <c r="I18" s="132">
        <f t="shared" si="5"/>
        <v>-10000000</v>
      </c>
      <c r="J18" s="75">
        <f t="shared" si="2"/>
        <v>-10000000</v>
      </c>
      <c r="K18" s="75">
        <f t="shared" si="3"/>
        <v>0</v>
      </c>
      <c r="L18" s="132">
        <f t="shared" si="5"/>
        <v>978241</v>
      </c>
      <c r="M18" s="133">
        <f t="shared" si="5"/>
        <v>1436435</v>
      </c>
      <c r="N18" s="844"/>
    </row>
    <row r="19" spans="1:14" ht="12.75" customHeight="1" x14ac:dyDescent="0.25">
      <c r="A19" s="589" t="s">
        <v>1578</v>
      </c>
      <c r="B19" s="73"/>
      <c r="C19" s="382">
        <v>0</v>
      </c>
      <c r="D19" s="109">
        <v>0</v>
      </c>
      <c r="E19" s="109">
        <v>0</v>
      </c>
      <c r="F19" s="109">
        <v>0</v>
      </c>
      <c r="G19" s="109">
        <v>0</v>
      </c>
      <c r="H19" s="109">
        <v>0</v>
      </c>
      <c r="I19" s="109">
        <v>0</v>
      </c>
      <c r="J19" s="75">
        <f t="shared" si="2"/>
        <v>0</v>
      </c>
      <c r="K19" s="75">
        <f t="shared" si="3"/>
        <v>0</v>
      </c>
      <c r="L19" s="109">
        <v>0</v>
      </c>
      <c r="M19" s="110">
        <v>0</v>
      </c>
      <c r="N19" s="844"/>
    </row>
    <row r="20" spans="1:14" ht="12.6" customHeight="1" x14ac:dyDescent="0.25">
      <c r="A20" s="589" t="s">
        <v>1579</v>
      </c>
      <c r="B20" s="73"/>
      <c r="C20" s="382">
        <v>0</v>
      </c>
      <c r="D20" s="109">
        <v>0</v>
      </c>
      <c r="E20" s="109">
        <v>0</v>
      </c>
      <c r="F20" s="109">
        <v>0</v>
      </c>
      <c r="G20" s="109">
        <v>0</v>
      </c>
      <c r="H20" s="109">
        <v>0</v>
      </c>
      <c r="I20" s="109">
        <v>0</v>
      </c>
      <c r="J20" s="75">
        <f t="shared" si="2"/>
        <v>0</v>
      </c>
      <c r="K20" s="75">
        <f t="shared" si="3"/>
        <v>0</v>
      </c>
      <c r="L20" s="109">
        <v>0</v>
      </c>
      <c r="M20" s="110">
        <v>0</v>
      </c>
      <c r="N20" s="844"/>
    </row>
    <row r="21" spans="1:14" ht="12.75" customHeight="1" x14ac:dyDescent="0.25">
      <c r="A21" s="589" t="s">
        <v>1580</v>
      </c>
      <c r="B21" s="73"/>
      <c r="C21" s="382">
        <v>0</v>
      </c>
      <c r="D21" s="109">
        <v>10000000</v>
      </c>
      <c r="E21" s="109">
        <v>0</v>
      </c>
      <c r="F21" s="109">
        <v>0</v>
      </c>
      <c r="G21" s="109">
        <v>0</v>
      </c>
      <c r="H21" s="109">
        <v>0</v>
      </c>
      <c r="I21" s="109">
        <v>-10000000</v>
      </c>
      <c r="J21" s="75">
        <f t="shared" si="2"/>
        <v>-10000000</v>
      </c>
      <c r="K21" s="75">
        <f t="shared" si="3"/>
        <v>0</v>
      </c>
      <c r="L21" s="109">
        <v>0</v>
      </c>
      <c r="M21" s="110">
        <v>0</v>
      </c>
      <c r="N21" s="844"/>
    </row>
    <row r="22" spans="1:14" ht="12.75" customHeight="1" x14ac:dyDescent="0.25">
      <c r="A22" s="589" t="s">
        <v>1581</v>
      </c>
      <c r="B22" s="73"/>
      <c r="C22" s="382">
        <v>0</v>
      </c>
      <c r="D22" s="109">
        <v>0</v>
      </c>
      <c r="E22" s="109">
        <v>0</v>
      </c>
      <c r="F22" s="109">
        <v>0</v>
      </c>
      <c r="G22" s="109">
        <v>0</v>
      </c>
      <c r="H22" s="109">
        <v>0</v>
      </c>
      <c r="I22" s="109">
        <v>0</v>
      </c>
      <c r="J22" s="75">
        <f t="shared" si="2"/>
        <v>0</v>
      </c>
      <c r="K22" s="75">
        <f t="shared" si="3"/>
        <v>0</v>
      </c>
      <c r="L22" s="109">
        <v>978241</v>
      </c>
      <c r="M22" s="110">
        <v>1436435</v>
      </c>
      <c r="N22" s="839"/>
    </row>
    <row r="23" spans="1:14" ht="12.75" customHeight="1" x14ac:dyDescent="0.25">
      <c r="A23" s="589" t="s">
        <v>1582</v>
      </c>
      <c r="B23" s="73"/>
      <c r="C23" s="382">
        <v>0</v>
      </c>
      <c r="D23" s="109">
        <v>0</v>
      </c>
      <c r="E23" s="109">
        <v>0</v>
      </c>
      <c r="F23" s="109">
        <v>0</v>
      </c>
      <c r="G23" s="109">
        <v>0</v>
      </c>
      <c r="H23" s="109">
        <v>0</v>
      </c>
      <c r="I23" s="109">
        <v>0</v>
      </c>
      <c r="J23" s="75">
        <f t="shared" si="2"/>
        <v>0</v>
      </c>
      <c r="K23" s="75">
        <f t="shared" si="3"/>
        <v>0</v>
      </c>
      <c r="L23" s="109">
        <v>0</v>
      </c>
      <c r="M23" s="110">
        <v>0</v>
      </c>
      <c r="N23" s="844"/>
    </row>
    <row r="24" spans="1:14" ht="12.75" customHeight="1" x14ac:dyDescent="0.25">
      <c r="A24" s="589" t="s">
        <v>1583</v>
      </c>
      <c r="B24" s="73"/>
      <c r="C24" s="382">
        <v>0</v>
      </c>
      <c r="D24" s="109">
        <v>0</v>
      </c>
      <c r="E24" s="109">
        <v>0</v>
      </c>
      <c r="F24" s="109">
        <v>0</v>
      </c>
      <c r="G24" s="109">
        <v>0</v>
      </c>
      <c r="H24" s="109">
        <v>0</v>
      </c>
      <c r="I24" s="109">
        <v>0</v>
      </c>
      <c r="J24" s="75">
        <f t="shared" si="2"/>
        <v>0</v>
      </c>
      <c r="K24" s="75">
        <f t="shared" si="3"/>
        <v>0</v>
      </c>
      <c r="L24" s="109">
        <v>0</v>
      </c>
      <c r="M24" s="110">
        <v>0</v>
      </c>
      <c r="N24" s="839"/>
    </row>
    <row r="25" spans="1:14" ht="12.75" customHeight="1" x14ac:dyDescent="0.25">
      <c r="A25" s="589" t="s">
        <v>1584</v>
      </c>
      <c r="B25" s="73"/>
      <c r="C25" s="382">
        <v>0</v>
      </c>
      <c r="D25" s="109">
        <v>0</v>
      </c>
      <c r="E25" s="109">
        <v>0</v>
      </c>
      <c r="F25" s="109">
        <v>0</v>
      </c>
      <c r="G25" s="109">
        <v>0</v>
      </c>
      <c r="H25" s="109">
        <v>0</v>
      </c>
      <c r="I25" s="109">
        <v>0</v>
      </c>
      <c r="J25" s="75">
        <f t="shared" si="2"/>
        <v>0</v>
      </c>
      <c r="K25" s="75">
        <f t="shared" si="3"/>
        <v>0</v>
      </c>
      <c r="L25" s="109">
        <v>0</v>
      </c>
      <c r="M25" s="110">
        <v>0</v>
      </c>
      <c r="N25" s="844"/>
    </row>
    <row r="26" spans="1:14" ht="12.75" customHeight="1" x14ac:dyDescent="0.25">
      <c r="A26" s="589" t="s">
        <v>1585</v>
      </c>
      <c r="B26" s="73"/>
      <c r="C26" s="382">
        <v>0</v>
      </c>
      <c r="D26" s="109">
        <v>0</v>
      </c>
      <c r="E26" s="109">
        <v>0</v>
      </c>
      <c r="F26" s="109">
        <v>0</v>
      </c>
      <c r="G26" s="109">
        <v>0</v>
      </c>
      <c r="H26" s="109">
        <v>0</v>
      </c>
      <c r="I26" s="109">
        <v>0</v>
      </c>
      <c r="J26" s="75">
        <f t="shared" si="2"/>
        <v>0</v>
      </c>
      <c r="K26" s="75">
        <f t="shared" si="3"/>
        <v>0</v>
      </c>
      <c r="L26" s="109">
        <v>0</v>
      </c>
      <c r="M26" s="110">
        <v>0</v>
      </c>
      <c r="N26" s="839"/>
    </row>
    <row r="27" spans="1:14" ht="12.75" customHeight="1" x14ac:dyDescent="0.25">
      <c r="A27" s="589" t="s">
        <v>1572</v>
      </c>
      <c r="B27" s="73"/>
      <c r="C27" s="382">
        <v>0</v>
      </c>
      <c r="D27" s="109">
        <v>0</v>
      </c>
      <c r="E27" s="109">
        <v>0</v>
      </c>
      <c r="F27" s="109">
        <v>0</v>
      </c>
      <c r="G27" s="109">
        <v>0</v>
      </c>
      <c r="H27" s="109">
        <v>0</v>
      </c>
      <c r="I27" s="109">
        <v>0</v>
      </c>
      <c r="J27" s="75">
        <f t="shared" si="2"/>
        <v>0</v>
      </c>
      <c r="K27" s="75">
        <f t="shared" si="3"/>
        <v>0</v>
      </c>
      <c r="L27" s="109">
        <v>0</v>
      </c>
      <c r="M27" s="110">
        <v>0</v>
      </c>
      <c r="N27" s="844"/>
    </row>
    <row r="28" spans="1:14" ht="12.75" customHeight="1" x14ac:dyDescent="0.25">
      <c r="A28" s="590" t="s">
        <v>1586</v>
      </c>
      <c r="B28" s="73"/>
      <c r="C28" s="1122">
        <f t="shared" ref="C28:M28" si="6">SUM(C29:C38)</f>
        <v>20000000</v>
      </c>
      <c r="D28" s="132">
        <f t="shared" si="6"/>
        <v>15000000</v>
      </c>
      <c r="E28" s="132">
        <f t="shared" si="6"/>
        <v>0</v>
      </c>
      <c r="F28" s="132">
        <f t="shared" si="6"/>
        <v>0</v>
      </c>
      <c r="G28" s="132">
        <f t="shared" si="6"/>
        <v>0</v>
      </c>
      <c r="H28" s="132">
        <f t="shared" si="6"/>
        <v>0</v>
      </c>
      <c r="I28" s="132">
        <f t="shared" si="6"/>
        <v>-6000000</v>
      </c>
      <c r="J28" s="75">
        <f t="shared" si="2"/>
        <v>-6000000</v>
      </c>
      <c r="K28" s="75">
        <f t="shared" si="3"/>
        <v>9000000</v>
      </c>
      <c r="L28" s="132">
        <f t="shared" si="6"/>
        <v>10000000</v>
      </c>
      <c r="M28" s="133">
        <f t="shared" si="6"/>
        <v>7000000</v>
      </c>
      <c r="N28" s="844"/>
    </row>
    <row r="29" spans="1:14" ht="12.75" customHeight="1" x14ac:dyDescent="0.25">
      <c r="A29" s="589" t="s">
        <v>1587</v>
      </c>
      <c r="B29" s="73"/>
      <c r="C29" s="382">
        <v>0</v>
      </c>
      <c r="D29" s="109">
        <v>0</v>
      </c>
      <c r="E29" s="109">
        <v>0</v>
      </c>
      <c r="F29" s="109">
        <v>0</v>
      </c>
      <c r="G29" s="109">
        <v>0</v>
      </c>
      <c r="H29" s="109">
        <v>0</v>
      </c>
      <c r="I29" s="109">
        <v>0</v>
      </c>
      <c r="J29" s="75">
        <f t="shared" si="2"/>
        <v>0</v>
      </c>
      <c r="K29" s="75">
        <f t="shared" si="3"/>
        <v>0</v>
      </c>
      <c r="L29" s="109">
        <v>0</v>
      </c>
      <c r="M29" s="110">
        <v>0</v>
      </c>
      <c r="N29" s="844"/>
    </row>
    <row r="30" spans="1:14" ht="12.6" customHeight="1" x14ac:dyDescent="0.25">
      <c r="A30" s="589" t="s">
        <v>1588</v>
      </c>
      <c r="B30" s="73"/>
      <c r="C30" s="382">
        <v>0</v>
      </c>
      <c r="D30" s="109">
        <v>0</v>
      </c>
      <c r="E30" s="109">
        <v>0</v>
      </c>
      <c r="F30" s="109">
        <v>0</v>
      </c>
      <c r="G30" s="109">
        <v>0</v>
      </c>
      <c r="H30" s="109">
        <v>0</v>
      </c>
      <c r="I30" s="109">
        <v>0</v>
      </c>
      <c r="J30" s="75">
        <f t="shared" si="2"/>
        <v>0</v>
      </c>
      <c r="K30" s="75">
        <f t="shared" si="3"/>
        <v>0</v>
      </c>
      <c r="L30" s="109">
        <v>0</v>
      </c>
      <c r="M30" s="110">
        <v>0</v>
      </c>
      <c r="N30" s="844"/>
    </row>
    <row r="31" spans="1:14" ht="12.75" customHeight="1" x14ac:dyDescent="0.25">
      <c r="A31" s="589" t="s">
        <v>1589</v>
      </c>
      <c r="B31" s="73"/>
      <c r="C31" s="382">
        <v>0</v>
      </c>
      <c r="D31" s="109">
        <v>0</v>
      </c>
      <c r="E31" s="109">
        <v>0</v>
      </c>
      <c r="F31" s="109">
        <v>0</v>
      </c>
      <c r="G31" s="109">
        <v>0</v>
      </c>
      <c r="H31" s="109">
        <v>0</v>
      </c>
      <c r="I31" s="109">
        <v>0</v>
      </c>
      <c r="J31" s="75">
        <f t="shared" si="2"/>
        <v>0</v>
      </c>
      <c r="K31" s="75">
        <f t="shared" si="3"/>
        <v>0</v>
      </c>
      <c r="L31" s="109">
        <v>0</v>
      </c>
      <c r="M31" s="110">
        <v>0</v>
      </c>
      <c r="N31" s="844"/>
    </row>
    <row r="32" spans="1:14" ht="12.75" customHeight="1" x14ac:dyDescent="0.25">
      <c r="A32" s="589" t="s">
        <v>1590</v>
      </c>
      <c r="B32" s="73"/>
      <c r="C32" s="382">
        <v>0</v>
      </c>
      <c r="D32" s="109">
        <v>0</v>
      </c>
      <c r="E32" s="109">
        <v>0</v>
      </c>
      <c r="F32" s="109">
        <v>0</v>
      </c>
      <c r="G32" s="109">
        <v>0</v>
      </c>
      <c r="H32" s="109">
        <v>0</v>
      </c>
      <c r="I32" s="109">
        <v>0</v>
      </c>
      <c r="J32" s="75">
        <f t="shared" si="2"/>
        <v>0</v>
      </c>
      <c r="K32" s="75">
        <f t="shared" si="3"/>
        <v>0</v>
      </c>
      <c r="L32" s="109">
        <v>0</v>
      </c>
      <c r="M32" s="110">
        <v>0</v>
      </c>
      <c r="N32" s="839"/>
    </row>
    <row r="33" spans="1:14" ht="12.75" customHeight="1" x14ac:dyDescent="0.25">
      <c r="A33" s="589" t="s">
        <v>1591</v>
      </c>
      <c r="B33" s="73"/>
      <c r="C33" s="382">
        <v>10000000</v>
      </c>
      <c r="D33" s="109">
        <v>10000000</v>
      </c>
      <c r="E33" s="109">
        <v>0</v>
      </c>
      <c r="F33" s="109">
        <v>0</v>
      </c>
      <c r="G33" s="109">
        <v>0</v>
      </c>
      <c r="H33" s="109">
        <v>0</v>
      </c>
      <c r="I33" s="109">
        <v>-6000000</v>
      </c>
      <c r="J33" s="75">
        <f t="shared" si="2"/>
        <v>-6000000</v>
      </c>
      <c r="K33" s="75">
        <f t="shared" si="3"/>
        <v>4000000</v>
      </c>
      <c r="L33" s="109">
        <v>0</v>
      </c>
      <c r="M33" s="110">
        <v>7000000</v>
      </c>
      <c r="N33" s="844"/>
    </row>
    <row r="34" spans="1:14" ht="12.75" customHeight="1" x14ac:dyDescent="0.25">
      <c r="A34" s="589" t="s">
        <v>1592</v>
      </c>
      <c r="B34" s="73"/>
      <c r="C34" s="382">
        <v>5000000</v>
      </c>
      <c r="D34" s="109">
        <v>0</v>
      </c>
      <c r="E34" s="109">
        <v>0</v>
      </c>
      <c r="F34" s="109">
        <v>0</v>
      </c>
      <c r="G34" s="109">
        <v>0</v>
      </c>
      <c r="H34" s="109">
        <v>0</v>
      </c>
      <c r="I34" s="109">
        <v>0</v>
      </c>
      <c r="J34" s="75">
        <f t="shared" si="2"/>
        <v>0</v>
      </c>
      <c r="K34" s="75">
        <f t="shared" si="3"/>
        <v>5000000</v>
      </c>
      <c r="L34" s="109">
        <v>5000000</v>
      </c>
      <c r="M34" s="110">
        <v>0</v>
      </c>
      <c r="N34" s="839"/>
    </row>
    <row r="35" spans="1:14" ht="12.75" customHeight="1" x14ac:dyDescent="0.25">
      <c r="A35" s="589" t="s">
        <v>1593</v>
      </c>
      <c r="B35" s="73"/>
      <c r="C35" s="382">
        <v>5000000</v>
      </c>
      <c r="D35" s="109">
        <v>5000000</v>
      </c>
      <c r="E35" s="109">
        <v>0</v>
      </c>
      <c r="F35" s="109">
        <v>0</v>
      </c>
      <c r="G35" s="109">
        <v>0</v>
      </c>
      <c r="H35" s="109">
        <v>0</v>
      </c>
      <c r="I35" s="109">
        <v>0</v>
      </c>
      <c r="J35" s="75">
        <f t="shared" si="2"/>
        <v>0</v>
      </c>
      <c r="K35" s="75">
        <f t="shared" si="3"/>
        <v>5000000</v>
      </c>
      <c r="L35" s="109">
        <v>5000000</v>
      </c>
      <c r="M35" s="110">
        <v>0</v>
      </c>
      <c r="N35" s="844"/>
    </row>
    <row r="36" spans="1:14" ht="12.75" customHeight="1" x14ac:dyDescent="0.25">
      <c r="A36" s="589" t="s">
        <v>1594</v>
      </c>
      <c r="B36" s="73"/>
      <c r="C36" s="382">
        <v>0</v>
      </c>
      <c r="D36" s="109">
        <v>0</v>
      </c>
      <c r="E36" s="109">
        <v>0</v>
      </c>
      <c r="F36" s="109">
        <v>0</v>
      </c>
      <c r="G36" s="109">
        <v>0</v>
      </c>
      <c r="H36" s="109">
        <v>0</v>
      </c>
      <c r="I36" s="109">
        <v>0</v>
      </c>
      <c r="J36" s="75">
        <f t="shared" si="2"/>
        <v>0</v>
      </c>
      <c r="K36" s="75">
        <f t="shared" si="3"/>
        <v>0</v>
      </c>
      <c r="L36" s="109">
        <v>0</v>
      </c>
      <c r="M36" s="110">
        <v>0</v>
      </c>
      <c r="N36" s="839"/>
    </row>
    <row r="37" spans="1:14" ht="12.75" customHeight="1" x14ac:dyDescent="0.25">
      <c r="A37" s="589" t="s">
        <v>1595</v>
      </c>
      <c r="B37" s="73"/>
      <c r="C37" s="382">
        <v>0</v>
      </c>
      <c r="D37" s="109">
        <v>0</v>
      </c>
      <c r="E37" s="109">
        <v>0</v>
      </c>
      <c r="F37" s="109">
        <v>0</v>
      </c>
      <c r="G37" s="109">
        <v>0</v>
      </c>
      <c r="H37" s="109">
        <v>0</v>
      </c>
      <c r="I37" s="109">
        <v>0</v>
      </c>
      <c r="J37" s="75">
        <f t="shared" si="2"/>
        <v>0</v>
      </c>
      <c r="K37" s="75">
        <f t="shared" si="3"/>
        <v>0</v>
      </c>
      <c r="L37" s="109">
        <v>0</v>
      </c>
      <c r="M37" s="110">
        <v>0</v>
      </c>
      <c r="N37" s="844"/>
    </row>
    <row r="38" spans="1:14" ht="12.75" customHeight="1" x14ac:dyDescent="0.25">
      <c r="A38" s="589" t="s">
        <v>1572</v>
      </c>
      <c r="B38" s="73"/>
      <c r="C38" s="382">
        <v>0</v>
      </c>
      <c r="D38" s="109">
        <v>0</v>
      </c>
      <c r="E38" s="109">
        <v>0</v>
      </c>
      <c r="F38" s="109">
        <v>0</v>
      </c>
      <c r="G38" s="109">
        <v>0</v>
      </c>
      <c r="H38" s="109">
        <v>0</v>
      </c>
      <c r="I38" s="109">
        <v>0</v>
      </c>
      <c r="J38" s="75">
        <f t="shared" si="2"/>
        <v>0</v>
      </c>
      <c r="K38" s="75">
        <f t="shared" si="3"/>
        <v>0</v>
      </c>
      <c r="L38" s="109">
        <v>0</v>
      </c>
      <c r="M38" s="110">
        <v>0</v>
      </c>
      <c r="N38" s="844"/>
    </row>
    <row r="39" spans="1:14" ht="12.75" customHeight="1" x14ac:dyDescent="0.25">
      <c r="A39" s="590" t="s">
        <v>1596</v>
      </c>
      <c r="B39" s="73"/>
      <c r="C39" s="1122">
        <f>SUM(C40:C45)</f>
        <v>154157000</v>
      </c>
      <c r="D39" s="132">
        <f t="shared" ref="D39:M39" si="7">SUM(D40:D45)</f>
        <v>120846000</v>
      </c>
      <c r="E39" s="132">
        <f t="shared" si="7"/>
        <v>0</v>
      </c>
      <c r="F39" s="132">
        <f t="shared" si="7"/>
        <v>0</v>
      </c>
      <c r="G39" s="132">
        <f t="shared" si="7"/>
        <v>0</v>
      </c>
      <c r="H39" s="132">
        <f t="shared" si="7"/>
        <v>0</v>
      </c>
      <c r="I39" s="132">
        <f t="shared" si="7"/>
        <v>-5743947</v>
      </c>
      <c r="J39" s="75">
        <f t="shared" si="2"/>
        <v>-5743947</v>
      </c>
      <c r="K39" s="75">
        <f t="shared" si="3"/>
        <v>115102053</v>
      </c>
      <c r="L39" s="132">
        <f t="shared" si="7"/>
        <v>32353620</v>
      </c>
      <c r="M39" s="133">
        <f t="shared" si="7"/>
        <v>0</v>
      </c>
      <c r="N39" s="128"/>
    </row>
    <row r="40" spans="1:14" ht="12.75" customHeight="1" x14ac:dyDescent="0.25">
      <c r="A40" s="589" t="s">
        <v>1597</v>
      </c>
      <c r="B40" s="73"/>
      <c r="C40" s="382">
        <v>0</v>
      </c>
      <c r="D40" s="109">
        <v>0</v>
      </c>
      <c r="E40" s="109">
        <v>0</v>
      </c>
      <c r="F40" s="109">
        <v>0</v>
      </c>
      <c r="G40" s="109">
        <v>0</v>
      </c>
      <c r="H40" s="109">
        <v>0</v>
      </c>
      <c r="I40" s="109">
        <v>0</v>
      </c>
      <c r="J40" s="75">
        <f t="shared" si="2"/>
        <v>0</v>
      </c>
      <c r="K40" s="75">
        <f t="shared" si="3"/>
        <v>0</v>
      </c>
      <c r="L40" s="109">
        <v>0</v>
      </c>
      <c r="M40" s="110">
        <v>0</v>
      </c>
      <c r="N40" s="839"/>
    </row>
    <row r="41" spans="1:14" ht="12.75" customHeight="1" x14ac:dyDescent="0.25">
      <c r="A41" s="589" t="s">
        <v>485</v>
      </c>
      <c r="B41" s="73"/>
      <c r="C41" s="382">
        <v>0</v>
      </c>
      <c r="D41" s="109">
        <v>0</v>
      </c>
      <c r="E41" s="109">
        <v>0</v>
      </c>
      <c r="F41" s="109">
        <v>0</v>
      </c>
      <c r="G41" s="109">
        <v>0</v>
      </c>
      <c r="H41" s="109">
        <v>0</v>
      </c>
      <c r="I41" s="109">
        <v>0</v>
      </c>
      <c r="J41" s="75">
        <f t="shared" si="2"/>
        <v>0</v>
      </c>
      <c r="K41" s="75">
        <f t="shared" si="3"/>
        <v>0</v>
      </c>
      <c r="L41" s="109">
        <v>0</v>
      </c>
      <c r="M41" s="110">
        <v>0</v>
      </c>
      <c r="N41" s="839"/>
    </row>
    <row r="42" spans="1:14" ht="12.75" customHeight="1" x14ac:dyDescent="0.25">
      <c r="A42" s="589" t="s">
        <v>1598</v>
      </c>
      <c r="B42" s="73"/>
      <c r="C42" s="382">
        <v>154157000</v>
      </c>
      <c r="D42" s="109">
        <v>120846000</v>
      </c>
      <c r="E42" s="109">
        <v>0</v>
      </c>
      <c r="F42" s="109">
        <v>0</v>
      </c>
      <c r="G42" s="109">
        <v>0</v>
      </c>
      <c r="H42" s="109">
        <v>0</v>
      </c>
      <c r="I42" s="109">
        <v>-5743947</v>
      </c>
      <c r="J42" s="75">
        <f t="shared" si="2"/>
        <v>-5743947</v>
      </c>
      <c r="K42" s="75">
        <f t="shared" si="3"/>
        <v>115102053</v>
      </c>
      <c r="L42" s="109">
        <v>32353620</v>
      </c>
      <c r="M42" s="110">
        <v>0</v>
      </c>
      <c r="N42" s="844"/>
    </row>
    <row r="43" spans="1:14" ht="12.75" customHeight="1" x14ac:dyDescent="0.25">
      <c r="A43" s="589" t="s">
        <v>1599</v>
      </c>
      <c r="B43" s="73"/>
      <c r="C43" s="382">
        <v>0</v>
      </c>
      <c r="D43" s="109">
        <v>0</v>
      </c>
      <c r="E43" s="109">
        <v>0</v>
      </c>
      <c r="F43" s="109">
        <v>0</v>
      </c>
      <c r="G43" s="109">
        <v>0</v>
      </c>
      <c r="H43" s="109">
        <v>0</v>
      </c>
      <c r="I43" s="109">
        <v>0</v>
      </c>
      <c r="J43" s="75">
        <f t="shared" si="2"/>
        <v>0</v>
      </c>
      <c r="K43" s="75">
        <f t="shared" si="3"/>
        <v>0</v>
      </c>
      <c r="L43" s="109">
        <v>0</v>
      </c>
      <c r="M43" s="110">
        <v>0</v>
      </c>
      <c r="N43" s="844"/>
    </row>
    <row r="44" spans="1:14" ht="12.75" customHeight="1" x14ac:dyDescent="0.25">
      <c r="A44" s="589" t="s">
        <v>1600</v>
      </c>
      <c r="B44" s="73"/>
      <c r="C44" s="382">
        <v>0</v>
      </c>
      <c r="D44" s="109">
        <v>0</v>
      </c>
      <c r="E44" s="109">
        <v>0</v>
      </c>
      <c r="F44" s="109">
        <v>0</v>
      </c>
      <c r="G44" s="109">
        <v>0</v>
      </c>
      <c r="H44" s="109">
        <v>0</v>
      </c>
      <c r="I44" s="109">
        <v>0</v>
      </c>
      <c r="J44" s="75">
        <f t="shared" si="2"/>
        <v>0</v>
      </c>
      <c r="K44" s="75">
        <f t="shared" si="3"/>
        <v>0</v>
      </c>
      <c r="L44" s="109">
        <v>0</v>
      </c>
      <c r="M44" s="110">
        <v>0</v>
      </c>
      <c r="N44" s="839"/>
    </row>
    <row r="45" spans="1:14" ht="12.75" customHeight="1" x14ac:dyDescent="0.25">
      <c r="A45" s="589" t="s">
        <v>1572</v>
      </c>
      <c r="B45" s="73"/>
      <c r="C45" s="382">
        <v>0</v>
      </c>
      <c r="D45" s="109">
        <v>0</v>
      </c>
      <c r="E45" s="109">
        <v>0</v>
      </c>
      <c r="F45" s="109">
        <v>0</v>
      </c>
      <c r="G45" s="109">
        <v>0</v>
      </c>
      <c r="H45" s="109">
        <v>0</v>
      </c>
      <c r="I45" s="109">
        <v>0</v>
      </c>
      <c r="J45" s="75">
        <f t="shared" si="2"/>
        <v>0</v>
      </c>
      <c r="K45" s="75">
        <f t="shared" si="3"/>
        <v>0</v>
      </c>
      <c r="L45" s="109">
        <v>0</v>
      </c>
      <c r="M45" s="110">
        <v>0</v>
      </c>
      <c r="N45" s="844"/>
    </row>
    <row r="46" spans="1:14" ht="12.75" customHeight="1" x14ac:dyDescent="0.25">
      <c r="A46" s="590" t="s">
        <v>1601</v>
      </c>
      <c r="B46" s="73"/>
      <c r="C46" s="1122">
        <f>SUM(C47:C53)</f>
        <v>0</v>
      </c>
      <c r="D46" s="132">
        <f t="shared" ref="D46:M46" si="8">SUM(D47:D53)</f>
        <v>0</v>
      </c>
      <c r="E46" s="132">
        <f t="shared" si="8"/>
        <v>0</v>
      </c>
      <c r="F46" s="132">
        <f t="shared" si="8"/>
        <v>0</v>
      </c>
      <c r="G46" s="132">
        <f t="shared" si="8"/>
        <v>0</v>
      </c>
      <c r="H46" s="132">
        <f t="shared" si="8"/>
        <v>0</v>
      </c>
      <c r="I46" s="132">
        <f t="shared" si="8"/>
        <v>1656914</v>
      </c>
      <c r="J46" s="75">
        <f t="shared" si="2"/>
        <v>1656914</v>
      </c>
      <c r="K46" s="75">
        <f t="shared" si="3"/>
        <v>1656914</v>
      </c>
      <c r="L46" s="132">
        <f t="shared" si="8"/>
        <v>0</v>
      </c>
      <c r="M46" s="133">
        <f t="shared" si="8"/>
        <v>0</v>
      </c>
      <c r="N46" s="128"/>
    </row>
    <row r="47" spans="1:14" ht="12.75" customHeight="1" x14ac:dyDescent="0.25">
      <c r="A47" s="589" t="s">
        <v>1602</v>
      </c>
      <c r="B47" s="73"/>
      <c r="C47" s="382">
        <v>0</v>
      </c>
      <c r="D47" s="109">
        <v>0</v>
      </c>
      <c r="E47" s="109">
        <v>0</v>
      </c>
      <c r="F47" s="109">
        <v>0</v>
      </c>
      <c r="G47" s="109">
        <v>0</v>
      </c>
      <c r="H47" s="109">
        <v>0</v>
      </c>
      <c r="I47" s="109">
        <v>0</v>
      </c>
      <c r="J47" s="75">
        <f t="shared" si="2"/>
        <v>0</v>
      </c>
      <c r="K47" s="75">
        <f t="shared" si="3"/>
        <v>0</v>
      </c>
      <c r="L47" s="109">
        <v>0</v>
      </c>
      <c r="M47" s="110">
        <v>0</v>
      </c>
      <c r="N47" s="839"/>
    </row>
    <row r="48" spans="1:14" ht="12.75" customHeight="1" x14ac:dyDescent="0.25">
      <c r="A48" s="589" t="s">
        <v>1603</v>
      </c>
      <c r="B48" s="73"/>
      <c r="C48" s="382">
        <v>0</v>
      </c>
      <c r="D48" s="109">
        <v>0</v>
      </c>
      <c r="E48" s="109">
        <v>0</v>
      </c>
      <c r="F48" s="109">
        <v>0</v>
      </c>
      <c r="G48" s="109">
        <v>0</v>
      </c>
      <c r="H48" s="109">
        <v>0</v>
      </c>
      <c r="I48" s="109">
        <v>1656914</v>
      </c>
      <c r="J48" s="75">
        <f t="shared" si="2"/>
        <v>1656914</v>
      </c>
      <c r="K48" s="75">
        <f t="shared" si="3"/>
        <v>1656914</v>
      </c>
      <c r="L48" s="109">
        <v>0</v>
      </c>
      <c r="M48" s="110">
        <v>0</v>
      </c>
      <c r="N48" s="839"/>
    </row>
    <row r="49" spans="1:14" ht="12.75" customHeight="1" x14ac:dyDescent="0.25">
      <c r="A49" s="589" t="s">
        <v>1604</v>
      </c>
      <c r="B49" s="73"/>
      <c r="C49" s="382">
        <v>0</v>
      </c>
      <c r="D49" s="109">
        <v>0</v>
      </c>
      <c r="E49" s="109">
        <v>0</v>
      </c>
      <c r="F49" s="109">
        <v>0</v>
      </c>
      <c r="G49" s="109">
        <v>0</v>
      </c>
      <c r="H49" s="109">
        <v>0</v>
      </c>
      <c r="I49" s="109">
        <v>0</v>
      </c>
      <c r="J49" s="75">
        <f t="shared" si="2"/>
        <v>0</v>
      </c>
      <c r="K49" s="75">
        <f t="shared" si="3"/>
        <v>0</v>
      </c>
      <c r="L49" s="109">
        <v>0</v>
      </c>
      <c r="M49" s="110">
        <v>0</v>
      </c>
      <c r="N49" s="844"/>
    </row>
    <row r="50" spans="1:14" ht="12.75" customHeight="1" x14ac:dyDescent="0.25">
      <c r="A50" s="589" t="s">
        <v>1605</v>
      </c>
      <c r="B50" s="73"/>
      <c r="C50" s="382">
        <v>0</v>
      </c>
      <c r="D50" s="109">
        <v>0</v>
      </c>
      <c r="E50" s="109">
        <v>0</v>
      </c>
      <c r="F50" s="109">
        <v>0</v>
      </c>
      <c r="G50" s="109">
        <v>0</v>
      </c>
      <c r="H50" s="109">
        <v>0</v>
      </c>
      <c r="I50" s="109">
        <v>0</v>
      </c>
      <c r="J50" s="75">
        <f t="shared" si="2"/>
        <v>0</v>
      </c>
      <c r="K50" s="75">
        <f t="shared" si="3"/>
        <v>0</v>
      </c>
      <c r="L50" s="109">
        <v>0</v>
      </c>
      <c r="M50" s="110">
        <v>0</v>
      </c>
      <c r="N50" s="844"/>
    </row>
    <row r="51" spans="1:14" ht="12.75" customHeight="1" x14ac:dyDescent="0.25">
      <c r="A51" s="589" t="s">
        <v>1606</v>
      </c>
      <c r="B51" s="73"/>
      <c r="C51" s="382">
        <v>0</v>
      </c>
      <c r="D51" s="109">
        <v>0</v>
      </c>
      <c r="E51" s="109">
        <v>0</v>
      </c>
      <c r="F51" s="109">
        <v>0</v>
      </c>
      <c r="G51" s="109">
        <v>0</v>
      </c>
      <c r="H51" s="109">
        <v>0</v>
      </c>
      <c r="I51" s="109">
        <v>0</v>
      </c>
      <c r="J51" s="75">
        <f t="shared" si="2"/>
        <v>0</v>
      </c>
      <c r="K51" s="75">
        <f t="shared" si="3"/>
        <v>0</v>
      </c>
      <c r="L51" s="109">
        <v>0</v>
      </c>
      <c r="M51" s="110">
        <v>0</v>
      </c>
      <c r="N51" s="844"/>
    </row>
    <row r="52" spans="1:14" ht="12.75" customHeight="1" x14ac:dyDescent="0.25">
      <c r="A52" s="589" t="s">
        <v>1607</v>
      </c>
      <c r="B52" s="73"/>
      <c r="C52" s="382">
        <v>0</v>
      </c>
      <c r="D52" s="109">
        <v>0</v>
      </c>
      <c r="E52" s="109">
        <v>0</v>
      </c>
      <c r="F52" s="109">
        <v>0</v>
      </c>
      <c r="G52" s="109">
        <v>0</v>
      </c>
      <c r="H52" s="109">
        <v>0</v>
      </c>
      <c r="I52" s="109">
        <v>0</v>
      </c>
      <c r="J52" s="75">
        <f t="shared" si="2"/>
        <v>0</v>
      </c>
      <c r="K52" s="75">
        <f t="shared" si="3"/>
        <v>0</v>
      </c>
      <c r="L52" s="109">
        <v>0</v>
      </c>
      <c r="M52" s="110">
        <v>0</v>
      </c>
      <c r="N52" s="839"/>
    </row>
    <row r="53" spans="1:14" ht="12.75" customHeight="1" x14ac:dyDescent="0.25">
      <c r="A53" s="589" t="s">
        <v>1572</v>
      </c>
      <c r="B53" s="73"/>
      <c r="C53" s="382">
        <v>0</v>
      </c>
      <c r="D53" s="109">
        <v>0</v>
      </c>
      <c r="E53" s="109">
        <v>0</v>
      </c>
      <c r="F53" s="109">
        <v>0</v>
      </c>
      <c r="G53" s="109">
        <v>0</v>
      </c>
      <c r="H53" s="109">
        <v>0</v>
      </c>
      <c r="I53" s="109">
        <v>0</v>
      </c>
      <c r="J53" s="75">
        <f t="shared" si="2"/>
        <v>0</v>
      </c>
      <c r="K53" s="75">
        <f t="shared" si="3"/>
        <v>0</v>
      </c>
      <c r="L53" s="109">
        <v>0</v>
      </c>
      <c r="M53" s="110">
        <v>0</v>
      </c>
      <c r="N53" s="844"/>
    </row>
    <row r="54" spans="1:14" ht="12.75" customHeight="1" x14ac:dyDescent="0.25">
      <c r="A54" s="588" t="s">
        <v>1608</v>
      </c>
      <c r="B54" s="73"/>
      <c r="C54" s="1122">
        <f>SUM(C55:C63)</f>
        <v>0</v>
      </c>
      <c r="D54" s="132">
        <f t="shared" ref="D54:M54" si="9">SUM(D55:D63)</f>
        <v>0</v>
      </c>
      <c r="E54" s="132">
        <f t="shared" si="9"/>
        <v>0</v>
      </c>
      <c r="F54" s="132">
        <f t="shared" si="9"/>
        <v>0</v>
      </c>
      <c r="G54" s="132">
        <f t="shared" si="9"/>
        <v>0</v>
      </c>
      <c r="H54" s="132">
        <f t="shared" si="9"/>
        <v>0</v>
      </c>
      <c r="I54" s="132">
        <f t="shared" si="9"/>
        <v>0</v>
      </c>
      <c r="J54" s="75">
        <f t="shared" si="2"/>
        <v>0</v>
      </c>
      <c r="K54" s="75">
        <f t="shared" si="3"/>
        <v>0</v>
      </c>
      <c r="L54" s="132">
        <f t="shared" si="9"/>
        <v>0</v>
      </c>
      <c r="M54" s="133">
        <f t="shared" si="9"/>
        <v>0</v>
      </c>
      <c r="N54" s="128"/>
    </row>
    <row r="55" spans="1:14" ht="12.75" customHeight="1" x14ac:dyDescent="0.25">
      <c r="A55" s="589" t="s">
        <v>1609</v>
      </c>
      <c r="B55" s="73"/>
      <c r="C55" s="382">
        <v>0</v>
      </c>
      <c r="D55" s="109">
        <v>0</v>
      </c>
      <c r="E55" s="109">
        <v>0</v>
      </c>
      <c r="F55" s="109">
        <v>0</v>
      </c>
      <c r="G55" s="109">
        <v>0</v>
      </c>
      <c r="H55" s="109">
        <v>0</v>
      </c>
      <c r="I55" s="109">
        <v>0</v>
      </c>
      <c r="J55" s="75">
        <f t="shared" si="2"/>
        <v>0</v>
      </c>
      <c r="K55" s="75">
        <f t="shared" si="3"/>
        <v>0</v>
      </c>
      <c r="L55" s="109">
        <v>0</v>
      </c>
      <c r="M55" s="110">
        <v>0</v>
      </c>
      <c r="N55" s="839"/>
    </row>
    <row r="56" spans="1:14" ht="12.75" customHeight="1" x14ac:dyDescent="0.25">
      <c r="A56" s="589" t="s">
        <v>1610</v>
      </c>
      <c r="B56" s="73"/>
      <c r="C56" s="382">
        <v>0</v>
      </c>
      <c r="D56" s="109">
        <v>0</v>
      </c>
      <c r="E56" s="109">
        <v>0</v>
      </c>
      <c r="F56" s="109">
        <v>0</v>
      </c>
      <c r="G56" s="109">
        <v>0</v>
      </c>
      <c r="H56" s="109">
        <v>0</v>
      </c>
      <c r="I56" s="109">
        <v>0</v>
      </c>
      <c r="J56" s="75">
        <f t="shared" si="2"/>
        <v>0</v>
      </c>
      <c r="K56" s="75">
        <f t="shared" si="3"/>
        <v>0</v>
      </c>
      <c r="L56" s="109">
        <v>0</v>
      </c>
      <c r="M56" s="110">
        <v>0</v>
      </c>
      <c r="N56" s="839"/>
    </row>
    <row r="57" spans="1:14" ht="12.75" customHeight="1" x14ac:dyDescent="0.25">
      <c r="A57" s="589" t="s">
        <v>1611</v>
      </c>
      <c r="B57" s="73"/>
      <c r="C57" s="382">
        <v>0</v>
      </c>
      <c r="D57" s="109">
        <v>0</v>
      </c>
      <c r="E57" s="109">
        <v>0</v>
      </c>
      <c r="F57" s="109">
        <v>0</v>
      </c>
      <c r="G57" s="109">
        <v>0</v>
      </c>
      <c r="H57" s="109">
        <v>0</v>
      </c>
      <c r="I57" s="109">
        <v>0</v>
      </c>
      <c r="J57" s="75">
        <f t="shared" si="2"/>
        <v>0</v>
      </c>
      <c r="K57" s="75">
        <f t="shared" si="3"/>
        <v>0</v>
      </c>
      <c r="L57" s="109">
        <v>0</v>
      </c>
      <c r="M57" s="110">
        <v>0</v>
      </c>
      <c r="N57" s="844"/>
    </row>
    <row r="58" spans="1:14" ht="12.75" customHeight="1" x14ac:dyDescent="0.25">
      <c r="A58" s="589" t="s">
        <v>1574</v>
      </c>
      <c r="B58" s="73"/>
      <c r="C58" s="382">
        <v>0</v>
      </c>
      <c r="D58" s="109">
        <v>0</v>
      </c>
      <c r="E58" s="109">
        <v>0</v>
      </c>
      <c r="F58" s="109">
        <v>0</v>
      </c>
      <c r="G58" s="109">
        <v>0</v>
      </c>
      <c r="H58" s="109">
        <v>0</v>
      </c>
      <c r="I58" s="109">
        <v>0</v>
      </c>
      <c r="J58" s="75">
        <f t="shared" si="2"/>
        <v>0</v>
      </c>
      <c r="K58" s="75">
        <f t="shared" si="3"/>
        <v>0</v>
      </c>
      <c r="L58" s="109">
        <v>0</v>
      </c>
      <c r="M58" s="110">
        <v>0</v>
      </c>
      <c r="N58" s="844"/>
    </row>
    <row r="59" spans="1:14" ht="12.75" customHeight="1" x14ac:dyDescent="0.25">
      <c r="A59" s="589" t="s">
        <v>1575</v>
      </c>
      <c r="B59" s="73"/>
      <c r="C59" s="382">
        <v>0</v>
      </c>
      <c r="D59" s="109">
        <v>0</v>
      </c>
      <c r="E59" s="109">
        <v>0</v>
      </c>
      <c r="F59" s="109">
        <v>0</v>
      </c>
      <c r="G59" s="109">
        <v>0</v>
      </c>
      <c r="H59" s="109">
        <v>0</v>
      </c>
      <c r="I59" s="109">
        <v>0</v>
      </c>
      <c r="J59" s="75">
        <f t="shared" si="2"/>
        <v>0</v>
      </c>
      <c r="K59" s="75">
        <f t="shared" si="3"/>
        <v>0</v>
      </c>
      <c r="L59" s="109">
        <v>0</v>
      </c>
      <c r="M59" s="110">
        <v>0</v>
      </c>
      <c r="N59" s="844"/>
    </row>
    <row r="60" spans="1:14" ht="12.75" customHeight="1" x14ac:dyDescent="0.25">
      <c r="A60" s="589" t="s">
        <v>1576</v>
      </c>
      <c r="B60" s="73"/>
      <c r="C60" s="382">
        <v>0</v>
      </c>
      <c r="D60" s="109">
        <v>0</v>
      </c>
      <c r="E60" s="109">
        <v>0</v>
      </c>
      <c r="F60" s="109">
        <v>0</v>
      </c>
      <c r="G60" s="109">
        <v>0</v>
      </c>
      <c r="H60" s="109">
        <v>0</v>
      </c>
      <c r="I60" s="109">
        <v>0</v>
      </c>
      <c r="J60" s="75">
        <f t="shared" si="2"/>
        <v>0</v>
      </c>
      <c r="K60" s="75">
        <f t="shared" si="3"/>
        <v>0</v>
      </c>
      <c r="L60" s="109">
        <v>0</v>
      </c>
      <c r="M60" s="110">
        <v>0</v>
      </c>
      <c r="N60" s="844"/>
    </row>
    <row r="61" spans="1:14" ht="12.75" customHeight="1" x14ac:dyDescent="0.25">
      <c r="A61" s="589" t="s">
        <v>1582</v>
      </c>
      <c r="B61" s="73"/>
      <c r="C61" s="382">
        <v>0</v>
      </c>
      <c r="D61" s="109">
        <v>0</v>
      </c>
      <c r="E61" s="109">
        <v>0</v>
      </c>
      <c r="F61" s="109">
        <v>0</v>
      </c>
      <c r="G61" s="109">
        <v>0</v>
      </c>
      <c r="H61" s="109">
        <v>0</v>
      </c>
      <c r="I61" s="109">
        <v>0</v>
      </c>
      <c r="J61" s="75">
        <f t="shared" si="2"/>
        <v>0</v>
      </c>
      <c r="K61" s="75">
        <f t="shared" si="3"/>
        <v>0</v>
      </c>
      <c r="L61" s="109">
        <v>0</v>
      </c>
      <c r="M61" s="110">
        <v>0</v>
      </c>
      <c r="N61" s="844"/>
    </row>
    <row r="62" spans="1:14" ht="12.75" customHeight="1" x14ac:dyDescent="0.25">
      <c r="A62" s="589" t="s">
        <v>1585</v>
      </c>
      <c r="B62" s="73"/>
      <c r="C62" s="382">
        <v>0</v>
      </c>
      <c r="D62" s="109">
        <v>0</v>
      </c>
      <c r="E62" s="109">
        <v>0</v>
      </c>
      <c r="F62" s="109">
        <v>0</v>
      </c>
      <c r="G62" s="109">
        <v>0</v>
      </c>
      <c r="H62" s="109">
        <v>0</v>
      </c>
      <c r="I62" s="109">
        <v>0</v>
      </c>
      <c r="J62" s="75">
        <f t="shared" si="2"/>
        <v>0</v>
      </c>
      <c r="K62" s="75">
        <f t="shared" si="3"/>
        <v>0</v>
      </c>
      <c r="L62" s="109">
        <v>0</v>
      </c>
      <c r="M62" s="110">
        <v>0</v>
      </c>
      <c r="N62" s="839"/>
    </row>
    <row r="63" spans="1:14" ht="12.75" customHeight="1" x14ac:dyDescent="0.25">
      <c r="A63" s="589" t="s">
        <v>1572</v>
      </c>
      <c r="B63" s="73"/>
      <c r="C63" s="382">
        <v>0</v>
      </c>
      <c r="D63" s="109">
        <v>0</v>
      </c>
      <c r="E63" s="109">
        <v>0</v>
      </c>
      <c r="F63" s="109">
        <v>0</v>
      </c>
      <c r="G63" s="109">
        <v>0</v>
      </c>
      <c r="H63" s="109">
        <v>0</v>
      </c>
      <c r="I63" s="109">
        <v>0</v>
      </c>
      <c r="J63" s="75">
        <f t="shared" si="2"/>
        <v>0</v>
      </c>
      <c r="K63" s="75">
        <f t="shared" si="3"/>
        <v>0</v>
      </c>
      <c r="L63" s="109">
        <v>0</v>
      </c>
      <c r="M63" s="110">
        <v>0</v>
      </c>
      <c r="N63" s="844"/>
    </row>
    <row r="64" spans="1:14" ht="12.75" customHeight="1" x14ac:dyDescent="0.25">
      <c r="A64" s="590" t="s">
        <v>1612</v>
      </c>
      <c r="B64" s="73"/>
      <c r="C64" s="1122">
        <f t="shared" ref="C64:M64" si="10">SUM(C65:C69)</f>
        <v>0</v>
      </c>
      <c r="D64" s="132">
        <f t="shared" si="10"/>
        <v>0</v>
      </c>
      <c r="E64" s="132">
        <f t="shared" si="10"/>
        <v>0</v>
      </c>
      <c r="F64" s="132">
        <f t="shared" si="10"/>
        <v>0</v>
      </c>
      <c r="G64" s="132">
        <f t="shared" si="10"/>
        <v>0</v>
      </c>
      <c r="H64" s="132">
        <f t="shared" si="10"/>
        <v>0</v>
      </c>
      <c r="I64" s="132">
        <f t="shared" si="10"/>
        <v>0</v>
      </c>
      <c r="J64" s="75">
        <f t="shared" si="2"/>
        <v>0</v>
      </c>
      <c r="K64" s="75">
        <f t="shared" si="3"/>
        <v>0</v>
      </c>
      <c r="L64" s="132">
        <f t="shared" si="10"/>
        <v>0</v>
      </c>
      <c r="M64" s="133">
        <f t="shared" si="10"/>
        <v>0</v>
      </c>
      <c r="N64" s="128"/>
    </row>
    <row r="65" spans="1:14" ht="12.75" customHeight="1" x14ac:dyDescent="0.25">
      <c r="A65" s="589" t="s">
        <v>1613</v>
      </c>
      <c r="B65" s="73"/>
      <c r="C65" s="382">
        <v>0</v>
      </c>
      <c r="D65" s="109">
        <v>0</v>
      </c>
      <c r="E65" s="109">
        <v>0</v>
      </c>
      <c r="F65" s="109">
        <v>0</v>
      </c>
      <c r="G65" s="109">
        <v>0</v>
      </c>
      <c r="H65" s="109">
        <v>0</v>
      </c>
      <c r="I65" s="109">
        <v>0</v>
      </c>
      <c r="J65" s="75">
        <f t="shared" si="2"/>
        <v>0</v>
      </c>
      <c r="K65" s="75">
        <f t="shared" si="3"/>
        <v>0</v>
      </c>
      <c r="L65" s="109">
        <v>0</v>
      </c>
      <c r="M65" s="110">
        <v>0</v>
      </c>
      <c r="N65" s="839"/>
    </row>
    <row r="66" spans="1:14" ht="12.75" customHeight="1" x14ac:dyDescent="0.25">
      <c r="A66" s="589" t="s">
        <v>1614</v>
      </c>
      <c r="B66" s="73"/>
      <c r="C66" s="382">
        <v>0</v>
      </c>
      <c r="D66" s="109">
        <v>0</v>
      </c>
      <c r="E66" s="109">
        <v>0</v>
      </c>
      <c r="F66" s="109">
        <v>0</v>
      </c>
      <c r="G66" s="109">
        <v>0</v>
      </c>
      <c r="H66" s="109">
        <v>0</v>
      </c>
      <c r="I66" s="109">
        <v>0</v>
      </c>
      <c r="J66" s="75">
        <f t="shared" si="2"/>
        <v>0</v>
      </c>
      <c r="K66" s="75">
        <f t="shared" si="3"/>
        <v>0</v>
      </c>
      <c r="L66" s="109">
        <v>0</v>
      </c>
      <c r="M66" s="110">
        <v>0</v>
      </c>
      <c r="N66" s="839"/>
    </row>
    <row r="67" spans="1:14" ht="12.75" customHeight="1" x14ac:dyDescent="0.25">
      <c r="A67" s="589" t="s">
        <v>1615</v>
      </c>
      <c r="B67" s="73"/>
      <c r="C67" s="382">
        <v>0</v>
      </c>
      <c r="D67" s="109">
        <v>0</v>
      </c>
      <c r="E67" s="109">
        <v>0</v>
      </c>
      <c r="F67" s="109">
        <v>0</v>
      </c>
      <c r="G67" s="109">
        <v>0</v>
      </c>
      <c r="H67" s="109">
        <v>0</v>
      </c>
      <c r="I67" s="109">
        <v>0</v>
      </c>
      <c r="J67" s="75">
        <f t="shared" si="2"/>
        <v>0</v>
      </c>
      <c r="K67" s="75">
        <f t="shared" si="3"/>
        <v>0</v>
      </c>
      <c r="L67" s="109">
        <v>0</v>
      </c>
      <c r="M67" s="110">
        <v>0</v>
      </c>
      <c r="N67" s="844"/>
    </row>
    <row r="68" spans="1:14" ht="12.75" customHeight="1" x14ac:dyDescent="0.25">
      <c r="A68" s="589" t="s">
        <v>1616</v>
      </c>
      <c r="B68" s="73"/>
      <c r="C68" s="382">
        <v>0</v>
      </c>
      <c r="D68" s="109">
        <v>0</v>
      </c>
      <c r="E68" s="109">
        <v>0</v>
      </c>
      <c r="F68" s="109">
        <v>0</v>
      </c>
      <c r="G68" s="109">
        <v>0</v>
      </c>
      <c r="H68" s="109">
        <v>0</v>
      </c>
      <c r="I68" s="109">
        <v>0</v>
      </c>
      <c r="J68" s="75">
        <f t="shared" si="2"/>
        <v>0</v>
      </c>
      <c r="K68" s="75">
        <f t="shared" si="3"/>
        <v>0</v>
      </c>
      <c r="L68" s="109">
        <v>0</v>
      </c>
      <c r="M68" s="110">
        <v>0</v>
      </c>
      <c r="N68" s="839"/>
    </row>
    <row r="69" spans="1:14" ht="12.75" customHeight="1" x14ac:dyDescent="0.25">
      <c r="A69" s="589" t="s">
        <v>1572</v>
      </c>
      <c r="B69" s="73"/>
      <c r="C69" s="382">
        <v>0</v>
      </c>
      <c r="D69" s="109">
        <v>0</v>
      </c>
      <c r="E69" s="109">
        <v>0</v>
      </c>
      <c r="F69" s="109">
        <v>0</v>
      </c>
      <c r="G69" s="109">
        <v>0</v>
      </c>
      <c r="H69" s="109">
        <v>0</v>
      </c>
      <c r="I69" s="109">
        <v>0</v>
      </c>
      <c r="J69" s="75">
        <f t="shared" si="2"/>
        <v>0</v>
      </c>
      <c r="K69" s="75">
        <f t="shared" si="3"/>
        <v>0</v>
      </c>
      <c r="L69" s="109">
        <v>0</v>
      </c>
      <c r="M69" s="110">
        <v>0</v>
      </c>
      <c r="N69" s="844"/>
    </row>
    <row r="70" spans="1:14" ht="12.75" customHeight="1" x14ac:dyDescent="0.25">
      <c r="A70" s="588" t="s">
        <v>1617</v>
      </c>
      <c r="B70" s="73"/>
      <c r="C70" s="1122">
        <f t="shared" ref="C70:M70" si="11">SUM(C71:C74)</f>
        <v>0</v>
      </c>
      <c r="D70" s="132">
        <f t="shared" si="11"/>
        <v>0</v>
      </c>
      <c r="E70" s="132">
        <f t="shared" si="11"/>
        <v>0</v>
      </c>
      <c r="F70" s="132">
        <f t="shared" si="11"/>
        <v>0</v>
      </c>
      <c r="G70" s="132">
        <f t="shared" si="11"/>
        <v>0</v>
      </c>
      <c r="H70" s="132">
        <f t="shared" si="11"/>
        <v>0</v>
      </c>
      <c r="I70" s="132">
        <f t="shared" si="11"/>
        <v>0</v>
      </c>
      <c r="J70" s="75">
        <f t="shared" si="2"/>
        <v>0</v>
      </c>
      <c r="K70" s="75">
        <f t="shared" si="3"/>
        <v>0</v>
      </c>
      <c r="L70" s="132">
        <f t="shared" si="11"/>
        <v>978241</v>
      </c>
      <c r="M70" s="133">
        <f t="shared" si="11"/>
        <v>1305850</v>
      </c>
      <c r="N70" s="844"/>
    </row>
    <row r="71" spans="1:14" ht="12.75" customHeight="1" x14ac:dyDescent="0.25">
      <c r="A71" s="589" t="s">
        <v>1618</v>
      </c>
      <c r="B71" s="73"/>
      <c r="C71" s="382">
        <v>0</v>
      </c>
      <c r="D71" s="109">
        <v>0</v>
      </c>
      <c r="E71" s="109">
        <v>0</v>
      </c>
      <c r="F71" s="109">
        <v>0</v>
      </c>
      <c r="G71" s="109">
        <v>0</v>
      </c>
      <c r="H71" s="109">
        <v>0</v>
      </c>
      <c r="I71" s="109">
        <v>0</v>
      </c>
      <c r="J71" s="75">
        <f t="shared" si="2"/>
        <v>0</v>
      </c>
      <c r="K71" s="75">
        <f t="shared" si="3"/>
        <v>0</v>
      </c>
      <c r="L71" s="109">
        <v>978241</v>
      </c>
      <c r="M71" s="110">
        <v>1305850</v>
      </c>
      <c r="N71" s="844"/>
    </row>
    <row r="72" spans="1:14" ht="12.75" customHeight="1" x14ac:dyDescent="0.25">
      <c r="A72" s="589" t="s">
        <v>1619</v>
      </c>
      <c r="B72" s="73"/>
      <c r="C72" s="382">
        <v>0</v>
      </c>
      <c r="D72" s="109">
        <v>0</v>
      </c>
      <c r="E72" s="109">
        <v>0</v>
      </c>
      <c r="F72" s="109">
        <v>0</v>
      </c>
      <c r="G72" s="109">
        <v>0</v>
      </c>
      <c r="H72" s="109">
        <v>0</v>
      </c>
      <c r="I72" s="109">
        <v>0</v>
      </c>
      <c r="J72" s="75">
        <f t="shared" si="2"/>
        <v>0</v>
      </c>
      <c r="K72" s="75">
        <f t="shared" si="3"/>
        <v>0</v>
      </c>
      <c r="L72" s="109">
        <v>0</v>
      </c>
      <c r="M72" s="110">
        <v>0</v>
      </c>
      <c r="N72" s="844"/>
    </row>
    <row r="73" spans="1:14" ht="12.75" customHeight="1" x14ac:dyDescent="0.25">
      <c r="A73" s="589" t="s">
        <v>1620</v>
      </c>
      <c r="B73" s="73"/>
      <c r="C73" s="382">
        <v>0</v>
      </c>
      <c r="D73" s="109">
        <v>0</v>
      </c>
      <c r="E73" s="109">
        <v>0</v>
      </c>
      <c r="F73" s="109">
        <v>0</v>
      </c>
      <c r="G73" s="109">
        <v>0</v>
      </c>
      <c r="H73" s="109">
        <v>0</v>
      </c>
      <c r="I73" s="109">
        <v>0</v>
      </c>
      <c r="J73" s="75">
        <f t="shared" ref="J73:J136" si="12">SUM(E73:I73)</f>
        <v>0</v>
      </c>
      <c r="K73" s="75">
        <f t="shared" ref="K73:K136" si="13">IF(D73=0,C73+J73,D73+J73)</f>
        <v>0</v>
      </c>
      <c r="L73" s="109">
        <v>0</v>
      </c>
      <c r="M73" s="110">
        <v>0</v>
      </c>
      <c r="N73" s="844"/>
    </row>
    <row r="74" spans="1:14" ht="12.75" customHeight="1" x14ac:dyDescent="0.25">
      <c r="A74" s="589" t="s">
        <v>1572</v>
      </c>
      <c r="B74" s="73"/>
      <c r="C74" s="109">
        <v>0</v>
      </c>
      <c r="D74" s="109">
        <v>0</v>
      </c>
      <c r="E74" s="109">
        <v>0</v>
      </c>
      <c r="F74" s="109">
        <v>0</v>
      </c>
      <c r="G74" s="109">
        <v>0</v>
      </c>
      <c r="H74" s="109">
        <v>0</v>
      </c>
      <c r="I74" s="109">
        <v>0</v>
      </c>
      <c r="J74" s="75">
        <f t="shared" si="12"/>
        <v>0</v>
      </c>
      <c r="K74" s="75">
        <f t="shared" si="13"/>
        <v>0</v>
      </c>
      <c r="L74" s="109">
        <v>0</v>
      </c>
      <c r="M74" s="110">
        <v>0</v>
      </c>
      <c r="N74" s="844"/>
    </row>
    <row r="75" spans="1:14" ht="5.0999999999999996" customHeight="1" x14ac:dyDescent="0.25">
      <c r="A75" s="136"/>
      <c r="B75" s="73"/>
      <c r="C75" s="74"/>
      <c r="D75" s="75"/>
      <c r="E75" s="75"/>
      <c r="F75" s="75"/>
      <c r="G75" s="75"/>
      <c r="H75" s="75"/>
      <c r="I75" s="75"/>
      <c r="J75" s="75"/>
      <c r="K75" s="75"/>
      <c r="L75" s="75"/>
      <c r="M75" s="76"/>
      <c r="N75" s="128"/>
    </row>
    <row r="76" spans="1:14" ht="12.75" customHeight="1" x14ac:dyDescent="0.25">
      <c r="A76" s="486" t="s">
        <v>1621</v>
      </c>
      <c r="B76" s="73"/>
      <c r="C76" s="236">
        <f>+C77+C100</f>
        <v>11300000</v>
      </c>
      <c r="D76" s="237">
        <f>+D77+D100</f>
        <v>11300000</v>
      </c>
      <c r="E76" s="237">
        <f t="shared" ref="E76:M76" si="14">+E77+E100</f>
        <v>0</v>
      </c>
      <c r="F76" s="237">
        <f t="shared" si="14"/>
        <v>0</v>
      </c>
      <c r="G76" s="237">
        <f t="shared" si="14"/>
        <v>0</v>
      </c>
      <c r="H76" s="237">
        <f t="shared" si="14"/>
        <v>0</v>
      </c>
      <c r="I76" s="237">
        <f t="shared" si="14"/>
        <v>13496160</v>
      </c>
      <c r="J76" s="145">
        <f t="shared" si="12"/>
        <v>13496160</v>
      </c>
      <c r="K76" s="145">
        <f t="shared" si="13"/>
        <v>24796160</v>
      </c>
      <c r="L76" s="237">
        <f t="shared" si="14"/>
        <v>7388318</v>
      </c>
      <c r="M76" s="238">
        <f t="shared" si="14"/>
        <v>16283165</v>
      </c>
      <c r="N76" s="128"/>
    </row>
    <row r="77" spans="1:14" ht="12.75" customHeight="1" x14ac:dyDescent="0.25">
      <c r="A77" s="588" t="s">
        <v>1622</v>
      </c>
      <c r="B77" s="73"/>
      <c r="C77" s="132">
        <f>SUM(C78:C99)</f>
        <v>300000</v>
      </c>
      <c r="D77" s="132">
        <f>SUM(D78:D99)</f>
        <v>300000</v>
      </c>
      <c r="E77" s="132">
        <f t="shared" ref="E77:M77" si="15">SUM(E78:E99)</f>
        <v>0</v>
      </c>
      <c r="F77" s="132">
        <f t="shared" si="15"/>
        <v>0</v>
      </c>
      <c r="G77" s="132">
        <f t="shared" si="15"/>
        <v>0</v>
      </c>
      <c r="H77" s="132">
        <f t="shared" si="15"/>
        <v>0</v>
      </c>
      <c r="I77" s="132">
        <f t="shared" si="15"/>
        <v>1100000</v>
      </c>
      <c r="J77" s="75">
        <f t="shared" si="12"/>
        <v>1100000</v>
      </c>
      <c r="K77" s="75">
        <f t="shared" si="13"/>
        <v>1400000</v>
      </c>
      <c r="L77" s="132">
        <f t="shared" si="15"/>
        <v>1100151</v>
      </c>
      <c r="M77" s="133">
        <f t="shared" si="15"/>
        <v>1283165</v>
      </c>
      <c r="N77" s="844"/>
    </row>
    <row r="78" spans="1:14" ht="12.75" customHeight="1" x14ac:dyDescent="0.25">
      <c r="A78" s="589" t="s">
        <v>1623</v>
      </c>
      <c r="B78" s="73"/>
      <c r="C78" s="130">
        <v>0</v>
      </c>
      <c r="D78" s="109">
        <v>0</v>
      </c>
      <c r="E78" s="109">
        <v>0</v>
      </c>
      <c r="F78" s="109">
        <v>0</v>
      </c>
      <c r="G78" s="109">
        <v>0</v>
      </c>
      <c r="H78" s="109">
        <v>0</v>
      </c>
      <c r="I78" s="109">
        <v>0</v>
      </c>
      <c r="J78" s="75">
        <f t="shared" si="12"/>
        <v>0</v>
      </c>
      <c r="K78" s="75">
        <f t="shared" si="13"/>
        <v>0</v>
      </c>
      <c r="L78" s="109">
        <v>0</v>
      </c>
      <c r="M78" s="110">
        <v>0</v>
      </c>
      <c r="N78" s="128"/>
    </row>
    <row r="79" spans="1:14" ht="12.75" customHeight="1" x14ac:dyDescent="0.25">
      <c r="A79" s="589" t="s">
        <v>1624</v>
      </c>
      <c r="B79" s="73"/>
      <c r="C79" s="130">
        <v>0</v>
      </c>
      <c r="D79" s="109">
        <v>0</v>
      </c>
      <c r="E79" s="109">
        <v>0</v>
      </c>
      <c r="F79" s="109">
        <v>0</v>
      </c>
      <c r="G79" s="109">
        <v>0</v>
      </c>
      <c r="H79" s="109">
        <v>0</v>
      </c>
      <c r="I79" s="109">
        <v>0</v>
      </c>
      <c r="J79" s="75">
        <f t="shared" si="12"/>
        <v>0</v>
      </c>
      <c r="K79" s="75">
        <f t="shared" si="13"/>
        <v>0</v>
      </c>
      <c r="L79" s="109">
        <v>600151</v>
      </c>
      <c r="M79" s="110">
        <v>783165</v>
      </c>
      <c r="N79" s="128"/>
    </row>
    <row r="80" spans="1:14" ht="12.75" customHeight="1" x14ac:dyDescent="0.25">
      <c r="A80" s="589" t="s">
        <v>1625</v>
      </c>
      <c r="B80" s="73"/>
      <c r="C80" s="130">
        <v>0</v>
      </c>
      <c r="D80" s="109">
        <v>0</v>
      </c>
      <c r="E80" s="109">
        <v>0</v>
      </c>
      <c r="F80" s="109">
        <v>0</v>
      </c>
      <c r="G80" s="109">
        <v>0</v>
      </c>
      <c r="H80" s="109">
        <v>0</v>
      </c>
      <c r="I80" s="109">
        <v>0</v>
      </c>
      <c r="J80" s="75">
        <f t="shared" si="12"/>
        <v>0</v>
      </c>
      <c r="K80" s="75">
        <f t="shared" si="13"/>
        <v>0</v>
      </c>
      <c r="L80" s="109">
        <v>0</v>
      </c>
      <c r="M80" s="110">
        <v>0</v>
      </c>
      <c r="N80" s="128"/>
    </row>
    <row r="81" spans="1:14" ht="12.75" customHeight="1" x14ac:dyDescent="0.25">
      <c r="A81" s="589" t="s">
        <v>1626</v>
      </c>
      <c r="B81" s="73"/>
      <c r="C81" s="130">
        <v>0</v>
      </c>
      <c r="D81" s="109">
        <v>0</v>
      </c>
      <c r="E81" s="109">
        <v>0</v>
      </c>
      <c r="F81" s="109">
        <v>0</v>
      </c>
      <c r="G81" s="109">
        <v>0</v>
      </c>
      <c r="H81" s="109">
        <v>0</v>
      </c>
      <c r="I81" s="109">
        <v>0</v>
      </c>
      <c r="J81" s="75">
        <f t="shared" si="12"/>
        <v>0</v>
      </c>
      <c r="K81" s="75">
        <f t="shared" si="13"/>
        <v>0</v>
      </c>
      <c r="L81" s="109">
        <v>0</v>
      </c>
      <c r="M81" s="110">
        <v>0</v>
      </c>
      <c r="N81" s="128"/>
    </row>
    <row r="82" spans="1:14" ht="12.75" customHeight="1" x14ac:dyDescent="0.25">
      <c r="A82" s="589" t="s">
        <v>1627</v>
      </c>
      <c r="B82" s="73"/>
      <c r="C82" s="130">
        <v>0</v>
      </c>
      <c r="D82" s="109">
        <v>0</v>
      </c>
      <c r="E82" s="109">
        <v>0</v>
      </c>
      <c r="F82" s="109">
        <v>0</v>
      </c>
      <c r="G82" s="109">
        <v>0</v>
      </c>
      <c r="H82" s="109">
        <v>0</v>
      </c>
      <c r="I82" s="109">
        <v>0</v>
      </c>
      <c r="J82" s="75">
        <f t="shared" si="12"/>
        <v>0</v>
      </c>
      <c r="K82" s="75">
        <f t="shared" si="13"/>
        <v>0</v>
      </c>
      <c r="L82" s="109">
        <v>0</v>
      </c>
      <c r="M82" s="110">
        <v>0</v>
      </c>
      <c r="N82" s="128"/>
    </row>
    <row r="83" spans="1:14" ht="12.75" customHeight="1" x14ac:dyDescent="0.25">
      <c r="A83" s="589" t="s">
        <v>1628</v>
      </c>
      <c r="B83" s="73"/>
      <c r="C83" s="130">
        <v>0</v>
      </c>
      <c r="D83" s="109">
        <v>0</v>
      </c>
      <c r="E83" s="109">
        <v>0</v>
      </c>
      <c r="F83" s="109">
        <v>0</v>
      </c>
      <c r="G83" s="109">
        <v>0</v>
      </c>
      <c r="H83" s="109">
        <v>0</v>
      </c>
      <c r="I83" s="109">
        <v>0</v>
      </c>
      <c r="J83" s="75">
        <f t="shared" si="12"/>
        <v>0</v>
      </c>
      <c r="K83" s="75">
        <f t="shared" si="13"/>
        <v>0</v>
      </c>
      <c r="L83" s="109">
        <v>0</v>
      </c>
      <c r="M83" s="110">
        <v>0</v>
      </c>
      <c r="N83" s="128"/>
    </row>
    <row r="84" spans="1:14" ht="12.75" customHeight="1" x14ac:dyDescent="0.25">
      <c r="A84" s="589" t="s">
        <v>1629</v>
      </c>
      <c r="B84" s="73"/>
      <c r="C84" s="130">
        <v>0</v>
      </c>
      <c r="D84" s="109">
        <v>0</v>
      </c>
      <c r="E84" s="109">
        <v>0</v>
      </c>
      <c r="F84" s="109">
        <v>0</v>
      </c>
      <c r="G84" s="109">
        <v>0</v>
      </c>
      <c r="H84" s="109">
        <v>0</v>
      </c>
      <c r="I84" s="109">
        <v>0</v>
      </c>
      <c r="J84" s="75">
        <f t="shared" si="12"/>
        <v>0</v>
      </c>
      <c r="K84" s="75">
        <f t="shared" si="13"/>
        <v>0</v>
      </c>
      <c r="L84" s="109">
        <v>0</v>
      </c>
      <c r="M84" s="110">
        <v>0</v>
      </c>
      <c r="N84" s="128"/>
    </row>
    <row r="85" spans="1:14" ht="12.75" customHeight="1" x14ac:dyDescent="0.25">
      <c r="A85" s="589" t="s">
        <v>1630</v>
      </c>
      <c r="B85" s="73"/>
      <c r="C85" s="130">
        <v>0</v>
      </c>
      <c r="D85" s="109">
        <v>0</v>
      </c>
      <c r="E85" s="109">
        <v>0</v>
      </c>
      <c r="F85" s="109">
        <v>0</v>
      </c>
      <c r="G85" s="109">
        <v>0</v>
      </c>
      <c r="H85" s="109">
        <v>0</v>
      </c>
      <c r="I85" s="109">
        <v>0</v>
      </c>
      <c r="J85" s="75">
        <f t="shared" si="12"/>
        <v>0</v>
      </c>
      <c r="K85" s="75">
        <f t="shared" si="13"/>
        <v>0</v>
      </c>
      <c r="L85" s="109">
        <v>0</v>
      </c>
      <c r="M85" s="110">
        <v>0</v>
      </c>
      <c r="N85" s="128"/>
    </row>
    <row r="86" spans="1:14" ht="12.75" customHeight="1" x14ac:dyDescent="0.25">
      <c r="A86" s="589" t="s">
        <v>1512</v>
      </c>
      <c r="B86" s="73"/>
      <c r="C86" s="130">
        <v>0</v>
      </c>
      <c r="D86" s="109">
        <v>0</v>
      </c>
      <c r="E86" s="109">
        <v>0</v>
      </c>
      <c r="F86" s="109">
        <v>0</v>
      </c>
      <c r="G86" s="109">
        <v>0</v>
      </c>
      <c r="H86" s="109">
        <v>0</v>
      </c>
      <c r="I86" s="109">
        <v>0</v>
      </c>
      <c r="J86" s="75">
        <f t="shared" si="12"/>
        <v>0</v>
      </c>
      <c r="K86" s="75">
        <f t="shared" si="13"/>
        <v>0</v>
      </c>
      <c r="L86" s="109">
        <v>0</v>
      </c>
      <c r="M86" s="110">
        <v>0</v>
      </c>
      <c r="N86" s="128"/>
    </row>
    <row r="87" spans="1:14" ht="12.75" customHeight="1" x14ac:dyDescent="0.25">
      <c r="A87" s="589" t="s">
        <v>492</v>
      </c>
      <c r="B87" s="73"/>
      <c r="C87" s="130">
        <v>0</v>
      </c>
      <c r="D87" s="109">
        <v>0</v>
      </c>
      <c r="E87" s="109">
        <v>0</v>
      </c>
      <c r="F87" s="109">
        <v>0</v>
      </c>
      <c r="G87" s="109">
        <v>0</v>
      </c>
      <c r="H87" s="109">
        <v>0</v>
      </c>
      <c r="I87" s="109">
        <v>0</v>
      </c>
      <c r="J87" s="75">
        <f t="shared" si="12"/>
        <v>0</v>
      </c>
      <c r="K87" s="75">
        <f t="shared" si="13"/>
        <v>0</v>
      </c>
      <c r="L87" s="109">
        <v>0</v>
      </c>
      <c r="M87" s="110">
        <v>0</v>
      </c>
      <c r="N87" s="128"/>
    </row>
    <row r="88" spans="1:14" ht="12.75" customHeight="1" x14ac:dyDescent="0.25">
      <c r="A88" s="589" t="s">
        <v>1631</v>
      </c>
      <c r="B88" s="73"/>
      <c r="C88" s="130">
        <v>0</v>
      </c>
      <c r="D88" s="109">
        <v>0</v>
      </c>
      <c r="E88" s="109">
        <v>0</v>
      </c>
      <c r="F88" s="109">
        <v>0</v>
      </c>
      <c r="G88" s="109">
        <v>0</v>
      </c>
      <c r="H88" s="109">
        <v>0</v>
      </c>
      <c r="I88" s="109">
        <v>0</v>
      </c>
      <c r="J88" s="75">
        <f t="shared" si="12"/>
        <v>0</v>
      </c>
      <c r="K88" s="75">
        <f t="shared" si="13"/>
        <v>0</v>
      </c>
      <c r="L88" s="109">
        <v>0</v>
      </c>
      <c r="M88" s="110">
        <v>0</v>
      </c>
      <c r="N88" s="128"/>
    </row>
    <row r="89" spans="1:14" ht="12.75" customHeight="1" x14ac:dyDescent="0.25">
      <c r="A89" s="589" t="s">
        <v>1632</v>
      </c>
      <c r="B89" s="73"/>
      <c r="C89" s="130">
        <v>0</v>
      </c>
      <c r="D89" s="109">
        <v>0</v>
      </c>
      <c r="E89" s="109">
        <v>0</v>
      </c>
      <c r="F89" s="109">
        <v>0</v>
      </c>
      <c r="G89" s="109">
        <v>0</v>
      </c>
      <c r="H89" s="109">
        <v>0</v>
      </c>
      <c r="I89" s="109">
        <v>0</v>
      </c>
      <c r="J89" s="75">
        <f t="shared" si="12"/>
        <v>0</v>
      </c>
      <c r="K89" s="75">
        <f t="shared" si="13"/>
        <v>0</v>
      </c>
      <c r="L89" s="109">
        <v>0</v>
      </c>
      <c r="M89" s="110">
        <v>0</v>
      </c>
      <c r="N89" s="128"/>
    </row>
    <row r="90" spans="1:14" ht="12.75" customHeight="1" x14ac:dyDescent="0.25">
      <c r="A90" s="589" t="s">
        <v>1633</v>
      </c>
      <c r="B90" s="73"/>
      <c r="C90" s="130">
        <v>0</v>
      </c>
      <c r="D90" s="109">
        <v>0</v>
      </c>
      <c r="E90" s="109">
        <v>0</v>
      </c>
      <c r="F90" s="109">
        <v>0</v>
      </c>
      <c r="G90" s="109">
        <v>0</v>
      </c>
      <c r="H90" s="109">
        <v>0</v>
      </c>
      <c r="I90" s="109">
        <v>0</v>
      </c>
      <c r="J90" s="75">
        <f t="shared" si="12"/>
        <v>0</v>
      </c>
      <c r="K90" s="75">
        <f t="shared" si="13"/>
        <v>0</v>
      </c>
      <c r="L90" s="109">
        <v>0</v>
      </c>
      <c r="M90" s="110">
        <v>0</v>
      </c>
      <c r="N90" s="128"/>
    </row>
    <row r="91" spans="1:14" ht="12.75" customHeight="1" x14ac:dyDescent="0.25">
      <c r="A91" s="589" t="s">
        <v>1634</v>
      </c>
      <c r="B91" s="73"/>
      <c r="C91" s="130">
        <v>0</v>
      </c>
      <c r="D91" s="109">
        <v>0</v>
      </c>
      <c r="E91" s="109">
        <v>0</v>
      </c>
      <c r="F91" s="109">
        <v>0</v>
      </c>
      <c r="G91" s="109">
        <v>0</v>
      </c>
      <c r="H91" s="109">
        <v>0</v>
      </c>
      <c r="I91" s="109">
        <v>0</v>
      </c>
      <c r="J91" s="75">
        <f t="shared" si="12"/>
        <v>0</v>
      </c>
      <c r="K91" s="75">
        <f t="shared" si="13"/>
        <v>0</v>
      </c>
      <c r="L91" s="109">
        <v>0</v>
      </c>
      <c r="M91" s="110">
        <v>0</v>
      </c>
      <c r="N91" s="128"/>
    </row>
    <row r="92" spans="1:14" ht="12.75" customHeight="1" x14ac:dyDescent="0.25">
      <c r="A92" s="589" t="s">
        <v>1635</v>
      </c>
      <c r="B92" s="73"/>
      <c r="C92" s="130">
        <v>300000</v>
      </c>
      <c r="D92" s="109">
        <v>300000</v>
      </c>
      <c r="E92" s="109">
        <v>0</v>
      </c>
      <c r="F92" s="109">
        <v>0</v>
      </c>
      <c r="G92" s="109">
        <v>0</v>
      </c>
      <c r="H92" s="109">
        <v>0</v>
      </c>
      <c r="I92" s="109">
        <v>-300000</v>
      </c>
      <c r="J92" s="75">
        <f t="shared" si="12"/>
        <v>-300000</v>
      </c>
      <c r="K92" s="75">
        <f t="shared" si="13"/>
        <v>0</v>
      </c>
      <c r="L92" s="109">
        <v>500000</v>
      </c>
      <c r="M92" s="110">
        <v>500000</v>
      </c>
      <c r="N92" s="128"/>
    </row>
    <row r="93" spans="1:14" ht="12.75" customHeight="1" x14ac:dyDescent="0.25">
      <c r="A93" s="589" t="s">
        <v>1636</v>
      </c>
      <c r="B93" s="73"/>
      <c r="C93" s="130">
        <v>0</v>
      </c>
      <c r="D93" s="109">
        <v>0</v>
      </c>
      <c r="E93" s="109">
        <v>0</v>
      </c>
      <c r="F93" s="109">
        <v>0</v>
      </c>
      <c r="G93" s="109">
        <v>0</v>
      </c>
      <c r="H93" s="109">
        <v>0</v>
      </c>
      <c r="I93" s="109">
        <v>0</v>
      </c>
      <c r="J93" s="75">
        <f t="shared" si="12"/>
        <v>0</v>
      </c>
      <c r="K93" s="75">
        <f t="shared" si="13"/>
        <v>0</v>
      </c>
      <c r="L93" s="109">
        <v>0</v>
      </c>
      <c r="M93" s="110">
        <v>0</v>
      </c>
      <c r="N93" s="128"/>
    </row>
    <row r="94" spans="1:14" ht="12.75" customHeight="1" x14ac:dyDescent="0.25">
      <c r="A94" s="589" t="s">
        <v>508</v>
      </c>
      <c r="B94" s="73"/>
      <c r="C94" s="130">
        <v>0</v>
      </c>
      <c r="D94" s="109">
        <v>0</v>
      </c>
      <c r="E94" s="109">
        <v>0</v>
      </c>
      <c r="F94" s="109">
        <v>0</v>
      </c>
      <c r="G94" s="109">
        <v>0</v>
      </c>
      <c r="H94" s="109">
        <v>0</v>
      </c>
      <c r="I94" s="109">
        <v>0</v>
      </c>
      <c r="J94" s="75">
        <f t="shared" si="12"/>
        <v>0</v>
      </c>
      <c r="K94" s="75">
        <f t="shared" si="13"/>
        <v>0</v>
      </c>
      <c r="L94" s="109">
        <v>0</v>
      </c>
      <c r="M94" s="110">
        <v>0</v>
      </c>
      <c r="N94" s="128"/>
    </row>
    <row r="95" spans="1:14" ht="12.75" customHeight="1" x14ac:dyDescent="0.25">
      <c r="A95" s="589" t="s">
        <v>1637</v>
      </c>
      <c r="B95" s="73"/>
      <c r="C95" s="130">
        <v>0</v>
      </c>
      <c r="D95" s="109">
        <v>0</v>
      </c>
      <c r="E95" s="109">
        <v>0</v>
      </c>
      <c r="F95" s="109">
        <v>0</v>
      </c>
      <c r="G95" s="109">
        <v>0</v>
      </c>
      <c r="H95" s="109">
        <v>0</v>
      </c>
      <c r="I95" s="109">
        <v>0</v>
      </c>
      <c r="J95" s="75">
        <f t="shared" si="12"/>
        <v>0</v>
      </c>
      <c r="K95" s="75">
        <f t="shared" si="13"/>
        <v>0</v>
      </c>
      <c r="L95" s="109">
        <v>0</v>
      </c>
      <c r="M95" s="110">
        <v>0</v>
      </c>
      <c r="N95" s="128"/>
    </row>
    <row r="96" spans="1:14" ht="12.75" customHeight="1" x14ac:dyDescent="0.25">
      <c r="A96" s="589" t="s">
        <v>507</v>
      </c>
      <c r="B96" s="73"/>
      <c r="C96" s="130">
        <v>0</v>
      </c>
      <c r="D96" s="109">
        <v>0</v>
      </c>
      <c r="E96" s="109">
        <v>0</v>
      </c>
      <c r="F96" s="109">
        <v>0</v>
      </c>
      <c r="G96" s="109">
        <v>0</v>
      </c>
      <c r="H96" s="109">
        <v>0</v>
      </c>
      <c r="I96" s="109">
        <v>0</v>
      </c>
      <c r="J96" s="75">
        <f t="shared" si="12"/>
        <v>0</v>
      </c>
      <c r="K96" s="75">
        <f t="shared" si="13"/>
        <v>0</v>
      </c>
      <c r="L96" s="109">
        <v>0</v>
      </c>
      <c r="M96" s="110">
        <v>0</v>
      </c>
      <c r="N96" s="844"/>
    </row>
    <row r="97" spans="1:14" ht="12.75" customHeight="1" x14ac:dyDescent="0.25">
      <c r="A97" s="589" t="s">
        <v>1638</v>
      </c>
      <c r="B97" s="73"/>
      <c r="C97" s="130">
        <v>0</v>
      </c>
      <c r="D97" s="109">
        <v>0</v>
      </c>
      <c r="E97" s="109">
        <v>0</v>
      </c>
      <c r="F97" s="109">
        <v>0</v>
      </c>
      <c r="G97" s="109">
        <v>0</v>
      </c>
      <c r="H97" s="109">
        <v>0</v>
      </c>
      <c r="I97" s="109">
        <v>0</v>
      </c>
      <c r="J97" s="75">
        <f t="shared" si="12"/>
        <v>0</v>
      </c>
      <c r="K97" s="75">
        <f t="shared" si="13"/>
        <v>0</v>
      </c>
      <c r="L97" s="109">
        <v>0</v>
      </c>
      <c r="M97" s="110">
        <v>0</v>
      </c>
      <c r="N97" s="128"/>
    </row>
    <row r="98" spans="1:14" ht="12.75" customHeight="1" x14ac:dyDescent="0.25">
      <c r="A98" s="589" t="s">
        <v>1639</v>
      </c>
      <c r="B98" s="73"/>
      <c r="C98" s="130">
        <v>0</v>
      </c>
      <c r="D98" s="109">
        <v>0</v>
      </c>
      <c r="E98" s="109">
        <v>0</v>
      </c>
      <c r="F98" s="109">
        <v>0</v>
      </c>
      <c r="G98" s="109">
        <v>0</v>
      </c>
      <c r="H98" s="109">
        <v>0</v>
      </c>
      <c r="I98" s="109">
        <v>0</v>
      </c>
      <c r="J98" s="75">
        <f t="shared" si="12"/>
        <v>0</v>
      </c>
      <c r="K98" s="75">
        <f t="shared" si="13"/>
        <v>0</v>
      </c>
      <c r="L98" s="109">
        <v>0</v>
      </c>
      <c r="M98" s="110">
        <v>0</v>
      </c>
      <c r="N98" s="128"/>
    </row>
    <row r="99" spans="1:14" ht="12.75" customHeight="1" x14ac:dyDescent="0.25">
      <c r="A99" s="589" t="s">
        <v>1572</v>
      </c>
      <c r="B99" s="73"/>
      <c r="C99" s="130">
        <v>0</v>
      </c>
      <c r="D99" s="109">
        <v>0</v>
      </c>
      <c r="E99" s="109">
        <v>0</v>
      </c>
      <c r="F99" s="109">
        <v>0</v>
      </c>
      <c r="G99" s="109">
        <v>0</v>
      </c>
      <c r="H99" s="109">
        <v>0</v>
      </c>
      <c r="I99" s="109">
        <v>1400000</v>
      </c>
      <c r="J99" s="75">
        <f t="shared" si="12"/>
        <v>1400000</v>
      </c>
      <c r="K99" s="75">
        <f t="shared" si="13"/>
        <v>1400000</v>
      </c>
      <c r="L99" s="109">
        <v>0</v>
      </c>
      <c r="M99" s="110">
        <v>0</v>
      </c>
      <c r="N99" s="128"/>
    </row>
    <row r="100" spans="1:14" ht="10.15" customHeight="1" x14ac:dyDescent="0.25">
      <c r="A100" s="588" t="s">
        <v>1640</v>
      </c>
      <c r="B100" s="73"/>
      <c r="C100" s="140">
        <f>SUM(C101:C103)</f>
        <v>11000000</v>
      </c>
      <c r="D100" s="141">
        <f t="shared" ref="D100:M100" si="16">SUM(D101:D103)</f>
        <v>11000000</v>
      </c>
      <c r="E100" s="141">
        <f t="shared" si="16"/>
        <v>0</v>
      </c>
      <c r="F100" s="141">
        <f t="shared" si="16"/>
        <v>0</v>
      </c>
      <c r="G100" s="141">
        <f t="shared" si="16"/>
        <v>0</v>
      </c>
      <c r="H100" s="141">
        <f t="shared" si="16"/>
        <v>0</v>
      </c>
      <c r="I100" s="141">
        <f t="shared" si="16"/>
        <v>12396160</v>
      </c>
      <c r="J100" s="141">
        <f t="shared" si="12"/>
        <v>12396160</v>
      </c>
      <c r="K100" s="141">
        <f t="shared" si="13"/>
        <v>23396160</v>
      </c>
      <c r="L100" s="141">
        <f t="shared" si="16"/>
        <v>6288167</v>
      </c>
      <c r="M100" s="142">
        <f t="shared" si="16"/>
        <v>15000000</v>
      </c>
      <c r="N100" s="128"/>
    </row>
    <row r="101" spans="1:14" ht="12.75" customHeight="1" x14ac:dyDescent="0.25">
      <c r="A101" s="589" t="s">
        <v>1641</v>
      </c>
      <c r="B101" s="73"/>
      <c r="C101" s="130">
        <v>0</v>
      </c>
      <c r="D101" s="109">
        <v>0</v>
      </c>
      <c r="E101" s="109">
        <v>0</v>
      </c>
      <c r="F101" s="109">
        <v>0</v>
      </c>
      <c r="G101" s="109">
        <v>0</v>
      </c>
      <c r="H101" s="109">
        <v>0</v>
      </c>
      <c r="I101" s="109">
        <v>0</v>
      </c>
      <c r="J101" s="75">
        <f t="shared" si="12"/>
        <v>0</v>
      </c>
      <c r="K101" s="75">
        <f t="shared" si="13"/>
        <v>0</v>
      </c>
      <c r="L101" s="109">
        <v>0</v>
      </c>
      <c r="M101" s="110">
        <v>0</v>
      </c>
      <c r="N101" s="128"/>
    </row>
    <row r="102" spans="1:14" ht="12.75" customHeight="1" x14ac:dyDescent="0.25">
      <c r="A102" s="589" t="s">
        <v>1642</v>
      </c>
      <c r="B102" s="73"/>
      <c r="C102" s="130">
        <v>11000000</v>
      </c>
      <c r="D102" s="109">
        <v>11000000</v>
      </c>
      <c r="E102" s="109">
        <v>0</v>
      </c>
      <c r="F102" s="109">
        <v>0</v>
      </c>
      <c r="G102" s="109">
        <v>0</v>
      </c>
      <c r="H102" s="109">
        <v>0</v>
      </c>
      <c r="I102" s="109">
        <v>12396160</v>
      </c>
      <c r="J102" s="75">
        <f t="shared" si="12"/>
        <v>12396160</v>
      </c>
      <c r="K102" s="75">
        <f t="shared" si="13"/>
        <v>23396160</v>
      </c>
      <c r="L102" s="109">
        <v>6288167</v>
      </c>
      <c r="M102" s="110">
        <v>15000000</v>
      </c>
      <c r="N102" s="128"/>
    </row>
    <row r="103" spans="1:14" ht="12.75" customHeight="1" x14ac:dyDescent="0.25">
      <c r="A103" s="589" t="s">
        <v>1572</v>
      </c>
      <c r="B103" s="73"/>
      <c r="C103" s="130">
        <v>0</v>
      </c>
      <c r="D103" s="109">
        <v>0</v>
      </c>
      <c r="E103" s="109">
        <v>0</v>
      </c>
      <c r="F103" s="109">
        <v>0</v>
      </c>
      <c r="G103" s="109">
        <v>0</v>
      </c>
      <c r="H103" s="109">
        <v>0</v>
      </c>
      <c r="I103" s="109">
        <v>0</v>
      </c>
      <c r="J103" s="75">
        <f t="shared" si="12"/>
        <v>0</v>
      </c>
      <c r="K103" s="75">
        <f t="shared" si="13"/>
        <v>0</v>
      </c>
      <c r="L103" s="109">
        <v>0</v>
      </c>
      <c r="M103" s="110">
        <v>0</v>
      </c>
      <c r="N103" s="128"/>
    </row>
    <row r="104" spans="1:14" ht="5.0999999999999996" customHeight="1" x14ac:dyDescent="0.25">
      <c r="A104" s="136"/>
      <c r="B104" s="73"/>
      <c r="C104" s="127"/>
      <c r="D104" s="171"/>
      <c r="E104" s="171"/>
      <c r="F104" s="171"/>
      <c r="G104" s="171"/>
      <c r="H104" s="171"/>
      <c r="I104" s="171"/>
      <c r="J104" s="75"/>
      <c r="K104" s="75"/>
      <c r="L104" s="75"/>
      <c r="M104" s="76"/>
      <c r="N104" s="128"/>
    </row>
    <row r="105" spans="1:14" ht="12.75" customHeight="1" x14ac:dyDescent="0.25">
      <c r="A105" s="486" t="s">
        <v>765</v>
      </c>
      <c r="B105" s="73"/>
      <c r="C105" s="236">
        <f t="shared" ref="C105:M105" si="17">SUM(C106:C110)</f>
        <v>0</v>
      </c>
      <c r="D105" s="237">
        <f t="shared" si="17"/>
        <v>0</v>
      </c>
      <c r="E105" s="237">
        <f t="shared" si="17"/>
        <v>0</v>
      </c>
      <c r="F105" s="237">
        <f t="shared" si="17"/>
        <v>0</v>
      </c>
      <c r="G105" s="237">
        <f t="shared" si="17"/>
        <v>0</v>
      </c>
      <c r="H105" s="237">
        <f t="shared" si="17"/>
        <v>0</v>
      </c>
      <c r="I105" s="237">
        <f t="shared" si="17"/>
        <v>0</v>
      </c>
      <c r="J105" s="237">
        <f t="shared" si="12"/>
        <v>0</v>
      </c>
      <c r="K105" s="237">
        <f t="shared" si="13"/>
        <v>0</v>
      </c>
      <c r="L105" s="237">
        <f t="shared" si="17"/>
        <v>0</v>
      </c>
      <c r="M105" s="238">
        <f t="shared" si="17"/>
        <v>0</v>
      </c>
      <c r="N105" s="128"/>
    </row>
    <row r="106" spans="1:14" ht="12.75" customHeight="1" x14ac:dyDescent="0.25">
      <c r="A106" s="588" t="s">
        <v>1643</v>
      </c>
      <c r="B106" s="73"/>
      <c r="C106" s="130">
        <v>0</v>
      </c>
      <c r="D106" s="109">
        <v>0</v>
      </c>
      <c r="E106" s="109">
        <v>0</v>
      </c>
      <c r="F106" s="109">
        <v>0</v>
      </c>
      <c r="G106" s="109">
        <v>0</v>
      </c>
      <c r="H106" s="109">
        <v>0</v>
      </c>
      <c r="I106" s="109">
        <v>0</v>
      </c>
      <c r="J106" s="75">
        <f t="shared" si="12"/>
        <v>0</v>
      </c>
      <c r="K106" s="75">
        <f t="shared" si="13"/>
        <v>0</v>
      </c>
      <c r="L106" s="109">
        <v>0</v>
      </c>
      <c r="M106" s="110">
        <v>0</v>
      </c>
      <c r="N106" s="128"/>
    </row>
    <row r="107" spans="1:14" ht="12.75" customHeight="1" x14ac:dyDescent="0.25">
      <c r="A107" s="590" t="s">
        <v>1644</v>
      </c>
      <c r="B107" s="73"/>
      <c r="C107" s="130">
        <v>0</v>
      </c>
      <c r="D107" s="109">
        <v>0</v>
      </c>
      <c r="E107" s="109">
        <v>0</v>
      </c>
      <c r="F107" s="109">
        <v>0</v>
      </c>
      <c r="G107" s="109">
        <v>0</v>
      </c>
      <c r="H107" s="109">
        <v>0</v>
      </c>
      <c r="I107" s="109">
        <v>0</v>
      </c>
      <c r="J107" s="75">
        <f t="shared" si="12"/>
        <v>0</v>
      </c>
      <c r="K107" s="75">
        <f t="shared" si="13"/>
        <v>0</v>
      </c>
      <c r="L107" s="109">
        <v>0</v>
      </c>
      <c r="M107" s="110">
        <v>0</v>
      </c>
      <c r="N107" s="128"/>
    </row>
    <row r="108" spans="1:14" ht="12.75" customHeight="1" x14ac:dyDescent="0.25">
      <c r="A108" s="588" t="s">
        <v>1645</v>
      </c>
      <c r="B108" s="73"/>
      <c r="C108" s="130">
        <v>0</v>
      </c>
      <c r="D108" s="109">
        <v>0</v>
      </c>
      <c r="E108" s="109">
        <v>0</v>
      </c>
      <c r="F108" s="109">
        <v>0</v>
      </c>
      <c r="G108" s="109">
        <v>0</v>
      </c>
      <c r="H108" s="109">
        <v>0</v>
      </c>
      <c r="I108" s="109">
        <v>0</v>
      </c>
      <c r="J108" s="75">
        <f t="shared" si="12"/>
        <v>0</v>
      </c>
      <c r="K108" s="75">
        <f t="shared" si="13"/>
        <v>0</v>
      </c>
      <c r="L108" s="109">
        <v>0</v>
      </c>
      <c r="M108" s="110">
        <v>0</v>
      </c>
      <c r="N108" s="128"/>
    </row>
    <row r="109" spans="1:14" ht="12.75" customHeight="1" x14ac:dyDescent="0.25">
      <c r="A109" s="588" t="s">
        <v>1646</v>
      </c>
      <c r="B109" s="73"/>
      <c r="C109" s="130">
        <v>0</v>
      </c>
      <c r="D109" s="109">
        <v>0</v>
      </c>
      <c r="E109" s="109">
        <v>0</v>
      </c>
      <c r="F109" s="109">
        <v>0</v>
      </c>
      <c r="G109" s="109">
        <v>0</v>
      </c>
      <c r="H109" s="109">
        <v>0</v>
      </c>
      <c r="I109" s="109">
        <v>0</v>
      </c>
      <c r="J109" s="75">
        <f t="shared" si="12"/>
        <v>0</v>
      </c>
      <c r="K109" s="75">
        <f t="shared" si="13"/>
        <v>0</v>
      </c>
      <c r="L109" s="109">
        <v>0</v>
      </c>
      <c r="M109" s="110">
        <v>0</v>
      </c>
      <c r="N109" s="128"/>
    </row>
    <row r="110" spans="1:14" ht="12.75" customHeight="1" x14ac:dyDescent="0.25">
      <c r="A110" s="590" t="s">
        <v>1647</v>
      </c>
      <c r="B110" s="73"/>
      <c r="C110" s="130">
        <v>0</v>
      </c>
      <c r="D110" s="109">
        <v>0</v>
      </c>
      <c r="E110" s="109">
        <v>0</v>
      </c>
      <c r="F110" s="109">
        <v>0</v>
      </c>
      <c r="G110" s="109">
        <v>0</v>
      </c>
      <c r="H110" s="109">
        <v>0</v>
      </c>
      <c r="I110" s="109">
        <v>0</v>
      </c>
      <c r="J110" s="75">
        <f t="shared" si="12"/>
        <v>0</v>
      </c>
      <c r="K110" s="75">
        <f t="shared" si="13"/>
        <v>0</v>
      </c>
      <c r="L110" s="109">
        <v>0</v>
      </c>
      <c r="M110" s="110">
        <v>0</v>
      </c>
      <c r="N110" s="128"/>
    </row>
    <row r="111" spans="1:14" ht="5.0999999999999996" customHeight="1" x14ac:dyDescent="0.25">
      <c r="A111" s="1226"/>
      <c r="B111" s="73"/>
      <c r="C111" s="74"/>
      <c r="D111" s="75"/>
      <c r="E111" s="75"/>
      <c r="F111" s="75"/>
      <c r="G111" s="75"/>
      <c r="H111" s="75"/>
      <c r="I111" s="75"/>
      <c r="J111" s="75"/>
      <c r="K111" s="75"/>
      <c r="L111" s="75"/>
      <c r="M111" s="76"/>
      <c r="N111" s="128"/>
    </row>
    <row r="112" spans="1:14" ht="12.75" customHeight="1" x14ac:dyDescent="0.25">
      <c r="A112" s="1227" t="s">
        <v>766</v>
      </c>
      <c r="B112" s="73"/>
      <c r="C112" s="236">
        <f>+C113+C116</f>
        <v>300000</v>
      </c>
      <c r="D112" s="237">
        <f t="shared" ref="D112:I112" si="18">+D113+D116</f>
        <v>300000</v>
      </c>
      <c r="E112" s="237">
        <f t="shared" si="18"/>
        <v>0</v>
      </c>
      <c r="F112" s="237">
        <f t="shared" si="18"/>
        <v>0</v>
      </c>
      <c r="G112" s="237">
        <f t="shared" si="18"/>
        <v>0</v>
      </c>
      <c r="H112" s="237">
        <f t="shared" si="18"/>
        <v>0</v>
      </c>
      <c r="I112" s="237">
        <f t="shared" si="18"/>
        <v>0</v>
      </c>
      <c r="J112" s="237">
        <f t="shared" si="12"/>
        <v>0</v>
      </c>
      <c r="K112" s="237">
        <f t="shared" si="13"/>
        <v>300000</v>
      </c>
      <c r="L112" s="237">
        <f>+L113+L116</f>
        <v>957643</v>
      </c>
      <c r="M112" s="238">
        <f>+M113+M116</f>
        <v>500000</v>
      </c>
      <c r="N112" s="128"/>
    </row>
    <row r="113" spans="1:14" ht="10.15" customHeight="1" x14ac:dyDescent="0.25">
      <c r="A113" s="588" t="s">
        <v>1648</v>
      </c>
      <c r="B113" s="73"/>
      <c r="C113" s="140">
        <f>SUM(C114:C115)</f>
        <v>300000</v>
      </c>
      <c r="D113" s="141">
        <f>SUM(D114:D115)</f>
        <v>300000</v>
      </c>
      <c r="E113" s="141">
        <f t="shared" ref="E113:M113" si="19">SUM(E114:E115)</f>
        <v>0</v>
      </c>
      <c r="F113" s="141">
        <f t="shared" si="19"/>
        <v>0</v>
      </c>
      <c r="G113" s="141">
        <f t="shared" si="19"/>
        <v>0</v>
      </c>
      <c r="H113" s="141">
        <f t="shared" si="19"/>
        <v>0</v>
      </c>
      <c r="I113" s="141">
        <f t="shared" si="19"/>
        <v>0</v>
      </c>
      <c r="J113" s="141">
        <f t="shared" si="12"/>
        <v>0</v>
      </c>
      <c r="K113" s="141">
        <f t="shared" si="13"/>
        <v>300000</v>
      </c>
      <c r="L113" s="141">
        <f t="shared" si="19"/>
        <v>957643</v>
      </c>
      <c r="M113" s="142">
        <f t="shared" si="19"/>
        <v>500000</v>
      </c>
      <c r="N113" s="128"/>
    </row>
    <row r="114" spans="1:14" ht="12.75" customHeight="1" x14ac:dyDescent="0.25">
      <c r="A114" s="589" t="s">
        <v>1649</v>
      </c>
      <c r="B114" s="73"/>
      <c r="C114" s="130">
        <v>0</v>
      </c>
      <c r="D114" s="109">
        <v>0</v>
      </c>
      <c r="E114" s="109">
        <v>0</v>
      </c>
      <c r="F114" s="109">
        <v>0</v>
      </c>
      <c r="G114" s="109">
        <v>0</v>
      </c>
      <c r="H114" s="109">
        <v>0</v>
      </c>
      <c r="I114" s="109">
        <v>0</v>
      </c>
      <c r="J114" s="75">
        <f t="shared" si="12"/>
        <v>0</v>
      </c>
      <c r="K114" s="75">
        <f t="shared" si="13"/>
        <v>0</v>
      </c>
      <c r="L114" s="109">
        <v>0</v>
      </c>
      <c r="M114" s="110">
        <v>0</v>
      </c>
      <c r="N114" s="128"/>
    </row>
    <row r="115" spans="1:14" ht="12.75" customHeight="1" x14ac:dyDescent="0.25">
      <c r="A115" s="589" t="s">
        <v>1650</v>
      </c>
      <c r="B115" s="73"/>
      <c r="C115" s="130">
        <v>300000</v>
      </c>
      <c r="D115" s="109">
        <v>300000</v>
      </c>
      <c r="E115" s="109">
        <v>0</v>
      </c>
      <c r="F115" s="109">
        <v>0</v>
      </c>
      <c r="G115" s="109">
        <v>0</v>
      </c>
      <c r="H115" s="109">
        <v>0</v>
      </c>
      <c r="I115" s="109">
        <v>0</v>
      </c>
      <c r="J115" s="75">
        <f t="shared" si="12"/>
        <v>0</v>
      </c>
      <c r="K115" s="75">
        <f t="shared" si="13"/>
        <v>300000</v>
      </c>
      <c r="L115" s="109">
        <v>957643</v>
      </c>
      <c r="M115" s="110">
        <v>500000</v>
      </c>
      <c r="N115" s="128"/>
    </row>
    <row r="116" spans="1:14" ht="10.15" customHeight="1" x14ac:dyDescent="0.25">
      <c r="A116" s="588" t="s">
        <v>1651</v>
      </c>
      <c r="B116" s="73"/>
      <c r="C116" s="140">
        <f>SUM(C117:C118)</f>
        <v>0</v>
      </c>
      <c r="D116" s="141">
        <f>SUM(D117:D118)</f>
        <v>0</v>
      </c>
      <c r="E116" s="141">
        <f t="shared" ref="E116:M116" si="20">SUM(E117:E118)</f>
        <v>0</v>
      </c>
      <c r="F116" s="141">
        <f t="shared" si="20"/>
        <v>0</v>
      </c>
      <c r="G116" s="141">
        <f t="shared" si="20"/>
        <v>0</v>
      </c>
      <c r="H116" s="141">
        <f t="shared" si="20"/>
        <v>0</v>
      </c>
      <c r="I116" s="141">
        <f t="shared" si="20"/>
        <v>0</v>
      </c>
      <c r="J116" s="141">
        <f t="shared" si="12"/>
        <v>0</v>
      </c>
      <c r="K116" s="141">
        <f t="shared" si="13"/>
        <v>0</v>
      </c>
      <c r="L116" s="141">
        <f t="shared" si="20"/>
        <v>0</v>
      </c>
      <c r="M116" s="142">
        <f t="shared" si="20"/>
        <v>0</v>
      </c>
      <c r="N116" s="128"/>
    </row>
    <row r="117" spans="1:14" ht="12.75" customHeight="1" x14ac:dyDescent="0.25">
      <c r="A117" s="589" t="s">
        <v>1649</v>
      </c>
      <c r="B117" s="73"/>
      <c r="C117" s="130">
        <v>0</v>
      </c>
      <c r="D117" s="109">
        <v>0</v>
      </c>
      <c r="E117" s="109">
        <v>0</v>
      </c>
      <c r="F117" s="109">
        <v>0</v>
      </c>
      <c r="G117" s="109">
        <v>0</v>
      </c>
      <c r="H117" s="109">
        <v>0</v>
      </c>
      <c r="I117" s="109">
        <v>0</v>
      </c>
      <c r="J117" s="75">
        <f t="shared" si="12"/>
        <v>0</v>
      </c>
      <c r="K117" s="75">
        <f t="shared" si="13"/>
        <v>0</v>
      </c>
      <c r="L117" s="109">
        <v>0</v>
      </c>
      <c r="M117" s="110">
        <v>0</v>
      </c>
      <c r="N117" s="128"/>
    </row>
    <row r="118" spans="1:14" ht="12.75" customHeight="1" x14ac:dyDescent="0.25">
      <c r="A118" s="589" t="s">
        <v>1650</v>
      </c>
      <c r="B118" s="73"/>
      <c r="C118" s="130">
        <v>0</v>
      </c>
      <c r="D118" s="109">
        <v>0</v>
      </c>
      <c r="E118" s="109">
        <v>0</v>
      </c>
      <c r="F118" s="109">
        <v>0</v>
      </c>
      <c r="G118" s="109">
        <v>0</v>
      </c>
      <c r="H118" s="109">
        <v>0</v>
      </c>
      <c r="I118" s="109">
        <v>0</v>
      </c>
      <c r="J118" s="75">
        <f t="shared" si="12"/>
        <v>0</v>
      </c>
      <c r="K118" s="75">
        <f t="shared" si="13"/>
        <v>0</v>
      </c>
      <c r="L118" s="109">
        <v>0</v>
      </c>
      <c r="M118" s="110">
        <v>0</v>
      </c>
      <c r="N118" s="128"/>
    </row>
    <row r="119" spans="1:14" ht="5.0999999999999996" customHeight="1" x14ac:dyDescent="0.25">
      <c r="A119" s="136"/>
      <c r="B119" s="73"/>
      <c r="C119" s="74"/>
      <c r="D119" s="75"/>
      <c r="E119" s="75"/>
      <c r="F119" s="75"/>
      <c r="G119" s="75"/>
      <c r="H119" s="75"/>
      <c r="I119" s="75"/>
      <c r="J119" s="75"/>
      <c r="K119" s="75"/>
      <c r="L119" s="75"/>
      <c r="M119" s="76"/>
      <c r="N119" s="128"/>
    </row>
    <row r="120" spans="1:14" ht="12.75" customHeight="1" x14ac:dyDescent="0.25">
      <c r="A120" s="1227" t="s">
        <v>767</v>
      </c>
      <c r="B120" s="73"/>
      <c r="C120" s="236">
        <f>+C121+C133</f>
        <v>2300000</v>
      </c>
      <c r="D120" s="237">
        <f t="shared" ref="D120:I120" si="21">+D121+D133</f>
        <v>8150000</v>
      </c>
      <c r="E120" s="237">
        <f t="shared" si="21"/>
        <v>0</v>
      </c>
      <c r="F120" s="237">
        <f t="shared" si="21"/>
        <v>0</v>
      </c>
      <c r="G120" s="237">
        <f t="shared" si="21"/>
        <v>0</v>
      </c>
      <c r="H120" s="237">
        <f t="shared" si="21"/>
        <v>0</v>
      </c>
      <c r="I120" s="237">
        <f t="shared" si="21"/>
        <v>-2087983</v>
      </c>
      <c r="J120" s="237">
        <f t="shared" si="12"/>
        <v>-2087983</v>
      </c>
      <c r="K120" s="237">
        <f t="shared" si="13"/>
        <v>6062017</v>
      </c>
      <c r="L120" s="237">
        <f>+L121+L133</f>
        <v>1000000</v>
      </c>
      <c r="M120" s="238">
        <f>+M121+M133</f>
        <v>835744</v>
      </c>
      <c r="N120" s="128"/>
    </row>
    <row r="121" spans="1:14" ht="10.15" customHeight="1" x14ac:dyDescent="0.25">
      <c r="A121" s="588" t="s">
        <v>1652</v>
      </c>
      <c r="B121" s="73"/>
      <c r="C121" s="140">
        <f>SUM(C122:C132)</f>
        <v>2300000</v>
      </c>
      <c r="D121" s="141">
        <f t="shared" ref="D121:I121" si="22">SUM(D122:D132)</f>
        <v>8150000</v>
      </c>
      <c r="E121" s="141">
        <f t="shared" si="22"/>
        <v>0</v>
      </c>
      <c r="F121" s="141">
        <f t="shared" si="22"/>
        <v>0</v>
      </c>
      <c r="G121" s="141">
        <f t="shared" si="22"/>
        <v>0</v>
      </c>
      <c r="H121" s="141">
        <f t="shared" si="22"/>
        <v>0</v>
      </c>
      <c r="I121" s="141">
        <f t="shared" si="22"/>
        <v>-2087983</v>
      </c>
      <c r="J121" s="141">
        <f t="shared" si="12"/>
        <v>-2087983</v>
      </c>
      <c r="K121" s="141">
        <f t="shared" si="13"/>
        <v>6062017</v>
      </c>
      <c r="L121" s="141">
        <f>SUM(L122:L132)</f>
        <v>1000000</v>
      </c>
      <c r="M121" s="142">
        <f>SUM(M122:M132)</f>
        <v>835744</v>
      </c>
      <c r="N121" s="128"/>
    </row>
    <row r="122" spans="1:14" ht="12.75" customHeight="1" x14ac:dyDescent="0.25">
      <c r="A122" s="589" t="s">
        <v>1653</v>
      </c>
      <c r="B122" s="73"/>
      <c r="C122" s="130">
        <v>2300000</v>
      </c>
      <c r="D122" s="109">
        <v>8150000</v>
      </c>
      <c r="E122" s="109">
        <v>0</v>
      </c>
      <c r="F122" s="109">
        <v>0</v>
      </c>
      <c r="G122" s="109">
        <v>0</v>
      </c>
      <c r="H122" s="109">
        <v>0</v>
      </c>
      <c r="I122" s="109">
        <v>-2087983</v>
      </c>
      <c r="J122" s="75">
        <f t="shared" si="12"/>
        <v>-2087983</v>
      </c>
      <c r="K122" s="75">
        <f t="shared" si="13"/>
        <v>6062017</v>
      </c>
      <c r="L122" s="109">
        <v>1000000</v>
      </c>
      <c r="M122" s="110">
        <v>313404</v>
      </c>
      <c r="N122" s="128"/>
    </row>
    <row r="123" spans="1:14" ht="12.75" customHeight="1" x14ac:dyDescent="0.25">
      <c r="A123" s="589" t="s">
        <v>1654</v>
      </c>
      <c r="B123" s="137"/>
      <c r="C123" s="130">
        <v>0</v>
      </c>
      <c r="D123" s="109">
        <v>0</v>
      </c>
      <c r="E123" s="109">
        <v>0</v>
      </c>
      <c r="F123" s="109">
        <v>0</v>
      </c>
      <c r="G123" s="109">
        <v>0</v>
      </c>
      <c r="H123" s="109">
        <v>0</v>
      </c>
      <c r="I123" s="109">
        <v>0</v>
      </c>
      <c r="J123" s="75">
        <f t="shared" si="12"/>
        <v>0</v>
      </c>
      <c r="K123" s="75">
        <f t="shared" si="13"/>
        <v>0</v>
      </c>
      <c r="L123" s="109">
        <v>0</v>
      </c>
      <c r="M123" s="110">
        <v>0</v>
      </c>
      <c r="N123" s="128"/>
    </row>
    <row r="124" spans="1:14" ht="12.75" customHeight="1" x14ac:dyDescent="0.25">
      <c r="A124" s="589" t="s">
        <v>1655</v>
      </c>
      <c r="B124" s="73"/>
      <c r="C124" s="130">
        <v>0</v>
      </c>
      <c r="D124" s="109">
        <v>0</v>
      </c>
      <c r="E124" s="109">
        <v>0</v>
      </c>
      <c r="F124" s="109">
        <v>0</v>
      </c>
      <c r="G124" s="109">
        <v>0</v>
      </c>
      <c r="H124" s="109">
        <v>0</v>
      </c>
      <c r="I124" s="109">
        <v>0</v>
      </c>
      <c r="J124" s="75">
        <f t="shared" si="12"/>
        <v>0</v>
      </c>
      <c r="K124" s="75">
        <f t="shared" si="13"/>
        <v>0</v>
      </c>
      <c r="L124" s="109">
        <v>0</v>
      </c>
      <c r="M124" s="110">
        <v>0</v>
      </c>
      <c r="N124" s="128"/>
    </row>
    <row r="125" spans="1:14" ht="12.75" customHeight="1" x14ac:dyDescent="0.25">
      <c r="A125" s="589" t="s">
        <v>1656</v>
      </c>
      <c r="B125" s="73"/>
      <c r="C125" s="130">
        <v>0</v>
      </c>
      <c r="D125" s="109">
        <v>0</v>
      </c>
      <c r="E125" s="109">
        <v>0</v>
      </c>
      <c r="F125" s="109">
        <v>0</v>
      </c>
      <c r="G125" s="109">
        <v>0</v>
      </c>
      <c r="H125" s="109">
        <v>0</v>
      </c>
      <c r="I125" s="109">
        <v>0</v>
      </c>
      <c r="J125" s="75">
        <f t="shared" si="12"/>
        <v>0</v>
      </c>
      <c r="K125" s="75">
        <f t="shared" si="13"/>
        <v>0</v>
      </c>
      <c r="L125" s="109">
        <v>0</v>
      </c>
      <c r="M125" s="110">
        <v>0</v>
      </c>
      <c r="N125" s="128"/>
    </row>
    <row r="126" spans="1:14" ht="12.75" customHeight="1" x14ac:dyDescent="0.25">
      <c r="A126" s="589" t="s">
        <v>1657</v>
      </c>
      <c r="B126" s="73"/>
      <c r="C126" s="130">
        <v>0</v>
      </c>
      <c r="D126" s="109">
        <v>0</v>
      </c>
      <c r="E126" s="109">
        <v>0</v>
      </c>
      <c r="F126" s="109">
        <v>0</v>
      </c>
      <c r="G126" s="109">
        <v>0</v>
      </c>
      <c r="H126" s="109">
        <v>0</v>
      </c>
      <c r="I126" s="109">
        <v>0</v>
      </c>
      <c r="J126" s="75">
        <f t="shared" si="12"/>
        <v>0</v>
      </c>
      <c r="K126" s="75">
        <f t="shared" si="13"/>
        <v>0</v>
      </c>
      <c r="L126" s="109">
        <v>0</v>
      </c>
      <c r="M126" s="110">
        <v>522340</v>
      </c>
      <c r="N126" s="128"/>
    </row>
    <row r="127" spans="1:14" ht="12.75" customHeight="1" x14ac:dyDescent="0.25">
      <c r="A127" s="589" t="s">
        <v>1658</v>
      </c>
      <c r="B127" s="73"/>
      <c r="C127" s="130">
        <v>0</v>
      </c>
      <c r="D127" s="109">
        <v>0</v>
      </c>
      <c r="E127" s="109">
        <v>0</v>
      </c>
      <c r="F127" s="109">
        <v>0</v>
      </c>
      <c r="G127" s="109">
        <v>0</v>
      </c>
      <c r="H127" s="109">
        <v>0</v>
      </c>
      <c r="I127" s="109">
        <v>0</v>
      </c>
      <c r="J127" s="75">
        <f t="shared" si="12"/>
        <v>0</v>
      </c>
      <c r="K127" s="75">
        <f t="shared" si="13"/>
        <v>0</v>
      </c>
      <c r="L127" s="109">
        <v>0</v>
      </c>
      <c r="M127" s="110">
        <v>0</v>
      </c>
      <c r="N127" s="128"/>
    </row>
    <row r="128" spans="1:14" ht="12.75" customHeight="1" x14ac:dyDescent="0.25">
      <c r="A128" s="589" t="s">
        <v>1659</v>
      </c>
      <c r="B128" s="73"/>
      <c r="C128" s="130">
        <v>0</v>
      </c>
      <c r="D128" s="109">
        <v>0</v>
      </c>
      <c r="E128" s="109">
        <v>0</v>
      </c>
      <c r="F128" s="109">
        <v>0</v>
      </c>
      <c r="G128" s="109">
        <v>0</v>
      </c>
      <c r="H128" s="109">
        <v>0</v>
      </c>
      <c r="I128" s="109">
        <v>0</v>
      </c>
      <c r="J128" s="75">
        <f t="shared" si="12"/>
        <v>0</v>
      </c>
      <c r="K128" s="75">
        <f t="shared" si="13"/>
        <v>0</v>
      </c>
      <c r="L128" s="109">
        <v>0</v>
      </c>
      <c r="M128" s="110">
        <v>0</v>
      </c>
      <c r="N128" s="128"/>
    </row>
    <row r="129" spans="1:14" ht="12.75" customHeight="1" x14ac:dyDescent="0.25">
      <c r="A129" s="589" t="s">
        <v>1660</v>
      </c>
      <c r="B129" s="137"/>
      <c r="C129" s="130">
        <v>0</v>
      </c>
      <c r="D129" s="109">
        <v>0</v>
      </c>
      <c r="E129" s="109">
        <v>0</v>
      </c>
      <c r="F129" s="109">
        <v>0</v>
      </c>
      <c r="G129" s="109">
        <v>0</v>
      </c>
      <c r="H129" s="109">
        <v>0</v>
      </c>
      <c r="I129" s="109">
        <v>0</v>
      </c>
      <c r="J129" s="75">
        <f t="shared" si="12"/>
        <v>0</v>
      </c>
      <c r="K129" s="75">
        <f t="shared" si="13"/>
        <v>0</v>
      </c>
      <c r="L129" s="109">
        <v>0</v>
      </c>
      <c r="M129" s="110">
        <v>0</v>
      </c>
      <c r="N129" s="128"/>
    </row>
    <row r="130" spans="1:14" ht="12.75" customHeight="1" x14ac:dyDescent="0.25">
      <c r="A130" s="589" t="s">
        <v>1661</v>
      </c>
      <c r="B130" s="73"/>
      <c r="C130" s="130">
        <v>0</v>
      </c>
      <c r="D130" s="109">
        <v>0</v>
      </c>
      <c r="E130" s="109">
        <v>0</v>
      </c>
      <c r="F130" s="109">
        <v>0</v>
      </c>
      <c r="G130" s="109">
        <v>0</v>
      </c>
      <c r="H130" s="109">
        <v>0</v>
      </c>
      <c r="I130" s="109">
        <v>0</v>
      </c>
      <c r="J130" s="75">
        <f t="shared" si="12"/>
        <v>0</v>
      </c>
      <c r="K130" s="75">
        <f t="shared" si="13"/>
        <v>0</v>
      </c>
      <c r="L130" s="109">
        <v>0</v>
      </c>
      <c r="M130" s="110">
        <v>0</v>
      </c>
      <c r="N130" s="128"/>
    </row>
    <row r="131" spans="1:14" ht="12.75" customHeight="1" x14ac:dyDescent="0.25">
      <c r="A131" s="589" t="s">
        <v>1662</v>
      </c>
      <c r="B131" s="73"/>
      <c r="C131" s="130">
        <v>0</v>
      </c>
      <c r="D131" s="109">
        <v>0</v>
      </c>
      <c r="E131" s="109">
        <v>0</v>
      </c>
      <c r="F131" s="109">
        <v>0</v>
      </c>
      <c r="G131" s="109">
        <v>0</v>
      </c>
      <c r="H131" s="109">
        <v>0</v>
      </c>
      <c r="I131" s="109">
        <v>0</v>
      </c>
      <c r="J131" s="75">
        <f t="shared" si="12"/>
        <v>0</v>
      </c>
      <c r="K131" s="75">
        <f t="shared" si="13"/>
        <v>0</v>
      </c>
      <c r="L131" s="109">
        <v>0</v>
      </c>
      <c r="M131" s="110">
        <v>0</v>
      </c>
      <c r="N131" s="128"/>
    </row>
    <row r="132" spans="1:14" ht="12.75" customHeight="1" x14ac:dyDescent="0.25">
      <c r="A132" s="589" t="s">
        <v>1572</v>
      </c>
      <c r="B132" s="73"/>
      <c r="C132" s="130">
        <v>0</v>
      </c>
      <c r="D132" s="109">
        <v>0</v>
      </c>
      <c r="E132" s="109">
        <v>0</v>
      </c>
      <c r="F132" s="109">
        <v>0</v>
      </c>
      <c r="G132" s="109">
        <v>0</v>
      </c>
      <c r="H132" s="109">
        <v>0</v>
      </c>
      <c r="I132" s="109">
        <v>0</v>
      </c>
      <c r="J132" s="75">
        <f t="shared" si="12"/>
        <v>0</v>
      </c>
      <c r="K132" s="75">
        <f t="shared" si="13"/>
        <v>0</v>
      </c>
      <c r="L132" s="109">
        <v>0</v>
      </c>
      <c r="M132" s="110">
        <v>0</v>
      </c>
      <c r="N132" s="128"/>
    </row>
    <row r="133" spans="1:14" ht="10.15" customHeight="1" x14ac:dyDescent="0.25">
      <c r="A133" s="588" t="s">
        <v>619</v>
      </c>
      <c r="B133" s="73"/>
      <c r="C133" s="140">
        <f>SUM(C134:C136)</f>
        <v>0</v>
      </c>
      <c r="D133" s="141">
        <f>SUM(D134:D136)</f>
        <v>0</v>
      </c>
      <c r="E133" s="141">
        <f t="shared" ref="E133:M133" si="23">SUM(E134:E136)</f>
        <v>0</v>
      </c>
      <c r="F133" s="141">
        <f t="shared" si="23"/>
        <v>0</v>
      </c>
      <c r="G133" s="141">
        <f t="shared" si="23"/>
        <v>0</v>
      </c>
      <c r="H133" s="141">
        <f t="shared" si="23"/>
        <v>0</v>
      </c>
      <c r="I133" s="141">
        <f t="shared" si="23"/>
        <v>0</v>
      </c>
      <c r="J133" s="141">
        <f t="shared" si="12"/>
        <v>0</v>
      </c>
      <c r="K133" s="141">
        <f t="shared" si="13"/>
        <v>0</v>
      </c>
      <c r="L133" s="141">
        <f t="shared" si="23"/>
        <v>0</v>
      </c>
      <c r="M133" s="142">
        <f t="shared" si="23"/>
        <v>0</v>
      </c>
      <c r="N133" s="128"/>
    </row>
    <row r="134" spans="1:14" s="1234" customFormat="1" ht="12.75" customHeight="1" x14ac:dyDescent="0.25">
      <c r="A134" s="589" t="s">
        <v>1663</v>
      </c>
      <c r="B134" s="1228"/>
      <c r="C134" s="1229">
        <v>0</v>
      </c>
      <c r="D134" s="1230">
        <v>0</v>
      </c>
      <c r="E134" s="1230">
        <v>0</v>
      </c>
      <c r="F134" s="1230">
        <v>0</v>
      </c>
      <c r="G134" s="1230">
        <v>0</v>
      </c>
      <c r="H134" s="1230">
        <v>0</v>
      </c>
      <c r="I134" s="1230">
        <v>0</v>
      </c>
      <c r="J134" s="1231">
        <f t="shared" si="12"/>
        <v>0</v>
      </c>
      <c r="K134" s="1231">
        <f t="shared" si="13"/>
        <v>0</v>
      </c>
      <c r="L134" s="1230">
        <v>0</v>
      </c>
      <c r="M134" s="1232">
        <v>0</v>
      </c>
      <c r="N134" s="1233"/>
    </row>
    <row r="135" spans="1:14" ht="12.75" customHeight="1" x14ac:dyDescent="0.25">
      <c r="A135" s="589" t="s">
        <v>1664</v>
      </c>
      <c r="B135" s="73"/>
      <c r="C135" s="130">
        <v>0</v>
      </c>
      <c r="D135" s="109">
        <v>0</v>
      </c>
      <c r="E135" s="109">
        <v>0</v>
      </c>
      <c r="F135" s="109">
        <v>0</v>
      </c>
      <c r="G135" s="109">
        <v>0</v>
      </c>
      <c r="H135" s="109">
        <v>0</v>
      </c>
      <c r="I135" s="109">
        <v>0</v>
      </c>
      <c r="J135" s="75">
        <f t="shared" si="12"/>
        <v>0</v>
      </c>
      <c r="K135" s="75">
        <f t="shared" si="13"/>
        <v>0</v>
      </c>
      <c r="L135" s="109">
        <v>0</v>
      </c>
      <c r="M135" s="110">
        <v>0</v>
      </c>
      <c r="N135" s="128"/>
    </row>
    <row r="136" spans="1:14" ht="12.75" customHeight="1" x14ac:dyDescent="0.25">
      <c r="A136" s="589" t="s">
        <v>1572</v>
      </c>
      <c r="B136" s="73"/>
      <c r="C136" s="130">
        <v>0</v>
      </c>
      <c r="D136" s="109">
        <v>0</v>
      </c>
      <c r="E136" s="109">
        <v>0</v>
      </c>
      <c r="F136" s="109">
        <v>0</v>
      </c>
      <c r="G136" s="109">
        <v>0</v>
      </c>
      <c r="H136" s="109">
        <v>0</v>
      </c>
      <c r="I136" s="109">
        <v>0</v>
      </c>
      <c r="J136" s="75">
        <f t="shared" si="12"/>
        <v>0</v>
      </c>
      <c r="K136" s="75">
        <f t="shared" si="13"/>
        <v>0</v>
      </c>
      <c r="L136" s="109">
        <v>0</v>
      </c>
      <c r="M136" s="110">
        <v>0</v>
      </c>
      <c r="N136" s="128"/>
    </row>
    <row r="137" spans="1:14" ht="5.0999999999999996" customHeight="1" x14ac:dyDescent="0.25">
      <c r="A137" s="136"/>
      <c r="B137" s="73"/>
      <c r="C137" s="74"/>
      <c r="D137" s="75"/>
      <c r="E137" s="75"/>
      <c r="F137" s="75"/>
      <c r="G137" s="75"/>
      <c r="H137" s="75"/>
      <c r="I137" s="75"/>
      <c r="J137" s="75"/>
      <c r="K137" s="75"/>
      <c r="L137" s="75"/>
      <c r="M137" s="76"/>
      <c r="N137" s="128"/>
    </row>
    <row r="138" spans="1:14" ht="12.75" customHeight="1" x14ac:dyDescent="0.25">
      <c r="A138" s="486" t="s">
        <v>1665</v>
      </c>
      <c r="B138" s="73"/>
      <c r="C138" s="236">
        <f t="shared" ref="C138:M138" si="24">SUM(C139:C139)</f>
        <v>0</v>
      </c>
      <c r="D138" s="237">
        <f t="shared" si="24"/>
        <v>0</v>
      </c>
      <c r="E138" s="237">
        <f t="shared" si="24"/>
        <v>0</v>
      </c>
      <c r="F138" s="237">
        <f t="shared" si="24"/>
        <v>0</v>
      </c>
      <c r="G138" s="237">
        <f t="shared" si="24"/>
        <v>0</v>
      </c>
      <c r="H138" s="237">
        <f t="shared" si="24"/>
        <v>0</v>
      </c>
      <c r="I138" s="237">
        <f t="shared" si="24"/>
        <v>0</v>
      </c>
      <c r="J138" s="237">
        <f t="shared" ref="J138:J169" si="25">SUM(E138:I138)</f>
        <v>0</v>
      </c>
      <c r="K138" s="237">
        <f t="shared" ref="K138:K169" si="26">IF(D138=0,C138+J138,D138+J138)</f>
        <v>0</v>
      </c>
      <c r="L138" s="237">
        <f t="shared" si="24"/>
        <v>0</v>
      </c>
      <c r="M138" s="238">
        <f t="shared" si="24"/>
        <v>0</v>
      </c>
      <c r="N138" s="128"/>
    </row>
    <row r="139" spans="1:14" ht="12.75" customHeight="1" x14ac:dyDescent="0.25">
      <c r="A139" s="588" t="s">
        <v>1665</v>
      </c>
      <c r="B139" s="73"/>
      <c r="C139" s="130">
        <v>0</v>
      </c>
      <c r="D139" s="109">
        <v>0</v>
      </c>
      <c r="E139" s="109">
        <v>0</v>
      </c>
      <c r="F139" s="109">
        <v>0</v>
      </c>
      <c r="G139" s="109">
        <v>0</v>
      </c>
      <c r="H139" s="109">
        <v>0</v>
      </c>
      <c r="I139" s="109">
        <v>0</v>
      </c>
      <c r="J139" s="75">
        <f t="shared" si="25"/>
        <v>0</v>
      </c>
      <c r="K139" s="75">
        <f t="shared" si="26"/>
        <v>0</v>
      </c>
      <c r="L139" s="109">
        <v>0</v>
      </c>
      <c r="M139" s="110">
        <v>0</v>
      </c>
      <c r="N139" s="128"/>
    </row>
    <row r="140" spans="1:14" ht="5.0999999999999996" customHeight="1" x14ac:dyDescent="0.25">
      <c r="A140" s="1235"/>
      <c r="B140" s="73"/>
      <c r="C140" s="74"/>
      <c r="D140" s="75"/>
      <c r="E140" s="75"/>
      <c r="F140" s="75"/>
      <c r="G140" s="75"/>
      <c r="H140" s="75"/>
      <c r="I140" s="75"/>
      <c r="J140" s="75"/>
      <c r="K140" s="75"/>
      <c r="L140" s="75"/>
      <c r="M140" s="76"/>
      <c r="N140" s="128"/>
    </row>
    <row r="141" spans="1:14" ht="12.75" customHeight="1" x14ac:dyDescent="0.25">
      <c r="A141" s="486" t="s">
        <v>1666</v>
      </c>
      <c r="B141" s="73"/>
      <c r="C141" s="236">
        <f>SUM(C142:C143)</f>
        <v>0</v>
      </c>
      <c r="D141" s="237">
        <f>SUM(D142:D143)</f>
        <v>0</v>
      </c>
      <c r="E141" s="237">
        <f t="shared" ref="E141:M141" si="27">SUM(E142:E143)</f>
        <v>0</v>
      </c>
      <c r="F141" s="237">
        <f t="shared" si="27"/>
        <v>0</v>
      </c>
      <c r="G141" s="237">
        <f t="shared" si="27"/>
        <v>0</v>
      </c>
      <c r="H141" s="237">
        <f t="shared" si="27"/>
        <v>0</v>
      </c>
      <c r="I141" s="237">
        <f t="shared" si="27"/>
        <v>0</v>
      </c>
      <c r="J141" s="237">
        <f t="shared" si="25"/>
        <v>0</v>
      </c>
      <c r="K141" s="237">
        <f t="shared" si="26"/>
        <v>0</v>
      </c>
      <c r="L141" s="237">
        <f t="shared" si="27"/>
        <v>0</v>
      </c>
      <c r="M141" s="238">
        <f t="shared" si="27"/>
        <v>0</v>
      </c>
      <c r="N141" s="128"/>
    </row>
    <row r="142" spans="1:14" ht="12.75" customHeight="1" x14ac:dyDescent="0.25">
      <c r="A142" s="590" t="s">
        <v>1667</v>
      </c>
      <c r="B142" s="73"/>
      <c r="C142" s="130">
        <v>0</v>
      </c>
      <c r="D142" s="109">
        <v>0</v>
      </c>
      <c r="E142" s="109">
        <v>0</v>
      </c>
      <c r="F142" s="109">
        <v>0</v>
      </c>
      <c r="G142" s="109">
        <v>0</v>
      </c>
      <c r="H142" s="109">
        <v>0</v>
      </c>
      <c r="I142" s="109">
        <v>0</v>
      </c>
      <c r="J142" s="75">
        <f t="shared" si="25"/>
        <v>0</v>
      </c>
      <c r="K142" s="75">
        <f t="shared" si="26"/>
        <v>0</v>
      </c>
      <c r="L142" s="109">
        <v>0</v>
      </c>
      <c r="M142" s="110">
        <v>0</v>
      </c>
      <c r="N142" s="128"/>
    </row>
    <row r="143" spans="1:14" ht="10.15" customHeight="1" x14ac:dyDescent="0.25">
      <c r="A143" s="590" t="s">
        <v>1668</v>
      </c>
      <c r="B143" s="73"/>
      <c r="C143" s="140">
        <f>SUM(C144:C149)</f>
        <v>0</v>
      </c>
      <c r="D143" s="141">
        <f>SUM(D144:D149)</f>
        <v>0</v>
      </c>
      <c r="E143" s="141">
        <f t="shared" ref="E143:M143" si="28">SUM(E144:E149)</f>
        <v>0</v>
      </c>
      <c r="F143" s="141">
        <f t="shared" si="28"/>
        <v>0</v>
      </c>
      <c r="G143" s="141">
        <f t="shared" si="28"/>
        <v>0</v>
      </c>
      <c r="H143" s="141">
        <f t="shared" si="28"/>
        <v>0</v>
      </c>
      <c r="I143" s="141">
        <f t="shared" si="28"/>
        <v>0</v>
      </c>
      <c r="J143" s="141">
        <f t="shared" si="25"/>
        <v>0</v>
      </c>
      <c r="K143" s="141">
        <f t="shared" si="26"/>
        <v>0</v>
      </c>
      <c r="L143" s="141">
        <f t="shared" si="28"/>
        <v>0</v>
      </c>
      <c r="M143" s="142">
        <f t="shared" si="28"/>
        <v>0</v>
      </c>
      <c r="N143" s="128"/>
    </row>
    <row r="144" spans="1:14" ht="12.75" customHeight="1" x14ac:dyDescent="0.25">
      <c r="A144" s="589" t="s">
        <v>1669</v>
      </c>
      <c r="B144" s="73"/>
      <c r="C144" s="130">
        <v>0</v>
      </c>
      <c r="D144" s="109">
        <v>0</v>
      </c>
      <c r="E144" s="109">
        <v>0</v>
      </c>
      <c r="F144" s="109">
        <v>0</v>
      </c>
      <c r="G144" s="109">
        <v>0</v>
      </c>
      <c r="H144" s="109">
        <v>0</v>
      </c>
      <c r="I144" s="109">
        <v>0</v>
      </c>
      <c r="J144" s="75">
        <f t="shared" si="25"/>
        <v>0</v>
      </c>
      <c r="K144" s="75">
        <f t="shared" si="26"/>
        <v>0</v>
      </c>
      <c r="L144" s="109">
        <v>0</v>
      </c>
      <c r="M144" s="110">
        <v>0</v>
      </c>
      <c r="N144" s="128"/>
    </row>
    <row r="145" spans="1:14" ht="12.75" customHeight="1" x14ac:dyDescent="0.25">
      <c r="A145" s="589" t="s">
        <v>1670</v>
      </c>
      <c r="B145" s="137"/>
      <c r="C145" s="130">
        <v>0</v>
      </c>
      <c r="D145" s="109">
        <v>0</v>
      </c>
      <c r="E145" s="109">
        <v>0</v>
      </c>
      <c r="F145" s="109">
        <v>0</v>
      </c>
      <c r="G145" s="109">
        <v>0</v>
      </c>
      <c r="H145" s="109">
        <v>0</v>
      </c>
      <c r="I145" s="109">
        <v>0</v>
      </c>
      <c r="J145" s="75">
        <f t="shared" si="25"/>
        <v>0</v>
      </c>
      <c r="K145" s="75">
        <f t="shared" si="26"/>
        <v>0</v>
      </c>
      <c r="L145" s="109">
        <v>0</v>
      </c>
      <c r="M145" s="110">
        <v>0</v>
      </c>
      <c r="N145" s="128"/>
    </row>
    <row r="146" spans="1:14" ht="12.75" customHeight="1" x14ac:dyDescent="0.25">
      <c r="A146" s="589" t="s">
        <v>1671</v>
      </c>
      <c r="B146" s="73"/>
      <c r="C146" s="130">
        <v>0</v>
      </c>
      <c r="D146" s="109">
        <v>0</v>
      </c>
      <c r="E146" s="109">
        <v>0</v>
      </c>
      <c r="F146" s="109">
        <v>0</v>
      </c>
      <c r="G146" s="109">
        <v>0</v>
      </c>
      <c r="H146" s="109">
        <v>0</v>
      </c>
      <c r="I146" s="109">
        <v>0</v>
      </c>
      <c r="J146" s="75">
        <f t="shared" si="25"/>
        <v>0</v>
      </c>
      <c r="K146" s="75">
        <f t="shared" si="26"/>
        <v>0</v>
      </c>
      <c r="L146" s="109">
        <v>0</v>
      </c>
      <c r="M146" s="110">
        <v>0</v>
      </c>
      <c r="N146" s="128"/>
    </row>
    <row r="147" spans="1:14" ht="12.75" customHeight="1" x14ac:dyDescent="0.25">
      <c r="A147" s="589" t="s">
        <v>1672</v>
      </c>
      <c r="B147" s="73"/>
      <c r="C147" s="130">
        <v>0</v>
      </c>
      <c r="D147" s="109">
        <v>0</v>
      </c>
      <c r="E147" s="109">
        <v>0</v>
      </c>
      <c r="F147" s="109">
        <v>0</v>
      </c>
      <c r="G147" s="109">
        <v>0</v>
      </c>
      <c r="H147" s="109">
        <v>0</v>
      </c>
      <c r="I147" s="109">
        <v>0</v>
      </c>
      <c r="J147" s="75">
        <f t="shared" si="25"/>
        <v>0</v>
      </c>
      <c r="K147" s="75">
        <f t="shared" si="26"/>
        <v>0</v>
      </c>
      <c r="L147" s="109">
        <v>0</v>
      </c>
      <c r="M147" s="110">
        <v>0</v>
      </c>
      <c r="N147" s="128"/>
    </row>
    <row r="148" spans="1:14" ht="12.75" customHeight="1" x14ac:dyDescent="0.25">
      <c r="A148" s="589" t="s">
        <v>1673</v>
      </c>
      <c r="B148" s="73"/>
      <c r="C148" s="130">
        <v>0</v>
      </c>
      <c r="D148" s="109">
        <v>0</v>
      </c>
      <c r="E148" s="109">
        <v>0</v>
      </c>
      <c r="F148" s="109">
        <v>0</v>
      </c>
      <c r="G148" s="109">
        <v>0</v>
      </c>
      <c r="H148" s="109">
        <v>0</v>
      </c>
      <c r="I148" s="109">
        <v>0</v>
      </c>
      <c r="J148" s="75">
        <f t="shared" si="25"/>
        <v>0</v>
      </c>
      <c r="K148" s="75">
        <f t="shared" si="26"/>
        <v>0</v>
      </c>
      <c r="L148" s="109">
        <v>0</v>
      </c>
      <c r="M148" s="110">
        <v>0</v>
      </c>
      <c r="N148" s="128"/>
    </row>
    <row r="149" spans="1:14" ht="12.75" customHeight="1" x14ac:dyDescent="0.25">
      <c r="A149" s="589" t="s">
        <v>1674</v>
      </c>
      <c r="B149" s="73"/>
      <c r="C149" s="130">
        <v>0</v>
      </c>
      <c r="D149" s="109">
        <v>0</v>
      </c>
      <c r="E149" s="109">
        <v>0</v>
      </c>
      <c r="F149" s="109">
        <v>0</v>
      </c>
      <c r="G149" s="109">
        <v>0</v>
      </c>
      <c r="H149" s="109">
        <v>0</v>
      </c>
      <c r="I149" s="109">
        <v>0</v>
      </c>
      <c r="J149" s="75">
        <f t="shared" si="25"/>
        <v>0</v>
      </c>
      <c r="K149" s="75">
        <f t="shared" si="26"/>
        <v>0</v>
      </c>
      <c r="L149" s="109">
        <v>0</v>
      </c>
      <c r="M149" s="110">
        <v>0</v>
      </c>
      <c r="N149" s="128"/>
    </row>
    <row r="150" spans="1:14" ht="5.0999999999999996" customHeight="1" x14ac:dyDescent="0.25">
      <c r="A150" s="1235"/>
      <c r="B150" s="73"/>
      <c r="C150" s="74"/>
      <c r="D150" s="75"/>
      <c r="E150" s="75"/>
      <c r="F150" s="75"/>
      <c r="G150" s="75"/>
      <c r="H150" s="75"/>
      <c r="I150" s="75"/>
      <c r="J150" s="75"/>
      <c r="K150" s="75"/>
      <c r="L150" s="75"/>
      <c r="M150" s="76"/>
      <c r="N150" s="128"/>
    </row>
    <row r="151" spans="1:14" ht="12.75" customHeight="1" x14ac:dyDescent="0.25">
      <c r="A151" s="486" t="s">
        <v>1675</v>
      </c>
      <c r="B151" s="73"/>
      <c r="C151" s="236">
        <f t="shared" ref="C151:M151" si="29">SUM(C152:C152)</f>
        <v>0</v>
      </c>
      <c r="D151" s="237">
        <f t="shared" si="29"/>
        <v>0</v>
      </c>
      <c r="E151" s="237">
        <f t="shared" si="29"/>
        <v>0</v>
      </c>
      <c r="F151" s="237">
        <f t="shared" si="29"/>
        <v>0</v>
      </c>
      <c r="G151" s="237">
        <f t="shared" si="29"/>
        <v>0</v>
      </c>
      <c r="H151" s="237">
        <f t="shared" si="29"/>
        <v>0</v>
      </c>
      <c r="I151" s="237">
        <f t="shared" si="29"/>
        <v>0</v>
      </c>
      <c r="J151" s="237">
        <f t="shared" si="25"/>
        <v>0</v>
      </c>
      <c r="K151" s="237">
        <f t="shared" si="26"/>
        <v>0</v>
      </c>
      <c r="L151" s="237">
        <f t="shared" si="29"/>
        <v>0</v>
      </c>
      <c r="M151" s="238">
        <f t="shared" si="29"/>
        <v>0</v>
      </c>
      <c r="N151" s="128"/>
    </row>
    <row r="152" spans="1:14" ht="12.75" customHeight="1" x14ac:dyDescent="0.25">
      <c r="A152" s="588" t="s">
        <v>1675</v>
      </c>
      <c r="B152" s="73"/>
      <c r="C152" s="130">
        <v>0</v>
      </c>
      <c r="D152" s="109">
        <v>0</v>
      </c>
      <c r="E152" s="109">
        <v>0</v>
      </c>
      <c r="F152" s="109">
        <v>0</v>
      </c>
      <c r="G152" s="109">
        <v>0</v>
      </c>
      <c r="H152" s="109">
        <v>0</v>
      </c>
      <c r="I152" s="109">
        <v>0</v>
      </c>
      <c r="J152" s="75">
        <f t="shared" si="25"/>
        <v>0</v>
      </c>
      <c r="K152" s="75">
        <f t="shared" si="26"/>
        <v>0</v>
      </c>
      <c r="L152" s="109">
        <v>0</v>
      </c>
      <c r="M152" s="110">
        <v>0</v>
      </c>
      <c r="N152" s="128"/>
    </row>
    <row r="153" spans="1:14" ht="5.0999999999999996" customHeight="1" x14ac:dyDescent="0.25">
      <c r="A153" s="1235"/>
      <c r="B153" s="73"/>
      <c r="C153" s="74"/>
      <c r="D153" s="75"/>
      <c r="E153" s="75"/>
      <c r="F153" s="75"/>
      <c r="G153" s="75"/>
      <c r="H153" s="75"/>
      <c r="I153" s="75"/>
      <c r="J153" s="75"/>
      <c r="K153" s="75"/>
      <c r="L153" s="75"/>
      <c r="M153" s="76"/>
      <c r="N153" s="128"/>
    </row>
    <row r="154" spans="1:14" ht="12.75" customHeight="1" x14ac:dyDescent="0.25">
      <c r="A154" s="486" t="s">
        <v>1676</v>
      </c>
      <c r="B154" s="73"/>
      <c r="C154" s="236">
        <f t="shared" ref="C154:M154" si="30">SUM(C155:C155)</f>
        <v>0</v>
      </c>
      <c r="D154" s="237">
        <f t="shared" si="30"/>
        <v>0</v>
      </c>
      <c r="E154" s="237">
        <f t="shared" si="30"/>
        <v>0</v>
      </c>
      <c r="F154" s="237">
        <f t="shared" si="30"/>
        <v>0</v>
      </c>
      <c r="G154" s="237">
        <f t="shared" si="30"/>
        <v>0</v>
      </c>
      <c r="H154" s="237">
        <f t="shared" si="30"/>
        <v>0</v>
      </c>
      <c r="I154" s="237">
        <f t="shared" si="30"/>
        <v>0</v>
      </c>
      <c r="J154" s="237">
        <f t="shared" si="25"/>
        <v>0</v>
      </c>
      <c r="K154" s="237">
        <f t="shared" si="26"/>
        <v>0</v>
      </c>
      <c r="L154" s="237">
        <f t="shared" si="30"/>
        <v>0</v>
      </c>
      <c r="M154" s="238">
        <f t="shared" si="30"/>
        <v>0</v>
      </c>
      <c r="N154" s="128"/>
    </row>
    <row r="155" spans="1:14" ht="12.75" customHeight="1" x14ac:dyDescent="0.25">
      <c r="A155" s="588" t="s">
        <v>1676</v>
      </c>
      <c r="B155" s="73"/>
      <c r="C155" s="130">
        <v>0</v>
      </c>
      <c r="D155" s="109">
        <v>0</v>
      </c>
      <c r="E155" s="109">
        <v>0</v>
      </c>
      <c r="F155" s="109">
        <v>0</v>
      </c>
      <c r="G155" s="109">
        <v>0</v>
      </c>
      <c r="H155" s="109">
        <v>0</v>
      </c>
      <c r="I155" s="109">
        <v>0</v>
      </c>
      <c r="J155" s="75">
        <f t="shared" si="25"/>
        <v>0</v>
      </c>
      <c r="K155" s="75">
        <f t="shared" si="26"/>
        <v>0</v>
      </c>
      <c r="L155" s="109">
        <v>0</v>
      </c>
      <c r="M155" s="110">
        <v>0</v>
      </c>
      <c r="N155" s="128"/>
    </row>
    <row r="156" spans="1:14" ht="5.0999999999999996" customHeight="1" x14ac:dyDescent="0.25">
      <c r="A156" s="1235"/>
      <c r="B156" s="73"/>
      <c r="C156" s="74"/>
      <c r="D156" s="75"/>
      <c r="E156" s="75"/>
      <c r="F156" s="75"/>
      <c r="G156" s="75"/>
      <c r="H156" s="75"/>
      <c r="I156" s="75"/>
      <c r="J156" s="75"/>
      <c r="K156" s="75"/>
      <c r="L156" s="75"/>
      <c r="M156" s="76"/>
      <c r="N156" s="128"/>
    </row>
    <row r="157" spans="1:14" ht="12.75" customHeight="1" x14ac:dyDescent="0.25">
      <c r="A157" s="486" t="s">
        <v>1677</v>
      </c>
      <c r="B157" s="73"/>
      <c r="C157" s="236">
        <f t="shared" ref="C157:M157" si="31">SUM(C158:C158)</f>
        <v>0</v>
      </c>
      <c r="D157" s="237">
        <f t="shared" si="31"/>
        <v>0</v>
      </c>
      <c r="E157" s="237">
        <f t="shared" si="31"/>
        <v>0</v>
      </c>
      <c r="F157" s="237">
        <f t="shared" si="31"/>
        <v>0</v>
      </c>
      <c r="G157" s="237">
        <f t="shared" si="31"/>
        <v>0</v>
      </c>
      <c r="H157" s="237">
        <f t="shared" si="31"/>
        <v>0</v>
      </c>
      <c r="I157" s="237">
        <f t="shared" si="31"/>
        <v>0</v>
      </c>
      <c r="J157" s="237">
        <f t="shared" si="25"/>
        <v>0</v>
      </c>
      <c r="K157" s="237">
        <f t="shared" si="26"/>
        <v>0</v>
      </c>
      <c r="L157" s="237">
        <f t="shared" si="31"/>
        <v>0</v>
      </c>
      <c r="M157" s="238">
        <f t="shared" si="31"/>
        <v>0</v>
      </c>
      <c r="N157" s="128"/>
    </row>
    <row r="158" spans="1:14" ht="12.75" customHeight="1" x14ac:dyDescent="0.25">
      <c r="A158" s="588" t="s">
        <v>1677</v>
      </c>
      <c r="B158" s="73"/>
      <c r="C158" s="130">
        <v>0</v>
      </c>
      <c r="D158" s="109">
        <v>0</v>
      </c>
      <c r="E158" s="109">
        <v>0</v>
      </c>
      <c r="F158" s="109">
        <v>0</v>
      </c>
      <c r="G158" s="109">
        <v>0</v>
      </c>
      <c r="H158" s="109">
        <v>0</v>
      </c>
      <c r="I158" s="109">
        <v>0</v>
      </c>
      <c r="J158" s="75">
        <f t="shared" si="25"/>
        <v>0</v>
      </c>
      <c r="K158" s="75">
        <f t="shared" si="26"/>
        <v>0</v>
      </c>
      <c r="L158" s="109">
        <v>0</v>
      </c>
      <c r="M158" s="110">
        <v>0</v>
      </c>
      <c r="N158" s="128"/>
    </row>
    <row r="159" spans="1:14" ht="5.0999999999999996" customHeight="1" x14ac:dyDescent="0.25">
      <c r="A159" s="1235"/>
      <c r="B159" s="73"/>
      <c r="C159" s="74"/>
      <c r="D159" s="75"/>
      <c r="E159" s="75"/>
      <c r="F159" s="75"/>
      <c r="G159" s="75"/>
      <c r="H159" s="75"/>
      <c r="I159" s="75"/>
      <c r="J159" s="75"/>
      <c r="K159" s="75"/>
      <c r="L159" s="75"/>
      <c r="M159" s="76"/>
      <c r="N159" s="128"/>
    </row>
    <row r="160" spans="1:14" ht="12.75" customHeight="1" x14ac:dyDescent="0.25">
      <c r="A160" s="486" t="s">
        <v>1678</v>
      </c>
      <c r="B160" s="73"/>
      <c r="C160" s="236">
        <f t="shared" ref="C160:M160" si="32">SUM(C161:C161)</f>
        <v>0</v>
      </c>
      <c r="D160" s="237">
        <f t="shared" si="32"/>
        <v>0</v>
      </c>
      <c r="E160" s="237">
        <f t="shared" si="32"/>
        <v>0</v>
      </c>
      <c r="F160" s="237">
        <f t="shared" si="32"/>
        <v>0</v>
      </c>
      <c r="G160" s="237">
        <f t="shared" si="32"/>
        <v>0</v>
      </c>
      <c r="H160" s="237">
        <f t="shared" si="32"/>
        <v>0</v>
      </c>
      <c r="I160" s="237">
        <f t="shared" si="32"/>
        <v>0</v>
      </c>
      <c r="J160" s="237">
        <f t="shared" si="25"/>
        <v>0</v>
      </c>
      <c r="K160" s="237">
        <f t="shared" si="26"/>
        <v>0</v>
      </c>
      <c r="L160" s="237">
        <f t="shared" si="32"/>
        <v>0</v>
      </c>
      <c r="M160" s="238">
        <f t="shared" si="32"/>
        <v>0</v>
      </c>
      <c r="N160" s="128"/>
    </row>
    <row r="161" spans="1:14" ht="12.75" customHeight="1" x14ac:dyDescent="0.25">
      <c r="A161" s="588" t="s">
        <v>1678</v>
      </c>
      <c r="B161" s="73"/>
      <c r="C161" s="130">
        <v>0</v>
      </c>
      <c r="D161" s="109">
        <v>0</v>
      </c>
      <c r="E161" s="109">
        <v>0</v>
      </c>
      <c r="F161" s="109">
        <v>0</v>
      </c>
      <c r="G161" s="109">
        <v>0</v>
      </c>
      <c r="H161" s="109">
        <v>0</v>
      </c>
      <c r="I161" s="109">
        <v>0</v>
      </c>
      <c r="J161" s="75">
        <f t="shared" si="25"/>
        <v>0</v>
      </c>
      <c r="K161" s="75">
        <f t="shared" si="26"/>
        <v>0</v>
      </c>
      <c r="L161" s="109">
        <v>0</v>
      </c>
      <c r="M161" s="110">
        <v>0</v>
      </c>
      <c r="N161" s="128"/>
    </row>
    <row r="162" spans="1:14" ht="5.0999999999999996" customHeight="1" x14ac:dyDescent="0.25">
      <c r="A162" s="1235"/>
      <c r="B162" s="73"/>
      <c r="C162" s="74"/>
      <c r="D162" s="75"/>
      <c r="E162" s="75"/>
      <c r="F162" s="75"/>
      <c r="G162" s="75"/>
      <c r="H162" s="75"/>
      <c r="I162" s="75"/>
      <c r="J162" s="75"/>
      <c r="K162" s="75"/>
      <c r="L162" s="75"/>
      <c r="M162" s="76"/>
      <c r="N162" s="128"/>
    </row>
    <row r="163" spans="1:14" ht="12.75" customHeight="1" x14ac:dyDescent="0.25">
      <c r="A163" s="486" t="s">
        <v>1735</v>
      </c>
      <c r="B163" s="73"/>
      <c r="C163" s="236">
        <f t="shared" ref="C163:M163" si="33">SUM(C164:C164)</f>
        <v>0</v>
      </c>
      <c r="D163" s="237">
        <f t="shared" si="33"/>
        <v>0</v>
      </c>
      <c r="E163" s="237">
        <f t="shared" si="33"/>
        <v>0</v>
      </c>
      <c r="F163" s="237">
        <f t="shared" si="33"/>
        <v>0</v>
      </c>
      <c r="G163" s="237">
        <f t="shared" si="33"/>
        <v>0</v>
      </c>
      <c r="H163" s="237">
        <f t="shared" si="33"/>
        <v>0</v>
      </c>
      <c r="I163" s="237">
        <f t="shared" si="33"/>
        <v>0</v>
      </c>
      <c r="J163" s="237">
        <f t="shared" si="25"/>
        <v>0</v>
      </c>
      <c r="K163" s="237">
        <f t="shared" si="26"/>
        <v>0</v>
      </c>
      <c r="L163" s="237">
        <f t="shared" si="33"/>
        <v>0</v>
      </c>
      <c r="M163" s="238">
        <f t="shared" si="33"/>
        <v>0</v>
      </c>
      <c r="N163" s="128"/>
    </row>
    <row r="164" spans="1:14" ht="12.75" customHeight="1" x14ac:dyDescent="0.25">
      <c r="A164" s="588" t="s">
        <v>1735</v>
      </c>
      <c r="B164" s="73"/>
      <c r="C164" s="130">
        <v>0</v>
      </c>
      <c r="D164" s="109">
        <v>0</v>
      </c>
      <c r="E164" s="109">
        <v>0</v>
      </c>
      <c r="F164" s="109">
        <v>0</v>
      </c>
      <c r="G164" s="109">
        <v>0</v>
      </c>
      <c r="H164" s="109">
        <v>0</v>
      </c>
      <c r="I164" s="109">
        <v>0</v>
      </c>
      <c r="J164" s="75">
        <f t="shared" si="25"/>
        <v>0</v>
      </c>
      <c r="K164" s="75">
        <f t="shared" si="26"/>
        <v>0</v>
      </c>
      <c r="L164" s="109">
        <v>0</v>
      </c>
      <c r="M164" s="110">
        <v>0</v>
      </c>
      <c r="N164" s="128"/>
    </row>
    <row r="165" spans="1:14" ht="5.0999999999999996" customHeight="1" x14ac:dyDescent="0.25">
      <c r="A165" s="1235"/>
      <c r="B165" s="73"/>
      <c r="C165" s="74"/>
      <c r="D165" s="75"/>
      <c r="E165" s="75"/>
      <c r="F165" s="75"/>
      <c r="G165" s="75"/>
      <c r="H165" s="75"/>
      <c r="I165" s="75"/>
      <c r="J165" s="75"/>
      <c r="K165" s="75"/>
      <c r="L165" s="75"/>
      <c r="M165" s="76"/>
      <c r="N165" s="128"/>
    </row>
    <row r="166" spans="1:14" ht="12.75" customHeight="1" x14ac:dyDescent="0.25">
      <c r="A166" s="486" t="s">
        <v>1679</v>
      </c>
      <c r="B166" s="73"/>
      <c r="C166" s="236">
        <f t="shared" ref="C166:M166" si="34">SUM(C167:C167)</f>
        <v>0</v>
      </c>
      <c r="D166" s="237">
        <f t="shared" si="34"/>
        <v>0</v>
      </c>
      <c r="E166" s="237">
        <f t="shared" si="34"/>
        <v>0</v>
      </c>
      <c r="F166" s="237">
        <f t="shared" si="34"/>
        <v>0</v>
      </c>
      <c r="G166" s="237">
        <f t="shared" si="34"/>
        <v>0</v>
      </c>
      <c r="H166" s="237">
        <f t="shared" si="34"/>
        <v>0</v>
      </c>
      <c r="I166" s="237">
        <f t="shared" si="34"/>
        <v>0</v>
      </c>
      <c r="J166" s="237">
        <f t="shared" si="25"/>
        <v>0</v>
      </c>
      <c r="K166" s="237">
        <f t="shared" si="26"/>
        <v>0</v>
      </c>
      <c r="L166" s="237">
        <f t="shared" si="34"/>
        <v>0</v>
      </c>
      <c r="M166" s="238">
        <f t="shared" si="34"/>
        <v>0</v>
      </c>
      <c r="N166" s="128"/>
    </row>
    <row r="167" spans="1:14" ht="12.75" customHeight="1" x14ac:dyDescent="0.25">
      <c r="A167" s="588" t="s">
        <v>1679</v>
      </c>
      <c r="B167" s="73"/>
      <c r="C167" s="130">
        <v>0</v>
      </c>
      <c r="D167" s="109">
        <v>0</v>
      </c>
      <c r="E167" s="109">
        <v>0</v>
      </c>
      <c r="F167" s="109">
        <v>0</v>
      </c>
      <c r="G167" s="109">
        <v>0</v>
      </c>
      <c r="H167" s="109">
        <v>0</v>
      </c>
      <c r="I167" s="109">
        <v>0</v>
      </c>
      <c r="J167" s="75">
        <f t="shared" si="25"/>
        <v>0</v>
      </c>
      <c r="K167" s="75">
        <f t="shared" si="26"/>
        <v>0</v>
      </c>
      <c r="L167" s="109">
        <v>0</v>
      </c>
      <c r="M167" s="110">
        <v>0</v>
      </c>
      <c r="N167" s="128"/>
    </row>
    <row r="168" spans="1:14" ht="5.0999999999999996" customHeight="1" x14ac:dyDescent="0.25">
      <c r="A168" s="136"/>
      <c r="B168" s="73"/>
      <c r="C168" s="74"/>
      <c r="D168" s="75"/>
      <c r="E168" s="75"/>
      <c r="F168" s="75"/>
      <c r="G168" s="75"/>
      <c r="H168" s="75"/>
      <c r="I168" s="75"/>
      <c r="J168" s="75"/>
      <c r="K168" s="75"/>
      <c r="L168" s="75"/>
      <c r="M168" s="76"/>
      <c r="N168" s="128"/>
    </row>
    <row r="169" spans="1:14" ht="22.15" customHeight="1" x14ac:dyDescent="0.25">
      <c r="A169" s="848" t="s">
        <v>1681</v>
      </c>
      <c r="B169" s="156">
        <v>1</v>
      </c>
      <c r="C169" s="157">
        <f>C8+C76+C105+C112+C120+C151+C138+C141+C154+C157+C160+C163+C166</f>
        <v>345097620</v>
      </c>
      <c r="D169" s="117">
        <f t="shared" ref="D169:M169" si="35">D8+D76+D105+D112+D120+D151+D138+D141+D154+D157+D160+D163+D166</f>
        <v>359032630</v>
      </c>
      <c r="E169" s="117">
        <f t="shared" si="35"/>
        <v>0</v>
      </c>
      <c r="F169" s="117">
        <f t="shared" si="35"/>
        <v>0</v>
      </c>
      <c r="G169" s="117">
        <f t="shared" si="35"/>
        <v>0</v>
      </c>
      <c r="H169" s="117">
        <f t="shared" si="35"/>
        <v>16071908</v>
      </c>
      <c r="I169" s="117">
        <f t="shared" si="35"/>
        <v>-81909901</v>
      </c>
      <c r="J169" s="117">
        <f t="shared" si="25"/>
        <v>-65837993</v>
      </c>
      <c r="K169" s="117">
        <f t="shared" si="26"/>
        <v>293194637</v>
      </c>
      <c r="L169" s="117">
        <f t="shared" si="35"/>
        <v>263221843</v>
      </c>
      <c r="M169" s="118">
        <f t="shared" si="35"/>
        <v>258943194</v>
      </c>
      <c r="N169" s="128"/>
    </row>
    <row r="170" spans="1:14" ht="12.75" customHeight="1" x14ac:dyDescent="0.25">
      <c r="A170" s="500"/>
      <c r="B170" s="121"/>
      <c r="C170" s="501"/>
      <c r="D170" s="501"/>
      <c r="E170" s="501"/>
      <c r="F170" s="501"/>
      <c r="G170" s="501"/>
      <c r="H170" s="501"/>
      <c r="I170" s="501"/>
      <c r="J170" s="501"/>
      <c r="K170" s="501"/>
      <c r="L170" s="501"/>
      <c r="M170" s="501"/>
      <c r="N170" s="128"/>
    </row>
    <row r="171" spans="1:14" ht="12.75" customHeight="1" x14ac:dyDescent="0.25">
      <c r="A171" s="591" t="str">
        <f>head27a</f>
        <v>References</v>
      </c>
      <c r="B171" s="121"/>
      <c r="C171" s="53"/>
      <c r="D171" s="53"/>
      <c r="E171" s="53"/>
      <c r="F171" s="53"/>
      <c r="G171" s="53"/>
      <c r="H171" s="53"/>
      <c r="I171" s="53"/>
      <c r="J171" s="53"/>
      <c r="K171" s="53"/>
      <c r="L171" s="53"/>
      <c r="M171" s="53"/>
      <c r="N171" s="128"/>
    </row>
    <row r="172" spans="1:14" ht="12.75" customHeight="1" x14ac:dyDescent="0.25">
      <c r="A172" s="847" t="s">
        <v>1682</v>
      </c>
      <c r="B172" s="121"/>
      <c r="C172" s="53"/>
      <c r="D172" s="53"/>
      <c r="E172" s="53"/>
      <c r="F172" s="53"/>
      <c r="G172" s="53"/>
      <c r="H172" s="53"/>
      <c r="I172" s="53"/>
      <c r="J172" s="53"/>
      <c r="K172" s="53"/>
      <c r="L172" s="53"/>
      <c r="M172" s="53"/>
      <c r="N172" s="128"/>
    </row>
    <row r="173" spans="1:14" ht="12.75" customHeight="1" x14ac:dyDescent="0.25">
      <c r="A173" s="1408" t="s">
        <v>984</v>
      </c>
      <c r="B173" s="1408"/>
      <c r="C173" s="1408"/>
      <c r="D173" s="1408"/>
      <c r="E173" s="1408"/>
      <c r="F173" s="1408"/>
      <c r="G173" s="1408"/>
      <c r="H173" s="1408"/>
      <c r="I173" s="1408"/>
      <c r="J173" s="1408"/>
      <c r="K173" s="1408"/>
      <c r="L173" s="1408"/>
      <c r="M173" s="1408"/>
      <c r="N173" s="128"/>
    </row>
    <row r="174" spans="1:14" ht="12.75" customHeight="1" x14ac:dyDescent="0.25">
      <c r="A174" s="1408" t="s">
        <v>990</v>
      </c>
      <c r="B174" s="1408"/>
      <c r="C174" s="1408"/>
      <c r="D174" s="1408"/>
      <c r="E174" s="1408"/>
      <c r="F174" s="1408"/>
      <c r="G174" s="1408"/>
      <c r="H174" s="1408"/>
      <c r="I174" s="1408"/>
      <c r="J174" s="1408"/>
      <c r="K174" s="824"/>
      <c r="L174" s="824"/>
      <c r="M174" s="824"/>
      <c r="N174" s="128"/>
    </row>
    <row r="175" spans="1:14" ht="12.75" customHeight="1" x14ac:dyDescent="0.25">
      <c r="A175" s="1408" t="s">
        <v>991</v>
      </c>
      <c r="B175" s="1408"/>
      <c r="C175" s="1408"/>
      <c r="D175" s="1408"/>
      <c r="E175" s="1408"/>
      <c r="F175" s="1408"/>
      <c r="G175" s="1408"/>
      <c r="H175" s="1408"/>
      <c r="I175" s="1408"/>
      <c r="J175" s="1408"/>
      <c r="K175" s="824"/>
      <c r="L175" s="824"/>
      <c r="M175" s="824"/>
      <c r="N175" s="128"/>
    </row>
    <row r="176" spans="1:14" ht="12.75" customHeight="1" x14ac:dyDescent="0.25">
      <c r="A176" s="1408" t="s">
        <v>1014</v>
      </c>
      <c r="B176" s="1408"/>
      <c r="C176" s="1408"/>
      <c r="D176" s="1408"/>
      <c r="E176" s="1408"/>
      <c r="F176" s="1408"/>
      <c r="G176" s="1408"/>
      <c r="H176" s="1408"/>
      <c r="I176" s="1408"/>
      <c r="J176" s="1408"/>
      <c r="K176" s="1408"/>
      <c r="L176" s="1408"/>
      <c r="M176" s="1408"/>
      <c r="N176" s="128"/>
    </row>
    <row r="177" spans="1:14" ht="12.75" customHeight="1" x14ac:dyDescent="0.25">
      <c r="A177" s="159" t="s">
        <v>1015</v>
      </c>
      <c r="B177" s="160"/>
      <c r="C177" s="94"/>
      <c r="D177" s="94"/>
      <c r="E177" s="94"/>
      <c r="F177" s="94"/>
      <c r="G177" s="94"/>
      <c r="H177" s="94"/>
      <c r="I177" s="94"/>
      <c r="J177" s="94"/>
      <c r="K177" s="94"/>
      <c r="L177" s="94"/>
      <c r="M177" s="94"/>
      <c r="N177" s="128"/>
    </row>
    <row r="178" spans="1:14" ht="12.75" customHeight="1" x14ac:dyDescent="0.25">
      <c r="A178" s="1408" t="s">
        <v>1016</v>
      </c>
      <c r="B178" s="1408"/>
      <c r="C178" s="1408"/>
      <c r="D178" s="1408"/>
      <c r="E178" s="1408"/>
      <c r="F178" s="1408"/>
      <c r="G178" s="1408"/>
      <c r="H178" s="1408"/>
      <c r="I178" s="1408"/>
      <c r="J178" s="1408"/>
      <c r="K178" s="1408"/>
      <c r="L178" s="1408"/>
      <c r="M178" s="1408"/>
      <c r="N178" s="128"/>
    </row>
    <row r="179" spans="1:14" ht="12.75" customHeight="1" x14ac:dyDescent="0.25">
      <c r="A179" s="159" t="s">
        <v>1017</v>
      </c>
      <c r="B179" s="160"/>
      <c r="C179" s="94"/>
      <c r="D179" s="94"/>
      <c r="E179" s="94"/>
      <c r="F179" s="94"/>
      <c r="G179" s="94"/>
      <c r="H179" s="94"/>
      <c r="I179" s="94"/>
      <c r="J179" s="94"/>
      <c r="K179" s="94"/>
      <c r="L179" s="94"/>
      <c r="M179" s="94"/>
      <c r="N179" s="128"/>
    </row>
    <row r="180" spans="1:14" ht="12.75" customHeight="1" x14ac:dyDescent="0.25">
      <c r="A180" s="1408" t="s">
        <v>1018</v>
      </c>
      <c r="B180" s="1408"/>
      <c r="C180" s="1408"/>
      <c r="D180" s="1408"/>
      <c r="E180" s="1408"/>
      <c r="F180" s="1408"/>
      <c r="G180" s="1408"/>
      <c r="H180" s="1408"/>
      <c r="I180" s="1408"/>
      <c r="J180" s="1408"/>
      <c r="K180" s="1408"/>
      <c r="L180" s="1408"/>
      <c r="M180" s="1408"/>
      <c r="N180" s="128"/>
    </row>
    <row r="181" spans="1:14" ht="11.25" customHeight="1" x14ac:dyDescent="0.25">
      <c r="A181" s="338"/>
      <c r="B181" s="782"/>
      <c r="C181" s="545"/>
      <c r="D181" s="545"/>
      <c r="E181" s="545"/>
      <c r="F181" s="545"/>
      <c r="G181" s="545"/>
      <c r="H181" s="545"/>
      <c r="I181" s="545"/>
      <c r="J181" s="545"/>
      <c r="K181" s="545"/>
      <c r="L181" s="545"/>
      <c r="M181" s="545"/>
      <c r="N181" s="128"/>
    </row>
    <row r="182" spans="1:14" ht="11.25" customHeight="1" x14ac:dyDescent="0.25">
      <c r="A182" s="48"/>
      <c r="B182" s="121"/>
      <c r="C182" s="53"/>
      <c r="D182" s="53"/>
      <c r="E182" s="53"/>
      <c r="F182" s="53"/>
      <c r="G182" s="53"/>
      <c r="H182" s="53"/>
      <c r="I182" s="53"/>
      <c r="J182" s="53"/>
      <c r="K182" s="53"/>
      <c r="L182" s="53"/>
      <c r="M182" s="53"/>
      <c r="N182" s="128"/>
    </row>
    <row r="183" spans="1:14" ht="11.25" customHeight="1" x14ac:dyDescent="0.25">
      <c r="A183" s="122" t="s">
        <v>671</v>
      </c>
      <c r="B183" s="160"/>
      <c r="C183" s="784">
        <f>(C169+SB18a!C169+SB18b!C169)-'B5-Capex'!C65</f>
        <v>0</v>
      </c>
      <c r="D183" s="784"/>
      <c r="E183" s="784"/>
      <c r="F183" s="784"/>
      <c r="G183" s="784"/>
      <c r="H183" s="784"/>
      <c r="I183" s="784"/>
      <c r="J183" s="784"/>
      <c r="K183" s="784"/>
      <c r="L183" s="784">
        <f>(L169+SB18a!L169+SB18b!L169)-'B5-Capex'!L65</f>
        <v>0</v>
      </c>
      <c r="M183" s="784">
        <f>(M169+SB18a!M169+SB18b!M169)-'B5-Capex'!M65</f>
        <v>0</v>
      </c>
      <c r="N183" s="128"/>
    </row>
    <row r="184" spans="1:14" ht="11.25" customHeight="1" x14ac:dyDescent="0.25">
      <c r="N184" s="128"/>
    </row>
    <row r="185" spans="1:14" ht="11.25" customHeight="1" x14ac:dyDescent="0.25"/>
    <row r="186" spans="1:14" ht="11.25" customHeight="1" x14ac:dyDescent="0.25"/>
    <row r="187" spans="1:14" ht="11.25" customHeight="1" x14ac:dyDescent="0.25"/>
    <row r="188" spans="1:14" ht="11.25" customHeight="1" x14ac:dyDescent="0.25"/>
    <row r="189" spans="1:14" ht="11.25" customHeight="1" x14ac:dyDescent="0.25"/>
    <row r="190" spans="1:14" ht="11.25" customHeight="1" x14ac:dyDescent="0.25"/>
    <row r="191" spans="1:14" ht="11.25" customHeight="1" x14ac:dyDescent="0.25"/>
    <row r="192" spans="1:14" ht="11.25" customHeight="1" x14ac:dyDescent="0.25"/>
    <row r="193" ht="11.25" customHeight="1" x14ac:dyDescent="0.25"/>
    <row r="194" ht="11.25" customHeight="1" x14ac:dyDescent="0.25"/>
    <row r="195" ht="11.25" customHeight="1" x14ac:dyDescent="0.25"/>
    <row r="196" ht="11.25" customHeight="1" x14ac:dyDescent="0.25"/>
    <row r="197" ht="11.25" customHeight="1" x14ac:dyDescent="0.25"/>
    <row r="198" ht="11.25" customHeight="1" x14ac:dyDescent="0.25"/>
    <row r="199" ht="11.25" customHeight="1" x14ac:dyDescent="0.25"/>
    <row r="200" ht="11.25" customHeight="1" x14ac:dyDescent="0.25"/>
    <row r="201" ht="11.25" customHeight="1" x14ac:dyDescent="0.25"/>
    <row r="202" ht="11.25" customHeight="1" x14ac:dyDescent="0.25"/>
    <row r="203" ht="11.25" customHeight="1" x14ac:dyDescent="0.25"/>
    <row r="204" ht="11.25" customHeight="1" x14ac:dyDescent="0.25"/>
    <row r="205" ht="11.25" customHeight="1" x14ac:dyDescent="0.25"/>
    <row r="206" ht="11.25" customHeight="1" x14ac:dyDescent="0.25"/>
    <row r="207" ht="11.25" customHeight="1" x14ac:dyDescent="0.25"/>
    <row r="208" ht="11.25" customHeight="1" x14ac:dyDescent="0.25"/>
    <row r="209" ht="11.25" customHeight="1" x14ac:dyDescent="0.25"/>
    <row r="210" ht="11.25" customHeight="1" x14ac:dyDescent="0.25"/>
    <row r="211" ht="11.25" customHeight="1" x14ac:dyDescent="0.25"/>
    <row r="212" ht="11.25" customHeight="1" x14ac:dyDescent="0.25"/>
    <row r="213" ht="11.25" customHeight="1" x14ac:dyDescent="0.25"/>
    <row r="214" ht="11.25" customHeight="1" x14ac:dyDescent="0.25"/>
    <row r="215" ht="11.25" customHeight="1" x14ac:dyDescent="0.25"/>
    <row r="216" ht="11.25" customHeight="1" x14ac:dyDescent="0.25"/>
    <row r="217" ht="11.25" customHeight="1" x14ac:dyDescent="0.25"/>
    <row r="218" ht="11.25" customHeight="1" x14ac:dyDescent="0.25"/>
  </sheetData>
  <sheetProtection sheet="1" objects="1" scenarios="1"/>
  <mergeCells count="9">
    <mergeCell ref="A176:M176"/>
    <mergeCell ref="A178:M178"/>
    <mergeCell ref="A180:M180"/>
    <mergeCell ref="A2:A4"/>
    <mergeCell ref="B2:B4"/>
    <mergeCell ref="C2:K2"/>
    <mergeCell ref="A173:M173"/>
    <mergeCell ref="A174:J174"/>
    <mergeCell ref="A175:J175"/>
  </mergeCells>
  <pageMargins left="0.75" right="0.75" top="1" bottom="1" header="0.5" footer="0.5"/>
  <headerFooter alignWithMargins="0"/>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filterMode="1">
    <tabColor indexed="42"/>
    <pageSetUpPr fitToPage="1"/>
  </sheetPr>
  <dimension ref="A1:R365"/>
  <sheetViews>
    <sheetView showGridLines="0" tabSelected="1" zoomScaleNormal="100" workbookViewId="0">
      <pane xSplit="2" ySplit="4" topLeftCell="I5" activePane="bottomRight" state="frozen"/>
      <selection activeCell="C6" sqref="C6"/>
      <selection pane="topRight" activeCell="C6" sqref="C6"/>
      <selection pane="bottomLeft" activeCell="C6" sqref="C6"/>
      <selection pane="bottomRight" activeCell="L171" sqref="L171"/>
    </sheetView>
  </sheetViews>
  <sheetFormatPr defaultColWidth="9.140625" defaultRowHeight="12.75" x14ac:dyDescent="0.25"/>
  <cols>
    <col min="1" max="1" width="48" style="5" customWidth="1"/>
    <col min="2" max="2" width="23.5703125" style="5" customWidth="1"/>
    <col min="3" max="3" width="11.5703125" style="5" customWidth="1"/>
    <col min="4" max="4" width="12.28515625" style="58" customWidth="1"/>
    <col min="5" max="6" width="13.7109375" style="58" customWidth="1"/>
    <col min="7" max="7" width="10.5703125" style="5" customWidth="1"/>
    <col min="8" max="12" width="26.42578125" style="5" customWidth="1"/>
    <col min="13" max="18" width="9.28515625" style="5" customWidth="1"/>
    <col min="19" max="19" width="7.42578125" style="5" bestFit="1" customWidth="1"/>
    <col min="20" max="20" width="9.85546875" style="5" customWidth="1"/>
    <col min="21" max="21" width="9.5703125" style="5" customWidth="1"/>
    <col min="22" max="22" width="9.85546875" style="5" customWidth="1"/>
    <col min="23" max="25" width="9.5703125" style="5" customWidth="1"/>
    <col min="26" max="26" width="9.85546875" style="5" customWidth="1"/>
    <col min="27" max="29" width="9.5703125" style="5" customWidth="1"/>
    <col min="30" max="31" width="9.85546875" style="5" customWidth="1"/>
    <col min="32" max="16384" width="9.140625" style="5"/>
  </cols>
  <sheetData>
    <row r="1" spans="1:18" ht="13.5" customHeight="1" x14ac:dyDescent="0.25">
      <c r="A1" s="592" t="str">
        <f>muni&amp;" - "&amp;ADJB19&amp;" - "&amp;Date</f>
        <v>LIM354 Polokwane - Supporting Table SB19 List of capital programmes and projects affected by Adjustments Budget - 2020</v>
      </c>
      <c r="B1" s="592"/>
      <c r="C1" s="592"/>
      <c r="D1" s="593"/>
      <c r="E1" s="593"/>
      <c r="F1" s="593"/>
      <c r="G1" s="592"/>
      <c r="H1" s="592"/>
      <c r="I1" s="592"/>
      <c r="J1" s="592"/>
      <c r="K1" s="592"/>
      <c r="L1" s="592"/>
      <c r="M1" s="592"/>
      <c r="N1" s="592"/>
      <c r="O1" s="592"/>
      <c r="P1" s="592"/>
      <c r="Q1" s="592"/>
      <c r="R1" s="592"/>
    </row>
    <row r="2" spans="1:18" ht="38.25" customHeight="1" x14ac:dyDescent="0.25">
      <c r="A2" s="1289" t="s">
        <v>1757</v>
      </c>
      <c r="B2" s="319" t="s">
        <v>1758</v>
      </c>
      <c r="C2" s="319" t="s">
        <v>1759</v>
      </c>
      <c r="D2" s="319" t="s">
        <v>1760</v>
      </c>
      <c r="E2" s="319" t="s">
        <v>1761</v>
      </c>
      <c r="F2" s="319" t="s">
        <v>1737</v>
      </c>
      <c r="G2" s="319" t="s">
        <v>1762</v>
      </c>
      <c r="H2" s="991" t="s">
        <v>1367</v>
      </c>
      <c r="I2" s="1013" t="s">
        <v>1383</v>
      </c>
      <c r="J2" s="1013" t="s">
        <v>1763</v>
      </c>
      <c r="K2" s="319" t="s">
        <v>1764</v>
      </c>
      <c r="L2" s="1015" t="s">
        <v>1765</v>
      </c>
      <c r="M2" s="1403" t="str">
        <f>Head3a</f>
        <v>Medium Term Revenue and Expenditure Framework</v>
      </c>
      <c r="N2" s="1404"/>
      <c r="O2" s="1404"/>
      <c r="P2" s="1404"/>
      <c r="Q2" s="1404"/>
      <c r="R2" s="1455"/>
    </row>
    <row r="3" spans="1:18" x14ac:dyDescent="0.25">
      <c r="A3" s="1287"/>
      <c r="B3" s="991"/>
      <c r="C3" s="991"/>
      <c r="D3" s="1012"/>
      <c r="G3" s="991"/>
      <c r="H3" s="1012"/>
      <c r="I3" s="1014"/>
      <c r="J3" s="1292"/>
      <c r="K3" s="1319"/>
      <c r="L3" s="1288"/>
      <c r="M3" s="1456" t="str">
        <f>Head9</f>
        <v>Budget Year 2020/21</v>
      </c>
      <c r="N3" s="1457"/>
      <c r="O3" s="1456" t="str">
        <f>Head10</f>
        <v>Budget Year +1 2021/22</v>
      </c>
      <c r="P3" s="1457"/>
      <c r="Q3" s="1456" t="str">
        <f>Head11</f>
        <v>Budget Year +2 2022/23</v>
      </c>
      <c r="R3" s="1457"/>
    </row>
    <row r="4" spans="1:18" ht="25.5" x14ac:dyDescent="0.25">
      <c r="A4" s="66" t="s">
        <v>603</v>
      </c>
      <c r="B4" s="992"/>
      <c r="C4" s="992"/>
      <c r="D4" s="992"/>
      <c r="E4" s="992"/>
      <c r="F4" s="992"/>
      <c r="G4" s="992"/>
      <c r="H4" s="992"/>
      <c r="I4" s="1022"/>
      <c r="J4" s="1022"/>
      <c r="K4" s="992"/>
      <c r="L4" s="1016"/>
      <c r="M4" s="594" t="str">
        <f>Head6</f>
        <v>Original Budget</v>
      </c>
      <c r="N4" s="595" t="str">
        <f>Head7</f>
        <v>Adjusted Budget</v>
      </c>
      <c r="O4" s="594" t="str">
        <f>Head6</f>
        <v>Original Budget</v>
      </c>
      <c r="P4" s="595" t="str">
        <f>Head7</f>
        <v>Adjusted Budget</v>
      </c>
      <c r="Q4" s="594" t="str">
        <f>Head6</f>
        <v>Original Budget</v>
      </c>
      <c r="R4" s="596" t="str">
        <f>Head7</f>
        <v>Adjusted Budget</v>
      </c>
    </row>
    <row r="5" spans="1:18" ht="11.25" hidden="1" customHeight="1" x14ac:dyDescent="0.25">
      <c r="A5" s="597" t="s">
        <v>515</v>
      </c>
      <c r="B5" s="598"/>
      <c r="C5" s="599"/>
      <c r="D5" s="599"/>
      <c r="E5" s="599"/>
      <c r="F5" s="599"/>
      <c r="G5" s="599"/>
      <c r="H5" s="600"/>
      <c r="I5" s="1010"/>
      <c r="J5" s="1293"/>
      <c r="K5" s="600"/>
      <c r="L5" s="1017"/>
      <c r="M5" s="601"/>
      <c r="N5" s="602"/>
      <c r="O5" s="601"/>
      <c r="P5" s="603"/>
      <c r="Q5" s="604"/>
      <c r="R5" s="603"/>
    </row>
    <row r="6" spans="1:18" ht="11.25" hidden="1" customHeight="1" x14ac:dyDescent="0.25">
      <c r="A6" s="1298" t="s">
        <v>1766</v>
      </c>
      <c r="B6" s="1301"/>
      <c r="C6" s="1302"/>
      <c r="D6" s="1302"/>
      <c r="E6" s="1302"/>
      <c r="F6" s="1302"/>
      <c r="G6" s="1302"/>
      <c r="H6" s="1303"/>
      <c r="I6" s="1304"/>
      <c r="J6" s="1306"/>
      <c r="K6" s="1303"/>
      <c r="L6" s="1305"/>
      <c r="M6" s="1307"/>
      <c r="N6" s="1308"/>
      <c r="O6" s="1307"/>
      <c r="P6" s="1309"/>
      <c r="Q6" s="1310"/>
      <c r="R6" s="1309"/>
    </row>
    <row r="7" spans="1:18" ht="11.25" hidden="1" customHeight="1" x14ac:dyDescent="0.25">
      <c r="A7" s="1367" t="s">
        <v>2025</v>
      </c>
      <c r="B7" s="1368" t="s">
        <v>2026</v>
      </c>
      <c r="C7" s="1356" t="s">
        <v>2027</v>
      </c>
      <c r="D7" s="1356"/>
      <c r="E7" s="1357"/>
      <c r="F7" s="1357"/>
      <c r="G7" s="1368" t="s">
        <v>2028</v>
      </c>
      <c r="H7" s="1369" t="s">
        <v>1621</v>
      </c>
      <c r="I7" s="1370" t="s">
        <v>1622</v>
      </c>
      <c r="J7" s="1368" t="s">
        <v>2029</v>
      </c>
      <c r="K7" s="1356" t="s">
        <v>2027</v>
      </c>
      <c r="L7" s="1356" t="s">
        <v>2027</v>
      </c>
      <c r="M7" s="607">
        <v>1104102.8999999999</v>
      </c>
      <c r="N7" s="608">
        <v>1104102.8999999999</v>
      </c>
      <c r="O7" s="1360">
        <v>505359</v>
      </c>
      <c r="P7" s="1360">
        <v>505359</v>
      </c>
      <c r="Q7" s="1361">
        <v>783510</v>
      </c>
      <c r="R7" s="1361">
        <v>783510</v>
      </c>
    </row>
    <row r="8" spans="1:18" ht="11.25" hidden="1" customHeight="1" x14ac:dyDescent="0.25">
      <c r="A8" s="1362" t="s">
        <v>2030</v>
      </c>
      <c r="B8" s="1368" t="s">
        <v>2031</v>
      </c>
      <c r="C8" s="1356" t="s">
        <v>2027</v>
      </c>
      <c r="D8" s="1356"/>
      <c r="E8" s="1357"/>
      <c r="F8" s="1357"/>
      <c r="G8" s="1368" t="s">
        <v>2028</v>
      </c>
      <c r="H8" s="1369" t="s">
        <v>1621</v>
      </c>
      <c r="I8" s="1370" t="s">
        <v>1622</v>
      </c>
      <c r="J8" s="1368" t="s">
        <v>2032</v>
      </c>
      <c r="K8" s="1356" t="s">
        <v>2027</v>
      </c>
      <c r="L8" s="1356" t="s">
        <v>2027</v>
      </c>
      <c r="M8" s="607">
        <v>1046794.5</v>
      </c>
      <c r="N8" s="608">
        <v>1046794.5</v>
      </c>
      <c r="O8" s="1360">
        <v>489120</v>
      </c>
      <c r="P8" s="1360">
        <v>489120</v>
      </c>
      <c r="Q8" s="1361">
        <v>783510</v>
      </c>
      <c r="R8" s="1361">
        <v>783510</v>
      </c>
    </row>
    <row r="9" spans="1:18" ht="11.25" hidden="1" customHeight="1" x14ac:dyDescent="0.25">
      <c r="A9" s="1362" t="s">
        <v>2033</v>
      </c>
      <c r="B9" s="1368" t="s">
        <v>2034</v>
      </c>
      <c r="C9" s="1356" t="s">
        <v>2027</v>
      </c>
      <c r="D9" s="1356"/>
      <c r="E9" s="1357"/>
      <c r="F9" s="1357"/>
      <c r="G9" s="1368" t="s">
        <v>2028</v>
      </c>
      <c r="H9" s="1369" t="s">
        <v>1621</v>
      </c>
      <c r="I9" s="1370" t="s">
        <v>1622</v>
      </c>
      <c r="J9" s="1368" t="s">
        <v>2035</v>
      </c>
      <c r="K9" s="1356" t="s">
        <v>2027</v>
      </c>
      <c r="L9" s="1356" t="s">
        <v>2027</v>
      </c>
      <c r="M9" s="607">
        <v>0</v>
      </c>
      <c r="N9" s="608">
        <v>0</v>
      </c>
      <c r="O9" s="1360">
        <v>311374</v>
      </c>
      <c r="P9" s="1360">
        <v>311374</v>
      </c>
      <c r="Q9" s="1361">
        <v>182819</v>
      </c>
      <c r="R9" s="1361">
        <v>182819</v>
      </c>
    </row>
    <row r="10" spans="1:18" ht="11.25" hidden="1" customHeight="1" x14ac:dyDescent="0.25">
      <c r="A10" s="1364" t="s">
        <v>2036</v>
      </c>
      <c r="B10" s="1368" t="s">
        <v>2037</v>
      </c>
      <c r="C10" s="1356" t="s">
        <v>2027</v>
      </c>
      <c r="D10" s="1356"/>
      <c r="E10" s="1357"/>
      <c r="F10" s="1357"/>
      <c r="G10" s="1368" t="s">
        <v>2028</v>
      </c>
      <c r="H10" s="1369" t="s">
        <v>1621</v>
      </c>
      <c r="I10" s="1370" t="s">
        <v>1622</v>
      </c>
      <c r="J10" s="1368" t="s">
        <v>2038</v>
      </c>
      <c r="K10" s="1356" t="s">
        <v>2027</v>
      </c>
      <c r="L10" s="1356" t="s">
        <v>2027</v>
      </c>
      <c r="M10" s="607">
        <v>113920</v>
      </c>
      <c r="N10" s="608">
        <v>113920</v>
      </c>
      <c r="O10" s="1360">
        <v>144388</v>
      </c>
      <c r="P10" s="1360">
        <v>144388</v>
      </c>
      <c r="Q10" s="1361">
        <v>182819</v>
      </c>
      <c r="R10" s="1361">
        <v>182819</v>
      </c>
    </row>
    <row r="11" spans="1:18" ht="11.25" hidden="1" customHeight="1" x14ac:dyDescent="0.25">
      <c r="A11" s="1364" t="s">
        <v>2039</v>
      </c>
      <c r="B11" s="1368" t="s">
        <v>2040</v>
      </c>
      <c r="C11" s="1356" t="s">
        <v>2027</v>
      </c>
      <c r="D11" s="1356"/>
      <c r="E11" s="1357"/>
      <c r="F11" s="1357"/>
      <c r="G11" s="1368" t="s">
        <v>2028</v>
      </c>
      <c r="H11" s="1369" t="s">
        <v>1621</v>
      </c>
      <c r="I11" s="1370" t="s">
        <v>1622</v>
      </c>
      <c r="J11" s="1368" t="s">
        <v>2041</v>
      </c>
      <c r="K11" s="1356" t="s">
        <v>2027</v>
      </c>
      <c r="L11" s="1356" t="s">
        <v>2027</v>
      </c>
      <c r="M11" s="607">
        <v>0</v>
      </c>
      <c r="N11" s="608">
        <v>0</v>
      </c>
      <c r="O11" s="1360">
        <v>288777</v>
      </c>
      <c r="P11" s="1360">
        <v>288777</v>
      </c>
      <c r="Q11" s="1361">
        <v>300346</v>
      </c>
      <c r="R11" s="1361">
        <v>300346</v>
      </c>
    </row>
    <row r="12" spans="1:18" ht="11.25" hidden="1" customHeight="1" x14ac:dyDescent="0.25">
      <c r="A12" s="1362" t="s">
        <v>2042</v>
      </c>
      <c r="B12" s="1368" t="s">
        <v>2043</v>
      </c>
      <c r="C12" s="1356" t="s">
        <v>2027</v>
      </c>
      <c r="D12" s="1356"/>
      <c r="E12" s="1357"/>
      <c r="F12" s="1357"/>
      <c r="G12" s="1368" t="s">
        <v>2028</v>
      </c>
      <c r="H12" s="1369" t="s">
        <v>1621</v>
      </c>
      <c r="I12" s="1370" t="s">
        <v>1622</v>
      </c>
      <c r="J12" s="1368" t="s">
        <v>2044</v>
      </c>
      <c r="K12" s="1356" t="s">
        <v>2027</v>
      </c>
      <c r="L12" s="1356" t="s">
        <v>2027</v>
      </c>
      <c r="M12" s="607">
        <v>0</v>
      </c>
      <c r="N12" s="608">
        <v>0</v>
      </c>
      <c r="O12" s="1360">
        <v>180485</v>
      </c>
      <c r="P12" s="1360">
        <v>180485</v>
      </c>
      <c r="Q12" s="1361">
        <v>261170</v>
      </c>
      <c r="R12" s="1361">
        <v>261170</v>
      </c>
    </row>
    <row r="13" spans="1:18" ht="11.25" hidden="1" customHeight="1" x14ac:dyDescent="0.25">
      <c r="A13" s="1362" t="s">
        <v>2045</v>
      </c>
      <c r="B13" s="1368" t="s">
        <v>2046</v>
      </c>
      <c r="C13" s="1356" t="s">
        <v>2027</v>
      </c>
      <c r="D13" s="1356"/>
      <c r="E13" s="1357"/>
      <c r="F13" s="1357"/>
      <c r="G13" s="1368" t="s">
        <v>2028</v>
      </c>
      <c r="H13" s="1369" t="s">
        <v>1621</v>
      </c>
      <c r="I13" s="1370" t="s">
        <v>1622</v>
      </c>
      <c r="J13" s="1368" t="s">
        <v>2047</v>
      </c>
      <c r="K13" s="1356" t="s">
        <v>2027</v>
      </c>
      <c r="L13" s="1356" t="s">
        <v>2027</v>
      </c>
      <c r="M13" s="607">
        <v>0</v>
      </c>
      <c r="N13" s="608">
        <v>0</v>
      </c>
      <c r="O13" s="1360">
        <v>293472</v>
      </c>
      <c r="P13" s="1360">
        <v>293472</v>
      </c>
      <c r="Q13" s="1361">
        <v>522340</v>
      </c>
      <c r="R13" s="1361">
        <v>522340</v>
      </c>
    </row>
    <row r="14" spans="1:18" ht="11.25" hidden="1" customHeight="1" x14ac:dyDescent="0.25">
      <c r="A14" s="1362" t="s">
        <v>2048</v>
      </c>
      <c r="B14" s="1368" t="s">
        <v>2049</v>
      </c>
      <c r="C14" s="1356" t="s">
        <v>2027</v>
      </c>
      <c r="D14" s="1356"/>
      <c r="E14" s="1357"/>
      <c r="F14" s="1357"/>
      <c r="G14" s="1368" t="s">
        <v>2028</v>
      </c>
      <c r="H14" s="1369" t="s">
        <v>1621</v>
      </c>
      <c r="I14" s="1370" t="s">
        <v>1622</v>
      </c>
      <c r="J14" s="1368" t="s">
        <v>2047</v>
      </c>
      <c r="K14" s="1356" t="s">
        <v>2027</v>
      </c>
      <c r="L14" s="1356" t="s">
        <v>2027</v>
      </c>
      <c r="M14" s="607">
        <v>0</v>
      </c>
      <c r="N14" s="608">
        <v>0</v>
      </c>
      <c r="O14" s="1360">
        <v>433165</v>
      </c>
      <c r="P14" s="1360">
        <v>433165</v>
      </c>
      <c r="Q14" s="1361"/>
      <c r="R14" s="1361"/>
    </row>
    <row r="15" spans="1:18" ht="11.25" hidden="1" customHeight="1" x14ac:dyDescent="0.25">
      <c r="A15" s="1364" t="s">
        <v>2050</v>
      </c>
      <c r="B15" s="1365" t="s">
        <v>2050</v>
      </c>
      <c r="C15" s="1356" t="s">
        <v>2027</v>
      </c>
      <c r="D15" s="1356"/>
      <c r="E15" s="1357"/>
      <c r="F15" s="1357"/>
      <c r="G15" s="1368" t="s">
        <v>2028</v>
      </c>
      <c r="H15" s="1369" t="s">
        <v>1621</v>
      </c>
      <c r="I15" s="1370" t="s">
        <v>1622</v>
      </c>
      <c r="J15" s="1355" t="s">
        <v>2029</v>
      </c>
      <c r="K15" s="1356" t="s">
        <v>2027</v>
      </c>
      <c r="L15" s="1356" t="s">
        <v>2027</v>
      </c>
      <c r="M15" s="607">
        <v>0</v>
      </c>
      <c r="N15" s="608">
        <v>0</v>
      </c>
      <c r="O15" s="1360">
        <v>433165</v>
      </c>
      <c r="P15" s="1360">
        <v>433165</v>
      </c>
      <c r="Q15" s="1361">
        <v>783510</v>
      </c>
      <c r="R15" s="1361">
        <v>783510</v>
      </c>
    </row>
    <row r="16" spans="1:18" ht="11.25" hidden="1" customHeight="1" x14ac:dyDescent="0.25">
      <c r="A16" s="1364" t="s">
        <v>2051</v>
      </c>
      <c r="B16" s="1365" t="s">
        <v>2051</v>
      </c>
      <c r="C16" s="1356" t="s">
        <v>2027</v>
      </c>
      <c r="D16" s="1356"/>
      <c r="E16" s="1357"/>
      <c r="F16" s="1357"/>
      <c r="G16" s="1368" t="s">
        <v>2028</v>
      </c>
      <c r="H16" s="1369" t="s">
        <v>1621</v>
      </c>
      <c r="I16" s="1370" t="s">
        <v>1622</v>
      </c>
      <c r="J16" s="1355" t="s">
        <v>2052</v>
      </c>
      <c r="K16" s="1356" t="s">
        <v>2027</v>
      </c>
      <c r="L16" s="1356" t="s">
        <v>2027</v>
      </c>
      <c r="M16" s="607">
        <v>531271</v>
      </c>
      <c r="N16" s="608">
        <v>531271</v>
      </c>
      <c r="O16" s="1360">
        <v>391296</v>
      </c>
      <c r="P16" s="1360">
        <v>391296</v>
      </c>
      <c r="Q16" s="1361">
        <v>652925</v>
      </c>
      <c r="R16" s="1361">
        <v>652925</v>
      </c>
    </row>
    <row r="17" spans="1:18" ht="11.25" hidden="1" customHeight="1" x14ac:dyDescent="0.25">
      <c r="A17" s="1362" t="s">
        <v>2053</v>
      </c>
      <c r="B17" s="1354" t="s">
        <v>2053</v>
      </c>
      <c r="C17" s="1356" t="s">
        <v>2027</v>
      </c>
      <c r="D17" s="1356"/>
      <c r="E17" s="1357"/>
      <c r="F17" s="1357"/>
      <c r="G17" s="1368" t="s">
        <v>2028</v>
      </c>
      <c r="H17" s="1369" t="s">
        <v>1621</v>
      </c>
      <c r="I17" s="1370" t="s">
        <v>1622</v>
      </c>
      <c r="J17" s="1371" t="s">
        <v>2038</v>
      </c>
      <c r="K17" s="1356" t="s">
        <v>2027</v>
      </c>
      <c r="L17" s="1356" t="s">
        <v>2027</v>
      </c>
      <c r="M17" s="607">
        <v>0</v>
      </c>
      <c r="N17" s="608">
        <v>0</v>
      </c>
      <c r="O17" s="1360">
        <v>0</v>
      </c>
      <c r="P17" s="1360">
        <v>0</v>
      </c>
      <c r="Q17" s="1361"/>
      <c r="R17" s="1361"/>
    </row>
    <row r="18" spans="1:18" ht="11.25" hidden="1" customHeight="1" x14ac:dyDescent="0.25">
      <c r="A18" s="1364" t="s">
        <v>2054</v>
      </c>
      <c r="B18" s="1372" t="s">
        <v>2054</v>
      </c>
      <c r="C18" s="1356" t="s">
        <v>2027</v>
      </c>
      <c r="D18" s="1356"/>
      <c r="E18" s="1357"/>
      <c r="F18" s="1357"/>
      <c r="G18" s="1355" t="s">
        <v>2055</v>
      </c>
      <c r="H18" s="1357" t="s">
        <v>767</v>
      </c>
      <c r="I18" s="1358" t="s">
        <v>1652</v>
      </c>
      <c r="J18" s="1355">
        <v>20</v>
      </c>
      <c r="K18" s="1356" t="s">
        <v>2027</v>
      </c>
      <c r="L18" s="1356" t="s">
        <v>2027</v>
      </c>
      <c r="M18" s="607">
        <v>900000</v>
      </c>
      <c r="N18" s="608">
        <v>900000</v>
      </c>
      <c r="O18" s="1360">
        <v>1823395</v>
      </c>
      <c r="P18" s="1360">
        <v>1823395</v>
      </c>
      <c r="Q18" s="1361">
        <v>2000000</v>
      </c>
      <c r="R18" s="1361">
        <v>2000000</v>
      </c>
    </row>
    <row r="19" spans="1:18" ht="11.25" hidden="1" customHeight="1" x14ac:dyDescent="0.25">
      <c r="A19" s="1365" t="s">
        <v>2056</v>
      </c>
      <c r="B19" s="1372" t="s">
        <v>2056</v>
      </c>
      <c r="C19" s="1356" t="s">
        <v>2027</v>
      </c>
      <c r="D19" s="1356"/>
      <c r="E19" s="1357"/>
      <c r="F19" s="1357"/>
      <c r="G19" s="1355" t="s">
        <v>2055</v>
      </c>
      <c r="H19" s="1357" t="s">
        <v>767</v>
      </c>
      <c r="I19" s="1358" t="s">
        <v>1652</v>
      </c>
      <c r="J19" s="1355"/>
      <c r="K19" s="1356" t="s">
        <v>2027</v>
      </c>
      <c r="L19" s="1356" t="s">
        <v>2027</v>
      </c>
      <c r="M19" s="607">
        <v>1220261.3999999999</v>
      </c>
      <c r="N19" s="608">
        <v>1220261.3999999999</v>
      </c>
      <c r="O19" s="1360">
        <v>1000000</v>
      </c>
      <c r="P19" s="1360">
        <v>1000000</v>
      </c>
      <c r="Q19" s="1361">
        <v>400000</v>
      </c>
      <c r="R19" s="1361">
        <v>400000</v>
      </c>
    </row>
    <row r="20" spans="1:18" ht="11.25" hidden="1" customHeight="1" x14ac:dyDescent="0.25">
      <c r="A20" s="1362" t="s">
        <v>2057</v>
      </c>
      <c r="B20" s="1372" t="s">
        <v>2057</v>
      </c>
      <c r="C20" s="1356" t="s">
        <v>2027</v>
      </c>
      <c r="D20" s="1356"/>
      <c r="E20" s="1357"/>
      <c r="F20" s="1357"/>
      <c r="G20" s="1355" t="s">
        <v>2055</v>
      </c>
      <c r="H20" s="1357" t="s">
        <v>1676</v>
      </c>
      <c r="I20" s="1358" t="s">
        <v>1676</v>
      </c>
      <c r="J20" s="1355" t="s">
        <v>2058</v>
      </c>
      <c r="K20" s="1356" t="s">
        <v>2027</v>
      </c>
      <c r="L20" s="1356" t="s">
        <v>2027</v>
      </c>
      <c r="M20" s="607">
        <v>0</v>
      </c>
      <c r="N20" s="608">
        <v>0</v>
      </c>
      <c r="O20" s="1360">
        <v>1000000</v>
      </c>
      <c r="P20" s="1360">
        <v>1000000</v>
      </c>
      <c r="Q20" s="1361">
        <v>100000</v>
      </c>
      <c r="R20" s="1361">
        <v>100000</v>
      </c>
    </row>
    <row r="21" spans="1:18" ht="11.25" hidden="1" customHeight="1" x14ac:dyDescent="0.25">
      <c r="A21" s="1364" t="s">
        <v>2059</v>
      </c>
      <c r="B21" s="1372" t="s">
        <v>2059</v>
      </c>
      <c r="C21" s="1356" t="s">
        <v>2027</v>
      </c>
      <c r="D21" s="1356"/>
      <c r="E21" s="1357"/>
      <c r="F21" s="1357"/>
      <c r="G21" s="1355" t="s">
        <v>2055</v>
      </c>
      <c r="H21" s="1357" t="s">
        <v>1621</v>
      </c>
      <c r="I21" s="1358" t="s">
        <v>1622</v>
      </c>
      <c r="J21" s="1355">
        <v>20</v>
      </c>
      <c r="K21" s="1356" t="s">
        <v>2027</v>
      </c>
      <c r="L21" s="1356" t="s">
        <v>2027</v>
      </c>
      <c r="M21" s="607">
        <v>0</v>
      </c>
      <c r="N21" s="608">
        <v>0</v>
      </c>
      <c r="O21" s="1360">
        <v>0</v>
      </c>
      <c r="P21" s="1360">
        <v>0</v>
      </c>
      <c r="Q21" s="1361">
        <v>100000</v>
      </c>
      <c r="R21" s="1361">
        <v>100000</v>
      </c>
    </row>
    <row r="22" spans="1:18" ht="11.25" hidden="1" customHeight="1" x14ac:dyDescent="0.25">
      <c r="A22" s="1364" t="s">
        <v>2060</v>
      </c>
      <c r="B22" s="1372" t="s">
        <v>2060</v>
      </c>
      <c r="C22" s="1356" t="s">
        <v>2027</v>
      </c>
      <c r="D22" s="1356"/>
      <c r="E22" s="1357"/>
      <c r="F22" s="1357"/>
      <c r="G22" s="1355" t="s">
        <v>2055</v>
      </c>
      <c r="H22" s="1357" t="s">
        <v>1621</v>
      </c>
      <c r="I22" s="1358" t="s">
        <v>1622</v>
      </c>
      <c r="J22" s="1355">
        <v>17</v>
      </c>
      <c r="K22" s="1356" t="s">
        <v>2027</v>
      </c>
      <c r="L22" s="1356" t="s">
        <v>2027</v>
      </c>
      <c r="M22" s="607">
        <v>0</v>
      </c>
      <c r="N22" s="608">
        <v>0</v>
      </c>
      <c r="O22" s="1360">
        <v>0</v>
      </c>
      <c r="P22" s="1360">
        <v>0</v>
      </c>
      <c r="Q22" s="1361">
        <v>319949</v>
      </c>
      <c r="R22" s="1361">
        <v>319949</v>
      </c>
    </row>
    <row r="23" spans="1:18" ht="11.25" hidden="1" customHeight="1" x14ac:dyDescent="0.25">
      <c r="A23" s="1364" t="s">
        <v>2061</v>
      </c>
      <c r="B23" s="1372" t="s">
        <v>2061</v>
      </c>
      <c r="C23" s="1356" t="s">
        <v>2027</v>
      </c>
      <c r="D23" s="1356"/>
      <c r="E23" s="1357"/>
      <c r="F23" s="1357"/>
      <c r="G23" s="1355" t="s">
        <v>2055</v>
      </c>
      <c r="H23" s="1357" t="s">
        <v>1621</v>
      </c>
      <c r="I23" s="1358" t="s">
        <v>1622</v>
      </c>
      <c r="J23" s="1355">
        <v>32</v>
      </c>
      <c r="K23" s="1356" t="s">
        <v>2027</v>
      </c>
      <c r="L23" s="1356" t="s">
        <v>2027</v>
      </c>
      <c r="M23" s="607">
        <v>3150000</v>
      </c>
      <c r="N23" s="1459">
        <v>3150000</v>
      </c>
      <c r="O23" s="1360">
        <v>0</v>
      </c>
      <c r="P23" s="1360">
        <v>0</v>
      </c>
      <c r="Q23" s="1361">
        <v>0</v>
      </c>
      <c r="R23" s="1361">
        <v>0</v>
      </c>
    </row>
    <row r="24" spans="1:18" ht="11.25" hidden="1" customHeight="1" x14ac:dyDescent="0.25">
      <c r="A24" s="1364" t="s">
        <v>2062</v>
      </c>
      <c r="B24" s="1372" t="s">
        <v>2062</v>
      </c>
      <c r="C24" s="1356" t="s">
        <v>2027</v>
      </c>
      <c r="D24" s="1356"/>
      <c r="E24" s="1357"/>
      <c r="F24" s="1357"/>
      <c r="G24" s="1355" t="s">
        <v>2055</v>
      </c>
      <c r="H24" s="1357" t="s">
        <v>1621</v>
      </c>
      <c r="I24" s="1358" t="s">
        <v>1622</v>
      </c>
      <c r="J24" s="1355" t="s">
        <v>2063</v>
      </c>
      <c r="K24" s="1356" t="s">
        <v>2027</v>
      </c>
      <c r="L24" s="1356" t="s">
        <v>2027</v>
      </c>
      <c r="M24" s="607">
        <v>0</v>
      </c>
      <c r="N24" s="608">
        <v>0</v>
      </c>
      <c r="O24" s="1360">
        <v>0</v>
      </c>
      <c r="P24" s="1360">
        <v>0</v>
      </c>
      <c r="Q24" s="1361">
        <v>200000</v>
      </c>
      <c r="R24" s="1361">
        <v>200000</v>
      </c>
    </row>
    <row r="25" spans="1:18" ht="11.25" hidden="1" customHeight="1" x14ac:dyDescent="0.25">
      <c r="A25" s="1364" t="s">
        <v>2064</v>
      </c>
      <c r="B25" s="1372" t="s">
        <v>2064</v>
      </c>
      <c r="C25" s="1356" t="s">
        <v>2027</v>
      </c>
      <c r="D25" s="1356"/>
      <c r="E25" s="1357"/>
      <c r="F25" s="1357"/>
      <c r="G25" s="1355" t="s">
        <v>2055</v>
      </c>
      <c r="H25" s="1357" t="s">
        <v>1621</v>
      </c>
      <c r="I25" s="1358" t="s">
        <v>1622</v>
      </c>
      <c r="J25" s="1355">
        <v>25</v>
      </c>
      <c r="K25" s="1356" t="s">
        <v>2027</v>
      </c>
      <c r="L25" s="1356" t="s">
        <v>2027</v>
      </c>
      <c r="M25" s="607">
        <v>0</v>
      </c>
      <c r="N25" s="608">
        <v>0</v>
      </c>
      <c r="O25" s="1360">
        <v>0</v>
      </c>
      <c r="P25" s="1360">
        <v>0</v>
      </c>
      <c r="Q25" s="1361">
        <v>1000000</v>
      </c>
      <c r="R25" s="1361">
        <v>1000000</v>
      </c>
    </row>
    <row r="26" spans="1:18" ht="11.25" hidden="1" customHeight="1" x14ac:dyDescent="0.25">
      <c r="A26" s="1364" t="s">
        <v>2065</v>
      </c>
      <c r="B26" s="1372" t="s">
        <v>2065</v>
      </c>
      <c r="C26" s="1356" t="s">
        <v>2027</v>
      </c>
      <c r="D26" s="1356"/>
      <c r="E26" s="1357"/>
      <c r="F26" s="1357"/>
      <c r="G26" s="1355" t="s">
        <v>2055</v>
      </c>
      <c r="H26" s="1357" t="s">
        <v>767</v>
      </c>
      <c r="I26" s="1358" t="s">
        <v>1652</v>
      </c>
      <c r="J26" s="1355">
        <v>20</v>
      </c>
      <c r="K26" s="1356" t="s">
        <v>2027</v>
      </c>
      <c r="L26" s="1356" t="s">
        <v>2027</v>
      </c>
      <c r="M26" s="607">
        <v>0</v>
      </c>
      <c r="N26" s="608">
        <v>0</v>
      </c>
      <c r="O26" s="1360">
        <v>0</v>
      </c>
      <c r="P26" s="1360">
        <v>0</v>
      </c>
      <c r="Q26" s="1361">
        <v>3000000</v>
      </c>
      <c r="R26" s="1361">
        <v>3000000</v>
      </c>
    </row>
    <row r="27" spans="1:18" ht="11.25" hidden="1" customHeight="1" x14ac:dyDescent="0.25">
      <c r="A27" s="1364" t="s">
        <v>2066</v>
      </c>
      <c r="B27" s="1372" t="s">
        <v>2066</v>
      </c>
      <c r="C27" s="1356" t="s">
        <v>2027</v>
      </c>
      <c r="D27" s="1356"/>
      <c r="E27" s="1357"/>
      <c r="F27" s="1357"/>
      <c r="G27" s="1355" t="s">
        <v>2055</v>
      </c>
      <c r="H27" s="1357" t="s">
        <v>1621</v>
      </c>
      <c r="I27" s="1358" t="s">
        <v>1622</v>
      </c>
      <c r="J27" s="1355" t="s">
        <v>2058</v>
      </c>
      <c r="K27" s="1356" t="s">
        <v>2027</v>
      </c>
      <c r="L27" s="1356" t="s">
        <v>2027</v>
      </c>
      <c r="M27" s="607">
        <v>0</v>
      </c>
      <c r="N27" s="608">
        <v>0</v>
      </c>
      <c r="O27" s="1360">
        <v>0</v>
      </c>
      <c r="P27" s="1360">
        <v>0</v>
      </c>
      <c r="Q27" s="1361">
        <v>2000000</v>
      </c>
      <c r="R27" s="1361">
        <v>2000000</v>
      </c>
    </row>
    <row r="28" spans="1:18" ht="11.25" hidden="1" customHeight="1" x14ac:dyDescent="0.25">
      <c r="A28" s="1364" t="s">
        <v>2067</v>
      </c>
      <c r="B28" s="1372" t="s">
        <v>2067</v>
      </c>
      <c r="C28" s="1356" t="s">
        <v>2027</v>
      </c>
      <c r="D28" s="1356"/>
      <c r="E28" s="1357"/>
      <c r="F28" s="1357"/>
      <c r="G28" s="1355" t="s">
        <v>2055</v>
      </c>
      <c r="H28" s="1357" t="s">
        <v>767</v>
      </c>
      <c r="I28" s="1358" t="s">
        <v>1652</v>
      </c>
      <c r="J28" s="1355">
        <v>25</v>
      </c>
      <c r="K28" s="1356" t="s">
        <v>2027</v>
      </c>
      <c r="L28" s="1356" t="s">
        <v>2027</v>
      </c>
      <c r="M28" s="607">
        <v>0</v>
      </c>
      <c r="N28" s="608">
        <v>0</v>
      </c>
      <c r="O28" s="1360">
        <v>0</v>
      </c>
      <c r="P28" s="1360">
        <v>0</v>
      </c>
      <c r="Q28" s="1361">
        <v>500000</v>
      </c>
      <c r="R28" s="1361">
        <v>500000</v>
      </c>
    </row>
    <row r="29" spans="1:18" ht="11.25" hidden="1" customHeight="1" x14ac:dyDescent="0.25">
      <c r="A29" s="1364" t="s">
        <v>2068</v>
      </c>
      <c r="B29" s="1372" t="s">
        <v>2068</v>
      </c>
      <c r="C29" s="1356" t="s">
        <v>2027</v>
      </c>
      <c r="D29" s="1356"/>
      <c r="E29" s="1357"/>
      <c r="F29" s="1357"/>
      <c r="G29" s="1355" t="s">
        <v>2055</v>
      </c>
      <c r="H29" s="1357" t="s">
        <v>1621</v>
      </c>
      <c r="I29" s="1358" t="s">
        <v>1622</v>
      </c>
      <c r="J29" s="1355" t="s">
        <v>2058</v>
      </c>
      <c r="K29" s="1356" t="s">
        <v>2027</v>
      </c>
      <c r="L29" s="1356" t="s">
        <v>2027</v>
      </c>
      <c r="M29" s="607">
        <v>0</v>
      </c>
      <c r="N29" s="608">
        <v>0</v>
      </c>
      <c r="O29" s="1360">
        <v>0</v>
      </c>
      <c r="P29" s="1360">
        <v>0</v>
      </c>
      <c r="Q29" s="1361">
        <v>2000000</v>
      </c>
      <c r="R29" s="1361">
        <v>2000000</v>
      </c>
    </row>
    <row r="30" spans="1:18" ht="11.25" hidden="1" customHeight="1" x14ac:dyDescent="0.25">
      <c r="A30" s="1364" t="s">
        <v>2069</v>
      </c>
      <c r="B30" s="1372" t="s">
        <v>2069</v>
      </c>
      <c r="C30" s="1356" t="s">
        <v>2027</v>
      </c>
      <c r="D30" s="1356"/>
      <c r="E30" s="1357"/>
      <c r="F30" s="1357"/>
      <c r="G30" s="1355" t="s">
        <v>2055</v>
      </c>
      <c r="H30" s="1357" t="s">
        <v>1621</v>
      </c>
      <c r="I30" s="1358" t="s">
        <v>1622</v>
      </c>
      <c r="J30" s="1355">
        <v>25</v>
      </c>
      <c r="K30" s="1356" t="s">
        <v>2027</v>
      </c>
      <c r="L30" s="1356" t="s">
        <v>2027</v>
      </c>
      <c r="M30" s="607">
        <v>0</v>
      </c>
      <c r="N30" s="608">
        <v>0</v>
      </c>
      <c r="O30" s="1360">
        <v>1000000</v>
      </c>
      <c r="P30" s="1360">
        <v>1000000</v>
      </c>
      <c r="Q30" s="1361">
        <v>2000000</v>
      </c>
      <c r="R30" s="1361">
        <v>2000000</v>
      </c>
    </row>
    <row r="31" spans="1:18" ht="11.25" hidden="1" customHeight="1" x14ac:dyDescent="0.25">
      <c r="A31" s="1364" t="s">
        <v>2070</v>
      </c>
      <c r="B31" s="1372" t="s">
        <v>2070</v>
      </c>
      <c r="C31" s="1356" t="s">
        <v>2027</v>
      </c>
      <c r="D31" s="1356"/>
      <c r="E31" s="1357"/>
      <c r="F31" s="1357"/>
      <c r="G31" s="1355" t="s">
        <v>2055</v>
      </c>
      <c r="H31" s="1357" t="s">
        <v>1621</v>
      </c>
      <c r="I31" s="1358" t="s">
        <v>1622</v>
      </c>
      <c r="J31" s="1355">
        <v>25</v>
      </c>
      <c r="K31" s="1356" t="s">
        <v>2027</v>
      </c>
      <c r="L31" s="1356" t="s">
        <v>2027</v>
      </c>
      <c r="M31" s="607">
        <v>0</v>
      </c>
      <c r="N31" s="608">
        <v>0</v>
      </c>
      <c r="O31" s="1360">
        <v>1000000</v>
      </c>
      <c r="P31" s="1360">
        <v>1000000</v>
      </c>
      <c r="Q31" s="1361">
        <v>500000</v>
      </c>
      <c r="R31" s="1361">
        <v>500000</v>
      </c>
    </row>
    <row r="32" spans="1:18" ht="11.25" hidden="1" customHeight="1" x14ac:dyDescent="0.25">
      <c r="A32" s="1364" t="s">
        <v>2071</v>
      </c>
      <c r="B32" s="1372" t="s">
        <v>2071</v>
      </c>
      <c r="C32" s="1356" t="s">
        <v>2027</v>
      </c>
      <c r="D32" s="1356"/>
      <c r="E32" s="1357"/>
      <c r="F32" s="1357"/>
      <c r="G32" s="1355" t="s">
        <v>2055</v>
      </c>
      <c r="H32" s="1357" t="s">
        <v>1621</v>
      </c>
      <c r="I32" s="1358" t="s">
        <v>1622</v>
      </c>
      <c r="J32" s="1355">
        <v>23</v>
      </c>
      <c r="K32" s="1356" t="s">
        <v>2027</v>
      </c>
      <c r="L32" s="1356" t="s">
        <v>2027</v>
      </c>
      <c r="M32" s="607">
        <v>0</v>
      </c>
      <c r="N32" s="608">
        <v>0</v>
      </c>
      <c r="O32" s="1360">
        <v>0</v>
      </c>
      <c r="P32" s="1360">
        <v>0</v>
      </c>
      <c r="Q32" s="1361">
        <v>1000000</v>
      </c>
      <c r="R32" s="1361">
        <v>1000000</v>
      </c>
    </row>
    <row r="33" spans="1:18" ht="11.25" hidden="1" customHeight="1" x14ac:dyDescent="0.25">
      <c r="A33" s="1364" t="s">
        <v>2072</v>
      </c>
      <c r="B33" s="1372" t="s">
        <v>2072</v>
      </c>
      <c r="C33" s="1356" t="s">
        <v>2027</v>
      </c>
      <c r="D33" s="1356"/>
      <c r="E33" s="1357"/>
      <c r="F33" s="1357"/>
      <c r="G33" s="1355" t="s">
        <v>2055</v>
      </c>
      <c r="H33" s="1357" t="s">
        <v>1621</v>
      </c>
      <c r="I33" s="1358" t="s">
        <v>1622</v>
      </c>
      <c r="J33" s="1355">
        <v>23</v>
      </c>
      <c r="K33" s="1356" t="s">
        <v>2027</v>
      </c>
      <c r="L33" s="1356" t="s">
        <v>2027</v>
      </c>
      <c r="M33" s="607">
        <v>0</v>
      </c>
      <c r="N33" s="608">
        <v>0</v>
      </c>
      <c r="O33" s="1360">
        <v>0</v>
      </c>
      <c r="P33" s="1360">
        <v>0</v>
      </c>
      <c r="Q33" s="1361">
        <v>500000</v>
      </c>
      <c r="R33" s="1361">
        <v>500000</v>
      </c>
    </row>
    <row r="34" spans="1:18" ht="11.25" hidden="1" customHeight="1" x14ac:dyDescent="0.25">
      <c r="A34" s="1364" t="s">
        <v>2073</v>
      </c>
      <c r="B34" s="1372" t="s">
        <v>2073</v>
      </c>
      <c r="C34" s="1356" t="s">
        <v>2027</v>
      </c>
      <c r="D34" s="1356"/>
      <c r="E34" s="1357"/>
      <c r="F34" s="1357"/>
      <c r="G34" s="1355" t="s">
        <v>2055</v>
      </c>
      <c r="H34" s="1357" t="s">
        <v>767</v>
      </c>
      <c r="I34" s="1358" t="s">
        <v>1652</v>
      </c>
      <c r="J34" s="1355">
        <v>23</v>
      </c>
      <c r="K34" s="1356" t="s">
        <v>2027</v>
      </c>
      <c r="L34" s="1356" t="s">
        <v>2027</v>
      </c>
      <c r="M34" s="607">
        <v>0</v>
      </c>
      <c r="N34" s="608">
        <v>0</v>
      </c>
      <c r="O34" s="1360">
        <v>0</v>
      </c>
      <c r="P34" s="1360">
        <v>0</v>
      </c>
      <c r="Q34" s="1361">
        <v>500000</v>
      </c>
      <c r="R34" s="1361">
        <v>500000</v>
      </c>
    </row>
    <row r="35" spans="1:18" ht="11.25" hidden="1" customHeight="1" x14ac:dyDescent="0.25">
      <c r="A35" s="1364" t="s">
        <v>2074</v>
      </c>
      <c r="B35" s="1372" t="s">
        <v>2074</v>
      </c>
      <c r="C35" s="1356" t="s">
        <v>2027</v>
      </c>
      <c r="D35" s="1356"/>
      <c r="E35" s="1357"/>
      <c r="F35" s="1357"/>
      <c r="G35" s="1355" t="s">
        <v>2055</v>
      </c>
      <c r="H35" s="1357" t="s">
        <v>767</v>
      </c>
      <c r="I35" s="1358" t="s">
        <v>1652</v>
      </c>
      <c r="J35" s="1355">
        <v>23</v>
      </c>
      <c r="K35" s="1356" t="s">
        <v>2027</v>
      </c>
      <c r="L35" s="1356" t="s">
        <v>2027</v>
      </c>
      <c r="M35" s="607">
        <v>1000000</v>
      </c>
      <c r="N35" s="608">
        <v>1000000</v>
      </c>
      <c r="O35" s="1360">
        <v>0</v>
      </c>
      <c r="P35" s="1360">
        <v>0</v>
      </c>
      <c r="Q35" s="1361">
        <v>0</v>
      </c>
      <c r="R35" s="1361">
        <v>0</v>
      </c>
    </row>
    <row r="36" spans="1:18" ht="11.25" hidden="1" customHeight="1" x14ac:dyDescent="0.25">
      <c r="A36" s="1364" t="s">
        <v>2075</v>
      </c>
      <c r="B36" s="1372" t="s">
        <v>2075</v>
      </c>
      <c r="C36" s="1356" t="s">
        <v>2027</v>
      </c>
      <c r="D36" s="1356"/>
      <c r="E36" s="1357"/>
      <c r="F36" s="1357"/>
      <c r="G36" s="1355" t="s">
        <v>2055</v>
      </c>
      <c r="H36" s="1357" t="s">
        <v>1621</v>
      </c>
      <c r="I36" s="1358" t="s">
        <v>1622</v>
      </c>
      <c r="J36" s="1355">
        <v>20</v>
      </c>
      <c r="K36" s="1356" t="s">
        <v>2027</v>
      </c>
      <c r="L36" s="1356" t="s">
        <v>2027</v>
      </c>
      <c r="M36" s="607">
        <v>300000</v>
      </c>
      <c r="N36" s="608">
        <v>300000</v>
      </c>
      <c r="O36" s="1360">
        <v>1000000</v>
      </c>
      <c r="P36" s="1360">
        <v>1000000</v>
      </c>
      <c r="Q36" s="1361">
        <v>0</v>
      </c>
      <c r="R36" s="1361">
        <v>0</v>
      </c>
    </row>
    <row r="37" spans="1:18" ht="11.25" hidden="1" customHeight="1" x14ac:dyDescent="0.25">
      <c r="A37" s="1364" t="s">
        <v>2076</v>
      </c>
      <c r="B37" s="1372" t="s">
        <v>2076</v>
      </c>
      <c r="C37" s="1356" t="s">
        <v>2027</v>
      </c>
      <c r="D37" s="1356"/>
      <c r="E37" s="1357"/>
      <c r="F37" s="1357"/>
      <c r="G37" s="1355" t="s">
        <v>2055</v>
      </c>
      <c r="H37" s="1357" t="s">
        <v>767</v>
      </c>
      <c r="I37" s="1358" t="s">
        <v>1652</v>
      </c>
      <c r="J37" s="1355">
        <v>23</v>
      </c>
      <c r="K37" s="1356" t="s">
        <v>2027</v>
      </c>
      <c r="L37" s="1356" t="s">
        <v>2027</v>
      </c>
      <c r="M37" s="607">
        <v>0</v>
      </c>
      <c r="N37" s="608">
        <v>0</v>
      </c>
      <c r="O37" s="1360"/>
      <c r="P37" s="1360"/>
      <c r="Q37" s="1361">
        <v>500000</v>
      </c>
      <c r="R37" s="1361">
        <v>500000</v>
      </c>
    </row>
    <row r="38" spans="1:18" ht="11.25" hidden="1" customHeight="1" x14ac:dyDescent="0.25">
      <c r="A38" s="1364" t="s">
        <v>2077</v>
      </c>
      <c r="B38" s="1372" t="s">
        <v>2077</v>
      </c>
      <c r="C38" s="1356" t="s">
        <v>2027</v>
      </c>
      <c r="D38" s="1356"/>
      <c r="E38" s="1357"/>
      <c r="F38" s="1357"/>
      <c r="G38" s="1355" t="s">
        <v>2055</v>
      </c>
      <c r="H38" s="1357" t="s">
        <v>1621</v>
      </c>
      <c r="I38" s="1358" t="s">
        <v>1622</v>
      </c>
      <c r="J38" s="1355" t="s">
        <v>2078</v>
      </c>
      <c r="K38" s="1356" t="s">
        <v>2027</v>
      </c>
      <c r="L38" s="1356" t="s">
        <v>2027</v>
      </c>
      <c r="M38" s="607">
        <v>1500000</v>
      </c>
      <c r="N38" s="608">
        <v>1500000</v>
      </c>
      <c r="O38" s="1360">
        <v>0</v>
      </c>
      <c r="P38" s="1360">
        <v>0</v>
      </c>
      <c r="Q38" s="1361">
        <v>0</v>
      </c>
      <c r="R38" s="1361">
        <v>0</v>
      </c>
    </row>
    <row r="39" spans="1:18" ht="11.25" hidden="1" customHeight="1" x14ac:dyDescent="0.25">
      <c r="A39" s="1364" t="s">
        <v>2079</v>
      </c>
      <c r="B39" s="1372" t="s">
        <v>2079</v>
      </c>
      <c r="C39" s="1356" t="s">
        <v>2027</v>
      </c>
      <c r="D39" s="1356"/>
      <c r="E39" s="1357"/>
      <c r="F39" s="1357"/>
      <c r="G39" s="1355" t="s">
        <v>2055</v>
      </c>
      <c r="H39" s="1357" t="s">
        <v>1621</v>
      </c>
      <c r="I39" s="1358"/>
      <c r="J39" s="1355">
        <v>14</v>
      </c>
      <c r="K39" s="1356" t="s">
        <v>2027</v>
      </c>
      <c r="L39" s="1356" t="s">
        <v>2027</v>
      </c>
      <c r="M39" s="607">
        <v>1500000</v>
      </c>
      <c r="N39" s="608">
        <v>1500000</v>
      </c>
      <c r="O39" s="1360">
        <v>1000000</v>
      </c>
      <c r="P39" s="1360">
        <v>1000000</v>
      </c>
      <c r="Q39" s="1361">
        <v>2000000</v>
      </c>
      <c r="R39" s="1361">
        <v>2000000</v>
      </c>
    </row>
    <row r="40" spans="1:18" ht="11.25" hidden="1" customHeight="1" x14ac:dyDescent="0.25">
      <c r="A40" s="1364" t="s">
        <v>2080</v>
      </c>
      <c r="B40" s="1372" t="s">
        <v>2080</v>
      </c>
      <c r="C40" s="1356" t="s">
        <v>2027</v>
      </c>
      <c r="D40" s="1356"/>
      <c r="E40" s="1357"/>
      <c r="F40" s="1357"/>
      <c r="G40" s="1355" t="s">
        <v>2081</v>
      </c>
      <c r="H40" s="1357" t="s">
        <v>764</v>
      </c>
      <c r="I40" s="1358" t="s">
        <v>1569</v>
      </c>
      <c r="J40" s="1355">
        <v>27</v>
      </c>
      <c r="K40" s="1356" t="s">
        <v>2027</v>
      </c>
      <c r="L40" s="1356" t="s">
        <v>2027</v>
      </c>
      <c r="M40" s="607">
        <v>0</v>
      </c>
      <c r="N40" s="608">
        <v>0</v>
      </c>
      <c r="O40" s="1360">
        <v>2000000</v>
      </c>
      <c r="P40" s="1360">
        <v>2000000</v>
      </c>
      <c r="Q40" s="1361">
        <v>3000000</v>
      </c>
      <c r="R40" s="1361">
        <v>3000000</v>
      </c>
    </row>
    <row r="41" spans="1:18" ht="11.25" hidden="1" customHeight="1" x14ac:dyDescent="0.25">
      <c r="A41" s="1364" t="s">
        <v>2080</v>
      </c>
      <c r="B41" s="1372" t="s">
        <v>2080</v>
      </c>
      <c r="C41" s="1356" t="s">
        <v>2027</v>
      </c>
      <c r="D41" s="1356"/>
      <c r="E41" s="1357"/>
      <c r="F41" s="1357"/>
      <c r="G41" s="1355" t="s">
        <v>2081</v>
      </c>
      <c r="H41" s="1357" t="s">
        <v>764</v>
      </c>
      <c r="I41" s="1358" t="s">
        <v>1569</v>
      </c>
      <c r="J41" s="1355">
        <v>31</v>
      </c>
      <c r="K41" s="1356" t="s">
        <v>2027</v>
      </c>
      <c r="L41" s="1356" t="s">
        <v>2027</v>
      </c>
      <c r="M41" s="607">
        <v>700000</v>
      </c>
      <c r="N41" s="608">
        <v>700000</v>
      </c>
      <c r="O41" s="1360">
        <v>0</v>
      </c>
      <c r="P41" s="1360">
        <v>0</v>
      </c>
      <c r="Q41" s="1361">
        <v>0</v>
      </c>
      <c r="R41" s="1361">
        <v>0</v>
      </c>
    </row>
    <row r="42" spans="1:18" ht="11.25" hidden="1" customHeight="1" x14ac:dyDescent="0.25">
      <c r="A42" s="1364" t="s">
        <v>2082</v>
      </c>
      <c r="B42" s="1372" t="s">
        <v>2082</v>
      </c>
      <c r="C42" s="1356" t="s">
        <v>2027</v>
      </c>
      <c r="D42" s="1356"/>
      <c r="E42" s="1357"/>
      <c r="F42" s="1357"/>
      <c r="G42" s="1355" t="s">
        <v>2081</v>
      </c>
      <c r="H42" s="1357" t="s">
        <v>764</v>
      </c>
      <c r="I42" s="1358" t="s">
        <v>1569</v>
      </c>
      <c r="J42" s="1355">
        <v>17</v>
      </c>
      <c r="K42" s="1356" t="s">
        <v>2027</v>
      </c>
      <c r="L42" s="1356" t="s">
        <v>2027</v>
      </c>
      <c r="M42" s="607">
        <v>1500000</v>
      </c>
      <c r="N42" s="608">
        <v>1400000</v>
      </c>
      <c r="O42" s="1360">
        <v>1000000</v>
      </c>
      <c r="P42" s="1360">
        <v>1000000</v>
      </c>
      <c r="Q42" s="1361">
        <v>2000000</v>
      </c>
      <c r="R42" s="1361">
        <v>2000000</v>
      </c>
    </row>
    <row r="43" spans="1:18" ht="11.25" hidden="1" customHeight="1" x14ac:dyDescent="0.25">
      <c r="A43" s="1364" t="s">
        <v>2083</v>
      </c>
      <c r="B43" s="1372" t="s">
        <v>2083</v>
      </c>
      <c r="C43" s="1356" t="s">
        <v>2027</v>
      </c>
      <c r="D43" s="1356"/>
      <c r="E43" s="1357"/>
      <c r="F43" s="1357"/>
      <c r="G43" s="1355" t="s">
        <v>2081</v>
      </c>
      <c r="H43" s="1357" t="s">
        <v>764</v>
      </c>
      <c r="I43" s="1358" t="s">
        <v>1569</v>
      </c>
      <c r="J43" s="1355" t="s">
        <v>2084</v>
      </c>
      <c r="K43" s="1356" t="s">
        <v>2027</v>
      </c>
      <c r="L43" s="1356" t="s">
        <v>2027</v>
      </c>
      <c r="M43" s="607">
        <v>5593677.5029464103</v>
      </c>
      <c r="N43" s="608">
        <v>3593677.5029464103</v>
      </c>
      <c r="O43" s="1360">
        <v>6247776.6079983544</v>
      </c>
      <c r="P43" s="1360">
        <v>6247776.6079983544</v>
      </c>
      <c r="Q43" s="1361">
        <v>5000000</v>
      </c>
      <c r="R43" s="1361">
        <v>5000000</v>
      </c>
    </row>
    <row r="44" spans="1:18" ht="11.25" hidden="1" customHeight="1" x14ac:dyDescent="0.25">
      <c r="A44" s="1364" t="s">
        <v>2085</v>
      </c>
      <c r="B44" s="1372" t="s">
        <v>2085</v>
      </c>
      <c r="C44" s="1356" t="s">
        <v>2027</v>
      </c>
      <c r="D44" s="1356"/>
      <c r="E44" s="1357"/>
      <c r="F44" s="1357"/>
      <c r="G44" s="1355" t="s">
        <v>2081</v>
      </c>
      <c r="H44" s="1357" t="s">
        <v>764</v>
      </c>
      <c r="I44" s="1358" t="s">
        <v>1569</v>
      </c>
      <c r="J44" s="1355">
        <v>25</v>
      </c>
      <c r="K44" s="1356" t="s">
        <v>2027</v>
      </c>
      <c r="L44" s="1356" t="s">
        <v>2027</v>
      </c>
      <c r="M44" s="607">
        <v>0</v>
      </c>
      <c r="N44" s="608">
        <v>0</v>
      </c>
      <c r="O44" s="1360">
        <v>2500000</v>
      </c>
      <c r="P44" s="1360">
        <v>2500000</v>
      </c>
      <c r="Q44" s="1361">
        <v>5000000</v>
      </c>
      <c r="R44" s="1361">
        <v>5000000</v>
      </c>
    </row>
    <row r="45" spans="1:18" ht="11.25" hidden="1" customHeight="1" x14ac:dyDescent="0.25">
      <c r="A45" s="1364" t="s">
        <v>2085</v>
      </c>
      <c r="B45" s="1372" t="s">
        <v>2085</v>
      </c>
      <c r="C45" s="1356" t="s">
        <v>2027</v>
      </c>
      <c r="D45" s="1356"/>
      <c r="E45" s="1357"/>
      <c r="F45" s="1357"/>
      <c r="G45" s="1355" t="s">
        <v>2081</v>
      </c>
      <c r="H45" s="1357" t="s">
        <v>764</v>
      </c>
      <c r="I45" s="1358" t="s">
        <v>1569</v>
      </c>
      <c r="J45" s="1355">
        <v>25</v>
      </c>
      <c r="K45" s="1356" t="s">
        <v>2027</v>
      </c>
      <c r="L45" s="1356" t="s">
        <v>2027</v>
      </c>
      <c r="M45" s="607">
        <v>700000</v>
      </c>
      <c r="N45" s="608">
        <v>1500000</v>
      </c>
      <c r="O45" s="1360">
        <v>0</v>
      </c>
      <c r="P45" s="1360">
        <v>0</v>
      </c>
      <c r="Q45" s="1361">
        <v>0</v>
      </c>
      <c r="R45" s="1361">
        <v>0</v>
      </c>
    </row>
    <row r="46" spans="1:18" ht="11.25" hidden="1" customHeight="1" x14ac:dyDescent="0.25">
      <c r="A46" s="1364" t="s">
        <v>2086</v>
      </c>
      <c r="B46" s="1372" t="s">
        <v>2086</v>
      </c>
      <c r="C46" s="1356" t="s">
        <v>2027</v>
      </c>
      <c r="D46" s="1356"/>
      <c r="E46" s="1357"/>
      <c r="F46" s="1357"/>
      <c r="G46" s="1355" t="s">
        <v>2081</v>
      </c>
      <c r="H46" s="1357" t="s">
        <v>764</v>
      </c>
      <c r="I46" s="1358" t="s">
        <v>1569</v>
      </c>
      <c r="J46" s="1355" t="s">
        <v>2087</v>
      </c>
      <c r="K46" s="1356" t="s">
        <v>2027</v>
      </c>
      <c r="L46" s="1356" t="s">
        <v>2027</v>
      </c>
      <c r="M46" s="607">
        <v>800000</v>
      </c>
      <c r="N46" s="608">
        <v>760000</v>
      </c>
      <c r="O46" s="1360">
        <v>0</v>
      </c>
      <c r="P46" s="1360">
        <v>0</v>
      </c>
      <c r="Q46" s="1361">
        <v>0</v>
      </c>
      <c r="R46" s="1361">
        <v>0</v>
      </c>
    </row>
    <row r="47" spans="1:18" ht="11.25" hidden="1" customHeight="1" x14ac:dyDescent="0.25">
      <c r="A47" s="1364" t="s">
        <v>2088</v>
      </c>
      <c r="B47" s="1372" t="s">
        <v>2088</v>
      </c>
      <c r="C47" s="1356" t="s">
        <v>2027</v>
      </c>
      <c r="D47" s="1356"/>
      <c r="E47" s="1357"/>
      <c r="F47" s="1357"/>
      <c r="G47" s="1355" t="s">
        <v>2081</v>
      </c>
      <c r="H47" s="1357" t="s">
        <v>764</v>
      </c>
      <c r="I47" s="1358" t="s">
        <v>1569</v>
      </c>
      <c r="J47" s="1355">
        <v>4</v>
      </c>
      <c r="K47" s="1356" t="s">
        <v>2027</v>
      </c>
      <c r="L47" s="1356" t="s">
        <v>2027</v>
      </c>
      <c r="M47" s="607">
        <v>100000</v>
      </c>
      <c r="N47" s="608">
        <v>100000</v>
      </c>
      <c r="O47" s="1360">
        <v>100000</v>
      </c>
      <c r="P47" s="1360">
        <v>100000</v>
      </c>
      <c r="Q47" s="1361">
        <v>101714</v>
      </c>
      <c r="R47" s="1361">
        <v>101714</v>
      </c>
    </row>
    <row r="48" spans="1:18" ht="11.25" hidden="1" customHeight="1" x14ac:dyDescent="0.25">
      <c r="A48" s="1364" t="s">
        <v>2089</v>
      </c>
      <c r="B48" s="1372" t="s">
        <v>2089</v>
      </c>
      <c r="C48" s="1356" t="s">
        <v>2027</v>
      </c>
      <c r="D48" s="1356"/>
      <c r="E48" s="1357"/>
      <c r="F48" s="1357"/>
      <c r="G48" s="1355" t="s">
        <v>2081</v>
      </c>
      <c r="H48" s="1357" t="s">
        <v>764</v>
      </c>
      <c r="I48" s="1358" t="s">
        <v>1569</v>
      </c>
      <c r="J48" s="1355">
        <v>2</v>
      </c>
      <c r="K48" s="1356" t="s">
        <v>2027</v>
      </c>
      <c r="L48" s="1356" t="s">
        <v>2027</v>
      </c>
      <c r="M48" s="607">
        <v>1661856</v>
      </c>
      <c r="N48" s="608">
        <v>2161856</v>
      </c>
      <c r="O48" s="1360">
        <v>1002062</v>
      </c>
      <c r="P48" s="1360">
        <v>1002062</v>
      </c>
      <c r="Q48" s="1361">
        <v>0</v>
      </c>
      <c r="R48" s="1361">
        <v>0</v>
      </c>
    </row>
    <row r="49" spans="1:18" ht="11.25" hidden="1" customHeight="1" x14ac:dyDescent="0.25">
      <c r="A49" s="1364" t="s">
        <v>2090</v>
      </c>
      <c r="B49" s="1372" t="s">
        <v>2090</v>
      </c>
      <c r="C49" s="1356" t="s">
        <v>2027</v>
      </c>
      <c r="D49" s="1356"/>
      <c r="E49" s="1357"/>
      <c r="F49" s="1357"/>
      <c r="G49" s="1355" t="s">
        <v>2081</v>
      </c>
      <c r="H49" s="1357" t="s">
        <v>764</v>
      </c>
      <c r="I49" s="1358" t="s">
        <v>1569</v>
      </c>
      <c r="J49" s="1355" t="s">
        <v>2091</v>
      </c>
      <c r="K49" s="1356" t="s">
        <v>2027</v>
      </c>
      <c r="L49" s="1356" t="s">
        <v>2027</v>
      </c>
      <c r="M49" s="607">
        <v>1500000</v>
      </c>
      <c r="N49" s="608">
        <v>1500000</v>
      </c>
      <c r="O49" s="1360">
        <v>1000000</v>
      </c>
      <c r="P49" s="1360">
        <v>1000000</v>
      </c>
      <c r="Q49" s="1361">
        <v>1500000</v>
      </c>
      <c r="R49" s="1361">
        <v>1500000</v>
      </c>
    </row>
    <row r="50" spans="1:18" ht="11.25" hidden="1" customHeight="1" x14ac:dyDescent="0.25">
      <c r="A50" s="1364" t="s">
        <v>2092</v>
      </c>
      <c r="B50" s="1372" t="s">
        <v>2092</v>
      </c>
      <c r="C50" s="1356" t="s">
        <v>2027</v>
      </c>
      <c r="D50" s="1356"/>
      <c r="E50" s="1357"/>
      <c r="F50" s="1357"/>
      <c r="G50" s="1355" t="s">
        <v>2081</v>
      </c>
      <c r="H50" s="1357" t="s">
        <v>764</v>
      </c>
      <c r="I50" s="1358" t="s">
        <v>1569</v>
      </c>
      <c r="J50" s="1355">
        <v>19</v>
      </c>
      <c r="K50" s="1356" t="s">
        <v>2027</v>
      </c>
      <c r="L50" s="1356" t="s">
        <v>2027</v>
      </c>
      <c r="M50" s="607">
        <v>0</v>
      </c>
      <c r="N50" s="608">
        <v>0</v>
      </c>
      <c r="O50" s="1360">
        <v>0</v>
      </c>
      <c r="P50" s="1360">
        <v>0</v>
      </c>
      <c r="Q50" s="1361">
        <v>2100000</v>
      </c>
      <c r="R50" s="1361">
        <v>2100000</v>
      </c>
    </row>
    <row r="51" spans="1:18" ht="11.25" hidden="1" customHeight="1" x14ac:dyDescent="0.25">
      <c r="A51" s="1364" t="s">
        <v>2093</v>
      </c>
      <c r="B51" s="1372" t="s">
        <v>2093</v>
      </c>
      <c r="C51" s="1356" t="s">
        <v>2027</v>
      </c>
      <c r="D51" s="1356"/>
      <c r="E51" s="1357"/>
      <c r="F51" s="1357"/>
      <c r="G51" s="1355" t="s">
        <v>2081</v>
      </c>
      <c r="H51" s="1357" t="s">
        <v>764</v>
      </c>
      <c r="I51" s="1358" t="s">
        <v>1569</v>
      </c>
      <c r="J51" s="1355" t="s">
        <v>2094</v>
      </c>
      <c r="K51" s="1356" t="s">
        <v>2027</v>
      </c>
      <c r="L51" s="1356" t="s">
        <v>2027</v>
      </c>
      <c r="M51" s="607">
        <v>1500000</v>
      </c>
      <c r="N51" s="608">
        <v>2508000</v>
      </c>
      <c r="O51" s="1360">
        <v>10000000</v>
      </c>
      <c r="P51" s="1360">
        <v>10000000</v>
      </c>
      <c r="Q51" s="1361">
        <v>8000000</v>
      </c>
      <c r="R51" s="1361">
        <v>8000000</v>
      </c>
    </row>
    <row r="52" spans="1:18" ht="11.25" hidden="1" customHeight="1" x14ac:dyDescent="0.25">
      <c r="A52" s="1364" t="s">
        <v>2095</v>
      </c>
      <c r="B52" s="1372" t="s">
        <v>2095</v>
      </c>
      <c r="C52" s="1356" t="s">
        <v>2027</v>
      </c>
      <c r="D52" s="1356"/>
      <c r="E52" s="1357"/>
      <c r="F52" s="1357"/>
      <c r="G52" s="1355" t="s">
        <v>2081</v>
      </c>
      <c r="H52" s="1357" t="s">
        <v>764</v>
      </c>
      <c r="I52" s="1358" t="s">
        <v>1569</v>
      </c>
      <c r="J52" s="1355">
        <v>13</v>
      </c>
      <c r="K52" s="1356" t="s">
        <v>2027</v>
      </c>
      <c r="L52" s="1356" t="s">
        <v>2027</v>
      </c>
      <c r="M52" s="607">
        <v>8000000</v>
      </c>
      <c r="N52" s="608">
        <v>10000000</v>
      </c>
      <c r="O52" s="1360">
        <v>0</v>
      </c>
      <c r="P52" s="1360">
        <v>0</v>
      </c>
      <c r="Q52" s="1361">
        <v>9000000</v>
      </c>
      <c r="R52" s="1361">
        <v>9000000</v>
      </c>
    </row>
    <row r="53" spans="1:18" ht="11.25" hidden="1" customHeight="1" x14ac:dyDescent="0.25">
      <c r="A53" s="1364" t="s">
        <v>2096</v>
      </c>
      <c r="B53" s="1372" t="s">
        <v>2096</v>
      </c>
      <c r="C53" s="1356" t="s">
        <v>2027</v>
      </c>
      <c r="D53" s="1356"/>
      <c r="E53" s="1357"/>
      <c r="F53" s="1357"/>
      <c r="G53" s="1355" t="s">
        <v>2081</v>
      </c>
      <c r="H53" s="1357" t="s">
        <v>764</v>
      </c>
      <c r="I53" s="1358" t="s">
        <v>1569</v>
      </c>
      <c r="J53" s="1355">
        <v>37</v>
      </c>
      <c r="K53" s="1356" t="s">
        <v>2027</v>
      </c>
      <c r="L53" s="1356" t="s">
        <v>2027</v>
      </c>
      <c r="M53" s="607">
        <v>7500000</v>
      </c>
      <c r="N53" s="608">
        <v>15500000</v>
      </c>
      <c r="O53" s="1360">
        <v>0</v>
      </c>
      <c r="P53" s="1360">
        <v>0</v>
      </c>
      <c r="Q53" s="1361">
        <v>0</v>
      </c>
      <c r="R53" s="1361">
        <v>0</v>
      </c>
    </row>
    <row r="54" spans="1:18" ht="11.25" hidden="1" customHeight="1" x14ac:dyDescent="0.25">
      <c r="A54" s="1364" t="s">
        <v>2097</v>
      </c>
      <c r="B54" s="1372" t="s">
        <v>2097</v>
      </c>
      <c r="C54" s="1356" t="s">
        <v>2027</v>
      </c>
      <c r="D54" s="1356"/>
      <c r="E54" s="1357"/>
      <c r="F54" s="1357"/>
      <c r="G54" s="1355" t="s">
        <v>2081</v>
      </c>
      <c r="H54" s="1357" t="s">
        <v>764</v>
      </c>
      <c r="I54" s="1358" t="s">
        <v>1569</v>
      </c>
      <c r="J54" s="1355">
        <v>17</v>
      </c>
      <c r="K54" s="1356" t="s">
        <v>2027</v>
      </c>
      <c r="L54" s="1356" t="s">
        <v>2027</v>
      </c>
      <c r="M54" s="607">
        <v>7500000</v>
      </c>
      <c r="N54" s="608">
        <v>9552708.6999999993</v>
      </c>
      <c r="O54" s="1360">
        <v>10000000</v>
      </c>
      <c r="P54" s="1360">
        <v>10000000</v>
      </c>
      <c r="Q54" s="1361">
        <v>8000000</v>
      </c>
      <c r="R54" s="1361">
        <v>8000000</v>
      </c>
    </row>
    <row r="55" spans="1:18" ht="11.25" hidden="1" customHeight="1" x14ac:dyDescent="0.25">
      <c r="A55" s="1364" t="s">
        <v>2098</v>
      </c>
      <c r="B55" s="1372" t="s">
        <v>2098</v>
      </c>
      <c r="C55" s="1356" t="s">
        <v>2027</v>
      </c>
      <c r="D55" s="1356"/>
      <c r="E55" s="1357"/>
      <c r="F55" s="1357"/>
      <c r="G55" s="1355" t="s">
        <v>2081</v>
      </c>
      <c r="H55" s="1357" t="s">
        <v>764</v>
      </c>
      <c r="I55" s="1358" t="s">
        <v>1569</v>
      </c>
      <c r="J55" s="1355">
        <v>37</v>
      </c>
      <c r="K55" s="1356" t="s">
        <v>2027</v>
      </c>
      <c r="L55" s="1356" t="s">
        <v>2027</v>
      </c>
      <c r="M55" s="607">
        <v>5000000</v>
      </c>
      <c r="N55" s="608">
        <v>9000000</v>
      </c>
      <c r="O55" s="1360">
        <v>0</v>
      </c>
      <c r="P55" s="1360">
        <v>0</v>
      </c>
      <c r="Q55" s="1361">
        <v>0</v>
      </c>
      <c r="R55" s="1361">
        <v>0</v>
      </c>
    </row>
    <row r="56" spans="1:18" ht="11.25" hidden="1" customHeight="1" x14ac:dyDescent="0.25">
      <c r="A56" s="1364" t="s">
        <v>2099</v>
      </c>
      <c r="B56" s="1372" t="s">
        <v>2099</v>
      </c>
      <c r="C56" s="1356" t="s">
        <v>2027</v>
      </c>
      <c r="D56" s="1356"/>
      <c r="E56" s="1357"/>
      <c r="F56" s="1357"/>
      <c r="G56" s="1355" t="s">
        <v>2081</v>
      </c>
      <c r="H56" s="1357" t="s">
        <v>764</v>
      </c>
      <c r="I56" s="1358" t="s">
        <v>1569</v>
      </c>
      <c r="J56" s="1355">
        <v>12</v>
      </c>
      <c r="K56" s="1356" t="s">
        <v>2027</v>
      </c>
      <c r="L56" s="1356" t="s">
        <v>2027</v>
      </c>
      <c r="M56" s="607">
        <v>8000000</v>
      </c>
      <c r="N56" s="608">
        <v>1000000</v>
      </c>
      <c r="O56" s="1360">
        <v>0</v>
      </c>
      <c r="P56" s="1360">
        <v>0</v>
      </c>
      <c r="Q56" s="1361">
        <v>8000000</v>
      </c>
      <c r="R56" s="1361">
        <v>8000000</v>
      </c>
    </row>
    <row r="57" spans="1:18" ht="11.25" hidden="1" customHeight="1" x14ac:dyDescent="0.25">
      <c r="A57" s="1364" t="s">
        <v>2100</v>
      </c>
      <c r="B57" s="1372" t="s">
        <v>2100</v>
      </c>
      <c r="C57" s="1356" t="s">
        <v>2027</v>
      </c>
      <c r="D57" s="1356"/>
      <c r="E57" s="1357"/>
      <c r="F57" s="1357"/>
      <c r="G57" s="1355" t="s">
        <v>2081</v>
      </c>
      <c r="H57" s="1357" t="s">
        <v>764</v>
      </c>
      <c r="I57" s="1358" t="s">
        <v>1569</v>
      </c>
      <c r="J57" s="1355">
        <v>11</v>
      </c>
      <c r="K57" s="1356" t="s">
        <v>2027</v>
      </c>
      <c r="L57" s="1356" t="s">
        <v>2027</v>
      </c>
      <c r="M57" s="607">
        <v>8000000</v>
      </c>
      <c r="N57" s="608">
        <v>5000000</v>
      </c>
      <c r="O57" s="1360">
        <v>5000000</v>
      </c>
      <c r="P57" s="1360">
        <v>5000000</v>
      </c>
      <c r="Q57" s="1361">
        <v>10000000</v>
      </c>
      <c r="R57" s="1361">
        <v>10000000</v>
      </c>
    </row>
    <row r="58" spans="1:18" ht="11.25" hidden="1" customHeight="1" x14ac:dyDescent="0.25">
      <c r="A58" s="1364" t="s">
        <v>2101</v>
      </c>
      <c r="B58" s="1372" t="s">
        <v>2101</v>
      </c>
      <c r="C58" s="1356" t="s">
        <v>2027</v>
      </c>
      <c r="D58" s="1356"/>
      <c r="E58" s="1357"/>
      <c r="F58" s="1357"/>
      <c r="G58" s="1355" t="s">
        <v>2081</v>
      </c>
      <c r="H58" s="1357" t="s">
        <v>764</v>
      </c>
      <c r="I58" s="1358" t="s">
        <v>1569</v>
      </c>
      <c r="J58" s="1355">
        <v>37</v>
      </c>
      <c r="K58" s="1356" t="s">
        <v>2027</v>
      </c>
      <c r="L58" s="1356" t="s">
        <v>2027</v>
      </c>
      <c r="M58" s="607">
        <v>8000000</v>
      </c>
      <c r="N58" s="608">
        <v>8000000</v>
      </c>
      <c r="O58" s="1360">
        <v>8000000</v>
      </c>
      <c r="P58" s="1360">
        <v>8000000</v>
      </c>
      <c r="Q58" s="1361">
        <v>10000000</v>
      </c>
      <c r="R58" s="1361">
        <v>10000000</v>
      </c>
    </row>
    <row r="59" spans="1:18" ht="11.25" hidden="1" customHeight="1" x14ac:dyDescent="0.25">
      <c r="A59" s="1364" t="s">
        <v>2102</v>
      </c>
      <c r="B59" s="1372" t="s">
        <v>2102</v>
      </c>
      <c r="C59" s="1356" t="s">
        <v>2027</v>
      </c>
      <c r="D59" s="1356"/>
      <c r="E59" s="1357"/>
      <c r="F59" s="1357"/>
      <c r="G59" s="1355" t="s">
        <v>2081</v>
      </c>
      <c r="H59" s="1357" t="s">
        <v>764</v>
      </c>
      <c r="I59" s="1358" t="s">
        <v>1569</v>
      </c>
      <c r="J59" s="1355">
        <v>19</v>
      </c>
      <c r="K59" s="1356" t="s">
        <v>2027</v>
      </c>
      <c r="L59" s="1356" t="s">
        <v>2027</v>
      </c>
      <c r="M59" s="607">
        <v>9000000</v>
      </c>
      <c r="N59" s="608">
        <v>9000000</v>
      </c>
      <c r="O59" s="1360">
        <v>15000000</v>
      </c>
      <c r="P59" s="1360">
        <v>15000000</v>
      </c>
      <c r="Q59" s="1361"/>
      <c r="R59" s="1361"/>
    </row>
    <row r="60" spans="1:18" ht="11.25" hidden="1" customHeight="1" x14ac:dyDescent="0.25">
      <c r="A60" s="1364" t="s">
        <v>2103</v>
      </c>
      <c r="B60" s="1372" t="s">
        <v>2103</v>
      </c>
      <c r="C60" s="1356" t="s">
        <v>2027</v>
      </c>
      <c r="D60" s="1356"/>
      <c r="E60" s="1357"/>
      <c r="F60" s="1357"/>
      <c r="G60" s="1355" t="s">
        <v>2081</v>
      </c>
      <c r="H60" s="1357" t="s">
        <v>764</v>
      </c>
      <c r="I60" s="1358" t="s">
        <v>1569</v>
      </c>
      <c r="J60" s="1355" t="s">
        <v>2104</v>
      </c>
      <c r="K60" s="1356" t="s">
        <v>2027</v>
      </c>
      <c r="L60" s="1356" t="s">
        <v>2027</v>
      </c>
      <c r="M60" s="607">
        <v>7000000</v>
      </c>
      <c r="N60" s="608">
        <v>1340000</v>
      </c>
      <c r="O60" s="1360">
        <v>8000000</v>
      </c>
      <c r="P60" s="1360">
        <v>8000000</v>
      </c>
      <c r="Q60" s="1361">
        <v>7000000</v>
      </c>
      <c r="R60" s="1361">
        <v>7000000</v>
      </c>
    </row>
    <row r="61" spans="1:18" ht="11.25" hidden="1" customHeight="1" x14ac:dyDescent="0.25">
      <c r="A61" s="1364" t="s">
        <v>2105</v>
      </c>
      <c r="B61" s="1372" t="s">
        <v>2105</v>
      </c>
      <c r="C61" s="1356" t="s">
        <v>2027</v>
      </c>
      <c r="D61" s="1356"/>
      <c r="E61" s="1357"/>
      <c r="F61" s="1357"/>
      <c r="G61" s="1355" t="s">
        <v>2081</v>
      </c>
      <c r="H61" s="1357" t="s">
        <v>764</v>
      </c>
      <c r="I61" s="1358" t="s">
        <v>1569</v>
      </c>
      <c r="J61" s="1355" t="s">
        <v>2091</v>
      </c>
      <c r="K61" s="1356" t="s">
        <v>2027</v>
      </c>
      <c r="L61" s="1356" t="s">
        <v>2027</v>
      </c>
      <c r="M61" s="607">
        <v>4000000</v>
      </c>
      <c r="N61" s="608">
        <v>4001468</v>
      </c>
      <c r="O61" s="1360">
        <v>8000000</v>
      </c>
      <c r="P61" s="1360">
        <v>8000000</v>
      </c>
      <c r="Q61" s="1361">
        <v>0</v>
      </c>
      <c r="R61" s="1361">
        <v>0</v>
      </c>
    </row>
    <row r="62" spans="1:18" ht="11.25" hidden="1" customHeight="1" x14ac:dyDescent="0.25">
      <c r="A62" s="1364" t="s">
        <v>2106</v>
      </c>
      <c r="B62" s="1372" t="s">
        <v>2106</v>
      </c>
      <c r="C62" s="1356" t="s">
        <v>2027</v>
      </c>
      <c r="D62" s="1356"/>
      <c r="E62" s="1357"/>
      <c r="F62" s="1357"/>
      <c r="G62" s="1355" t="s">
        <v>2081</v>
      </c>
      <c r="H62" s="1357" t="s">
        <v>764</v>
      </c>
      <c r="I62" s="1358" t="s">
        <v>1569</v>
      </c>
      <c r="J62" s="1355" t="s">
        <v>2107</v>
      </c>
      <c r="K62" s="1356" t="s">
        <v>2027</v>
      </c>
      <c r="L62" s="1356" t="s">
        <v>2027</v>
      </c>
      <c r="M62" s="607">
        <v>7000000</v>
      </c>
      <c r="N62" s="608">
        <v>3038000</v>
      </c>
      <c r="O62" s="1360">
        <v>8000000</v>
      </c>
      <c r="P62" s="1360">
        <v>8000000</v>
      </c>
      <c r="Q62" s="1361">
        <v>10000000</v>
      </c>
      <c r="R62" s="1361">
        <v>10000000</v>
      </c>
    </row>
    <row r="63" spans="1:18" ht="11.25" hidden="1" customHeight="1" x14ac:dyDescent="0.25">
      <c r="A63" s="1364" t="s">
        <v>2108</v>
      </c>
      <c r="B63" s="1372" t="s">
        <v>2108</v>
      </c>
      <c r="C63" s="1356" t="s">
        <v>2027</v>
      </c>
      <c r="D63" s="1356"/>
      <c r="E63" s="1357"/>
      <c r="F63" s="1357"/>
      <c r="G63" s="1355" t="s">
        <v>2081</v>
      </c>
      <c r="H63" s="1357" t="s">
        <v>764</v>
      </c>
      <c r="I63" s="1358" t="s">
        <v>1569</v>
      </c>
      <c r="J63" s="1355">
        <v>45</v>
      </c>
      <c r="K63" s="1356" t="s">
        <v>2027</v>
      </c>
      <c r="L63" s="1356" t="s">
        <v>2027</v>
      </c>
      <c r="M63" s="607">
        <v>7000000</v>
      </c>
      <c r="N63" s="608">
        <v>4500000</v>
      </c>
      <c r="O63" s="1360">
        <v>8000000</v>
      </c>
      <c r="P63" s="1360">
        <v>8000000</v>
      </c>
      <c r="Q63" s="1361">
        <v>10000000</v>
      </c>
      <c r="R63" s="1361">
        <v>10000000</v>
      </c>
    </row>
    <row r="64" spans="1:18" ht="11.25" hidden="1" customHeight="1" x14ac:dyDescent="0.25">
      <c r="A64" s="1364" t="s">
        <v>2109</v>
      </c>
      <c r="B64" s="1372" t="s">
        <v>2109</v>
      </c>
      <c r="C64" s="1356" t="s">
        <v>2027</v>
      </c>
      <c r="D64" s="1356"/>
      <c r="E64" s="1357"/>
      <c r="F64" s="1357"/>
      <c r="G64" s="1355" t="s">
        <v>2081</v>
      </c>
      <c r="H64" s="1357" t="s">
        <v>764</v>
      </c>
      <c r="I64" s="1358" t="s">
        <v>1569</v>
      </c>
      <c r="J64" s="1355" t="s">
        <v>2110</v>
      </c>
      <c r="K64" s="1356" t="s">
        <v>2027</v>
      </c>
      <c r="L64" s="1356" t="s">
        <v>2027</v>
      </c>
      <c r="M64" s="607">
        <v>1000000</v>
      </c>
      <c r="N64" s="608">
        <v>1800000</v>
      </c>
      <c r="O64" s="1360">
        <v>8000000</v>
      </c>
      <c r="P64" s="1360">
        <v>8000000</v>
      </c>
      <c r="Q64" s="1361">
        <v>10000000</v>
      </c>
      <c r="R64" s="1361">
        <v>10000000</v>
      </c>
    </row>
    <row r="65" spans="1:18" ht="11.25" hidden="1" customHeight="1" x14ac:dyDescent="0.25">
      <c r="A65" s="1364" t="s">
        <v>2111</v>
      </c>
      <c r="B65" s="1372" t="s">
        <v>2111</v>
      </c>
      <c r="C65" s="1356" t="s">
        <v>2027</v>
      </c>
      <c r="D65" s="1356"/>
      <c r="E65" s="1357"/>
      <c r="F65" s="1357"/>
      <c r="G65" s="1355" t="s">
        <v>2081</v>
      </c>
      <c r="H65" s="1357" t="s">
        <v>764</v>
      </c>
      <c r="I65" s="1358" t="s">
        <v>1569</v>
      </c>
      <c r="J65" s="1355">
        <v>1</v>
      </c>
      <c r="K65" s="1356" t="s">
        <v>2027</v>
      </c>
      <c r="L65" s="1356" t="s">
        <v>2027</v>
      </c>
      <c r="M65" s="607">
        <v>5000000</v>
      </c>
      <c r="N65" s="608">
        <v>1100000</v>
      </c>
      <c r="O65" s="1360">
        <v>10000000</v>
      </c>
      <c r="P65" s="1360">
        <v>10000000</v>
      </c>
      <c r="Q65" s="1361">
        <v>10000000</v>
      </c>
      <c r="R65" s="1361">
        <v>10000000</v>
      </c>
    </row>
    <row r="66" spans="1:18" ht="11.25" hidden="1" customHeight="1" x14ac:dyDescent="0.25">
      <c r="A66" s="1364" t="s">
        <v>2112</v>
      </c>
      <c r="B66" s="1372" t="s">
        <v>2112</v>
      </c>
      <c r="C66" s="1356" t="s">
        <v>2027</v>
      </c>
      <c r="D66" s="1356"/>
      <c r="E66" s="1357"/>
      <c r="F66" s="1357"/>
      <c r="G66" s="1355" t="s">
        <v>2081</v>
      </c>
      <c r="H66" s="1357" t="s">
        <v>764</v>
      </c>
      <c r="I66" s="1358" t="s">
        <v>1569</v>
      </c>
      <c r="J66" s="1355">
        <v>2</v>
      </c>
      <c r="K66" s="1356" t="s">
        <v>2027</v>
      </c>
      <c r="L66" s="1356" t="s">
        <v>2027</v>
      </c>
      <c r="M66" s="607">
        <v>10000000</v>
      </c>
      <c r="N66" s="608">
        <v>1000000</v>
      </c>
      <c r="O66" s="1360">
        <v>8000000</v>
      </c>
      <c r="P66" s="1360">
        <v>8000000</v>
      </c>
      <c r="Q66" s="1361">
        <v>8000000</v>
      </c>
      <c r="R66" s="1361">
        <v>8000000</v>
      </c>
    </row>
    <row r="67" spans="1:18" ht="11.25" hidden="1" customHeight="1" x14ac:dyDescent="0.25">
      <c r="A67" s="1364" t="s">
        <v>2113</v>
      </c>
      <c r="B67" s="1372" t="s">
        <v>2113</v>
      </c>
      <c r="C67" s="1356" t="s">
        <v>2027</v>
      </c>
      <c r="D67" s="1356"/>
      <c r="E67" s="1357"/>
      <c r="F67" s="1357"/>
      <c r="G67" s="1355" t="s">
        <v>2081</v>
      </c>
      <c r="H67" s="1357" t="s">
        <v>764</v>
      </c>
      <c r="I67" s="1358" t="s">
        <v>1569</v>
      </c>
      <c r="J67" s="1355">
        <v>3</v>
      </c>
      <c r="K67" s="1356" t="s">
        <v>2027</v>
      </c>
      <c r="L67" s="1356" t="s">
        <v>2027</v>
      </c>
      <c r="M67" s="607">
        <v>7000000</v>
      </c>
      <c r="N67" s="608">
        <v>7250000</v>
      </c>
      <c r="O67" s="1360">
        <v>10000000</v>
      </c>
      <c r="P67" s="1360">
        <v>10000000</v>
      </c>
      <c r="Q67" s="1361">
        <v>6000000</v>
      </c>
      <c r="R67" s="1361">
        <v>6000000</v>
      </c>
    </row>
    <row r="68" spans="1:18" ht="11.25" hidden="1" customHeight="1" x14ac:dyDescent="0.25">
      <c r="A68" s="1364" t="s">
        <v>2114</v>
      </c>
      <c r="B68" s="1372" t="s">
        <v>2114</v>
      </c>
      <c r="C68" s="1356" t="s">
        <v>2027</v>
      </c>
      <c r="D68" s="1356"/>
      <c r="E68" s="1357"/>
      <c r="F68" s="1357"/>
      <c r="G68" s="1355" t="s">
        <v>2081</v>
      </c>
      <c r="H68" s="1357" t="s">
        <v>764</v>
      </c>
      <c r="I68" s="1358" t="s">
        <v>1569</v>
      </c>
      <c r="J68" s="1355">
        <v>4</v>
      </c>
      <c r="K68" s="1356" t="s">
        <v>2027</v>
      </c>
      <c r="L68" s="1356" t="s">
        <v>2027</v>
      </c>
      <c r="M68" s="607">
        <v>3000000</v>
      </c>
      <c r="N68" s="608">
        <v>3000000</v>
      </c>
      <c r="O68" s="1360">
        <v>10000000</v>
      </c>
      <c r="P68" s="1360">
        <v>10000000</v>
      </c>
      <c r="Q68" s="1361">
        <v>9600000</v>
      </c>
      <c r="R68" s="1361">
        <v>9600000</v>
      </c>
    </row>
    <row r="69" spans="1:18" ht="11.25" hidden="1" customHeight="1" x14ac:dyDescent="0.25">
      <c r="A69" s="1364" t="s">
        <v>2115</v>
      </c>
      <c r="B69" s="1372" t="s">
        <v>2115</v>
      </c>
      <c r="C69" s="1356" t="s">
        <v>2027</v>
      </c>
      <c r="D69" s="1356"/>
      <c r="E69" s="1357"/>
      <c r="F69" s="1357"/>
      <c r="G69" s="1355" t="s">
        <v>2081</v>
      </c>
      <c r="H69" s="1357" t="s">
        <v>764</v>
      </c>
      <c r="I69" s="1358" t="s">
        <v>1569</v>
      </c>
      <c r="J69" s="1355">
        <v>6</v>
      </c>
      <c r="K69" s="1356" t="s">
        <v>2027</v>
      </c>
      <c r="L69" s="1356" t="s">
        <v>2027</v>
      </c>
      <c r="M69" s="607">
        <v>10000000</v>
      </c>
      <c r="N69" s="608">
        <v>3402532</v>
      </c>
      <c r="O69" s="1360">
        <v>15000000</v>
      </c>
      <c r="P69" s="1360">
        <v>15000000</v>
      </c>
      <c r="Q69" s="1361">
        <v>10000000</v>
      </c>
      <c r="R69" s="1361">
        <v>10000000</v>
      </c>
    </row>
    <row r="70" spans="1:18" ht="11.25" hidden="1" customHeight="1" x14ac:dyDescent="0.25">
      <c r="A70" s="1364" t="s">
        <v>2116</v>
      </c>
      <c r="B70" s="1372" t="s">
        <v>2116</v>
      </c>
      <c r="C70" s="1356" t="s">
        <v>2027</v>
      </c>
      <c r="D70" s="1356"/>
      <c r="E70" s="1357"/>
      <c r="F70" s="1357"/>
      <c r="G70" s="1355" t="s">
        <v>2081</v>
      </c>
      <c r="H70" s="1357" t="s">
        <v>764</v>
      </c>
      <c r="I70" s="1358" t="s">
        <v>1569</v>
      </c>
      <c r="J70" s="1355">
        <v>9</v>
      </c>
      <c r="K70" s="1356" t="s">
        <v>2027</v>
      </c>
      <c r="L70" s="1356" t="s">
        <v>2027</v>
      </c>
      <c r="M70" s="607">
        <v>1940000</v>
      </c>
      <c r="N70" s="608">
        <v>10283957</v>
      </c>
      <c r="O70" s="1360">
        <v>0</v>
      </c>
      <c r="P70" s="1360">
        <v>0</v>
      </c>
      <c r="Q70" s="1361">
        <v>0</v>
      </c>
      <c r="R70" s="1361">
        <v>0</v>
      </c>
    </row>
    <row r="71" spans="1:18" ht="11.25" hidden="1" customHeight="1" x14ac:dyDescent="0.25">
      <c r="A71" s="1364" t="s">
        <v>2117</v>
      </c>
      <c r="B71" s="1372" t="s">
        <v>2117</v>
      </c>
      <c r="C71" s="1356" t="s">
        <v>2027</v>
      </c>
      <c r="D71" s="1356"/>
      <c r="E71" s="1357"/>
      <c r="F71" s="1357"/>
      <c r="G71" s="1355" t="s">
        <v>2081</v>
      </c>
      <c r="H71" s="1357" t="s">
        <v>764</v>
      </c>
      <c r="I71" s="1358" t="s">
        <v>1569</v>
      </c>
      <c r="J71" s="1355">
        <v>10</v>
      </c>
      <c r="K71" s="1356" t="s">
        <v>2027</v>
      </c>
      <c r="L71" s="1356" t="s">
        <v>2027</v>
      </c>
      <c r="M71" s="607">
        <v>7000000</v>
      </c>
      <c r="N71" s="608">
        <v>4700000</v>
      </c>
      <c r="O71" s="1360">
        <v>0</v>
      </c>
      <c r="P71" s="1360">
        <v>0</v>
      </c>
      <c r="Q71" s="1361">
        <v>0</v>
      </c>
      <c r="R71" s="1361">
        <v>0</v>
      </c>
    </row>
    <row r="72" spans="1:18" ht="11.25" hidden="1" customHeight="1" x14ac:dyDescent="0.25">
      <c r="A72" s="1364" t="s">
        <v>2118</v>
      </c>
      <c r="B72" s="1372" t="s">
        <v>2118</v>
      </c>
      <c r="C72" s="1356" t="s">
        <v>2027</v>
      </c>
      <c r="D72" s="1356"/>
      <c r="E72" s="1357"/>
      <c r="F72" s="1357"/>
      <c r="G72" s="1355" t="s">
        <v>2081</v>
      </c>
      <c r="H72" s="1357" t="s">
        <v>764</v>
      </c>
      <c r="I72" s="1358" t="s">
        <v>1569</v>
      </c>
      <c r="J72" s="1355">
        <v>16</v>
      </c>
      <c r="K72" s="1356" t="s">
        <v>2027</v>
      </c>
      <c r="L72" s="1356" t="s">
        <v>2027</v>
      </c>
      <c r="M72" s="607">
        <v>11060000</v>
      </c>
      <c r="N72" s="608">
        <v>4800000</v>
      </c>
      <c r="O72" s="1360">
        <v>4000000</v>
      </c>
      <c r="P72" s="1360">
        <v>4000000</v>
      </c>
      <c r="Q72" s="1361">
        <v>0</v>
      </c>
      <c r="R72" s="1361">
        <v>0</v>
      </c>
    </row>
    <row r="73" spans="1:18" ht="11.25" hidden="1" customHeight="1" x14ac:dyDescent="0.25">
      <c r="A73" s="1364" t="s">
        <v>2119</v>
      </c>
      <c r="B73" s="1372" t="s">
        <v>2119</v>
      </c>
      <c r="C73" s="1356" t="s">
        <v>2027</v>
      </c>
      <c r="D73" s="1356"/>
      <c r="E73" s="1357"/>
      <c r="F73" s="1357"/>
      <c r="G73" s="1355" t="s">
        <v>2081</v>
      </c>
      <c r="H73" s="1357" t="s">
        <v>764</v>
      </c>
      <c r="I73" s="1358" t="s">
        <v>1569</v>
      </c>
      <c r="J73" s="1355">
        <v>18</v>
      </c>
      <c r="K73" s="1356" t="s">
        <v>2027</v>
      </c>
      <c r="L73" s="1356" t="s">
        <v>2027</v>
      </c>
      <c r="M73" s="607">
        <v>6056813</v>
      </c>
      <c r="N73" s="608">
        <v>1356813</v>
      </c>
      <c r="O73" s="1360">
        <v>10133187</v>
      </c>
      <c r="P73" s="1360">
        <v>10133187</v>
      </c>
      <c r="Q73" s="1361">
        <v>10000000</v>
      </c>
      <c r="R73" s="1361">
        <v>10000000</v>
      </c>
    </row>
    <row r="74" spans="1:18" ht="11.25" hidden="1" customHeight="1" x14ac:dyDescent="0.25">
      <c r="A74" s="1364" t="s">
        <v>2120</v>
      </c>
      <c r="B74" s="1372" t="s">
        <v>2120</v>
      </c>
      <c r="C74" s="1356" t="s">
        <v>2027</v>
      </c>
      <c r="D74" s="1356"/>
      <c r="E74" s="1357"/>
      <c r="F74" s="1357"/>
      <c r="G74" s="1355" t="s">
        <v>2081</v>
      </c>
      <c r="H74" s="1357" t="s">
        <v>764</v>
      </c>
      <c r="I74" s="1358" t="s">
        <v>1569</v>
      </c>
      <c r="J74" s="1355">
        <v>24</v>
      </c>
      <c r="K74" s="1356" t="s">
        <v>2027</v>
      </c>
      <c r="L74" s="1356" t="s">
        <v>2027</v>
      </c>
      <c r="M74" s="607">
        <v>4426336</v>
      </c>
      <c r="N74" s="608">
        <v>4342379</v>
      </c>
      <c r="O74" s="1360">
        <v>0</v>
      </c>
      <c r="P74" s="1360">
        <v>0</v>
      </c>
      <c r="Q74" s="1361">
        <v>0</v>
      </c>
      <c r="R74" s="1361">
        <v>0</v>
      </c>
    </row>
    <row r="75" spans="1:18" ht="11.25" hidden="1" customHeight="1" x14ac:dyDescent="0.25">
      <c r="A75" s="1364" t="s">
        <v>2121</v>
      </c>
      <c r="B75" s="1372" t="s">
        <v>2121</v>
      </c>
      <c r="C75" s="1356" t="s">
        <v>2027</v>
      </c>
      <c r="D75" s="1356"/>
      <c r="E75" s="1357"/>
      <c r="F75" s="1357"/>
      <c r="G75" s="1355" t="s">
        <v>2081</v>
      </c>
      <c r="H75" s="1357" t="s">
        <v>764</v>
      </c>
      <c r="I75" s="1358" t="s">
        <v>1569</v>
      </c>
      <c r="J75" s="1355">
        <v>25</v>
      </c>
      <c r="K75" s="1356" t="s">
        <v>2027</v>
      </c>
      <c r="L75" s="1356" t="s">
        <v>2027</v>
      </c>
      <c r="M75" s="607">
        <v>4516851</v>
      </c>
      <c r="N75" s="608">
        <v>3016851</v>
      </c>
      <c r="O75" s="1360">
        <v>0</v>
      </c>
      <c r="P75" s="1360">
        <v>0</v>
      </c>
      <c r="Q75" s="1361">
        <v>0</v>
      </c>
      <c r="R75" s="1361">
        <v>0</v>
      </c>
    </row>
    <row r="76" spans="1:18" ht="11.25" hidden="1" customHeight="1" x14ac:dyDescent="0.25">
      <c r="A76" s="1364" t="s">
        <v>2122</v>
      </c>
      <c r="B76" s="1372" t="s">
        <v>2122</v>
      </c>
      <c r="C76" s="1356" t="s">
        <v>2027</v>
      </c>
      <c r="D76" s="1356"/>
      <c r="E76" s="1357"/>
      <c r="F76" s="1357"/>
      <c r="G76" s="1355" t="s">
        <v>2081</v>
      </c>
      <c r="H76" s="1357" t="s">
        <v>764</v>
      </c>
      <c r="I76" s="1358" t="s">
        <v>1569</v>
      </c>
      <c r="J76" s="1355">
        <v>26</v>
      </c>
      <c r="K76" s="1356" t="s">
        <v>2027</v>
      </c>
      <c r="L76" s="1356" t="s">
        <v>2027</v>
      </c>
      <c r="M76" s="607">
        <v>0</v>
      </c>
      <c r="N76" s="608">
        <v>0</v>
      </c>
      <c r="O76" s="1360">
        <v>5800000</v>
      </c>
      <c r="P76" s="1360">
        <v>5800000</v>
      </c>
      <c r="Q76" s="1361">
        <v>10000000</v>
      </c>
      <c r="R76" s="1361">
        <v>10000000</v>
      </c>
    </row>
    <row r="77" spans="1:18" ht="11.25" hidden="1" customHeight="1" x14ac:dyDescent="0.25">
      <c r="A77" s="1364" t="s">
        <v>2123</v>
      </c>
      <c r="B77" s="1372" t="s">
        <v>2123</v>
      </c>
      <c r="C77" s="1356" t="s">
        <v>2027</v>
      </c>
      <c r="D77" s="1356"/>
      <c r="E77" s="1357"/>
      <c r="F77" s="1357"/>
      <c r="G77" s="1355" t="s">
        <v>2081</v>
      </c>
      <c r="H77" s="1357" t="s">
        <v>764</v>
      </c>
      <c r="I77" s="1358" t="s">
        <v>1569</v>
      </c>
      <c r="J77" s="1355">
        <v>27</v>
      </c>
      <c r="K77" s="1356" t="s">
        <v>2027</v>
      </c>
      <c r="L77" s="1356" t="s">
        <v>2027</v>
      </c>
      <c r="M77" s="607">
        <v>0</v>
      </c>
      <c r="N77" s="608">
        <v>0</v>
      </c>
      <c r="O77" s="1360">
        <v>4318003</v>
      </c>
      <c r="P77" s="1360">
        <v>4318003</v>
      </c>
      <c r="Q77" s="1361">
        <v>10000000</v>
      </c>
      <c r="R77" s="1361">
        <v>10000000</v>
      </c>
    </row>
    <row r="78" spans="1:18" ht="11.25" hidden="1" customHeight="1" x14ac:dyDescent="0.25">
      <c r="A78" s="1364" t="s">
        <v>2124</v>
      </c>
      <c r="B78" s="1372" t="s">
        <v>2124</v>
      </c>
      <c r="C78" s="1356" t="s">
        <v>2027</v>
      </c>
      <c r="D78" s="1356"/>
      <c r="E78" s="1357"/>
      <c r="F78" s="1357"/>
      <c r="G78" s="1355" t="s">
        <v>2081</v>
      </c>
      <c r="H78" s="1357" t="s">
        <v>764</v>
      </c>
      <c r="I78" s="1358" t="s">
        <v>1569</v>
      </c>
      <c r="J78" s="1355">
        <v>28</v>
      </c>
      <c r="K78" s="1356" t="s">
        <v>2027</v>
      </c>
      <c r="L78" s="1356" t="s">
        <v>2027</v>
      </c>
      <c r="M78" s="607">
        <v>0</v>
      </c>
      <c r="N78" s="608">
        <v>0</v>
      </c>
      <c r="O78" s="1360">
        <v>5491810</v>
      </c>
      <c r="P78" s="1360">
        <v>5491810</v>
      </c>
      <c r="Q78" s="1361">
        <v>0</v>
      </c>
      <c r="R78" s="1361">
        <v>0</v>
      </c>
    </row>
    <row r="79" spans="1:18" ht="11.25" hidden="1" customHeight="1" x14ac:dyDescent="0.25">
      <c r="A79" s="1364" t="s">
        <v>2125</v>
      </c>
      <c r="B79" s="1372" t="s">
        <v>2125</v>
      </c>
      <c r="C79" s="1356" t="s">
        <v>2027</v>
      </c>
      <c r="D79" s="1356"/>
      <c r="E79" s="1357"/>
      <c r="F79" s="1357"/>
      <c r="G79" s="1355" t="s">
        <v>2081</v>
      </c>
      <c r="H79" s="1357" t="s">
        <v>764</v>
      </c>
      <c r="I79" s="1358" t="s">
        <v>1569</v>
      </c>
      <c r="J79" s="1355">
        <v>30</v>
      </c>
      <c r="K79" s="1356" t="s">
        <v>2027</v>
      </c>
      <c r="L79" s="1356" t="s">
        <v>2027</v>
      </c>
      <c r="M79" s="607">
        <v>0</v>
      </c>
      <c r="N79" s="608">
        <v>0</v>
      </c>
      <c r="O79" s="1360">
        <v>0</v>
      </c>
      <c r="P79" s="1360">
        <v>0</v>
      </c>
      <c r="Q79" s="1361">
        <v>5000000</v>
      </c>
      <c r="R79" s="1361">
        <v>5000000</v>
      </c>
    </row>
    <row r="80" spans="1:18" ht="11.25" hidden="1" customHeight="1" x14ac:dyDescent="0.25">
      <c r="A80" s="1364" t="s">
        <v>2126</v>
      </c>
      <c r="B80" s="1372" t="s">
        <v>2126</v>
      </c>
      <c r="C80" s="1356" t="s">
        <v>2027</v>
      </c>
      <c r="D80" s="1356"/>
      <c r="E80" s="1357"/>
      <c r="F80" s="1357"/>
      <c r="G80" s="1355" t="s">
        <v>2081</v>
      </c>
      <c r="H80" s="1357" t="s">
        <v>764</v>
      </c>
      <c r="I80" s="1358" t="s">
        <v>1569</v>
      </c>
      <c r="J80" s="1355">
        <v>31</v>
      </c>
      <c r="K80" s="1356" t="s">
        <v>2027</v>
      </c>
      <c r="L80" s="1356" t="s">
        <v>2027</v>
      </c>
      <c r="M80" s="607">
        <v>0</v>
      </c>
      <c r="N80" s="608">
        <v>0</v>
      </c>
      <c r="O80" s="1360">
        <v>5257000</v>
      </c>
      <c r="P80" s="1360">
        <v>5257000</v>
      </c>
      <c r="Q80" s="1361">
        <v>0</v>
      </c>
      <c r="R80" s="1361">
        <v>0</v>
      </c>
    </row>
    <row r="81" spans="1:18" ht="11.25" hidden="1" customHeight="1" x14ac:dyDescent="0.25">
      <c r="A81" s="1364" t="s">
        <v>2127</v>
      </c>
      <c r="B81" s="1372" t="s">
        <v>2127</v>
      </c>
      <c r="C81" s="1356" t="s">
        <v>2027</v>
      </c>
      <c r="D81" s="1356"/>
      <c r="E81" s="1357"/>
      <c r="F81" s="1357"/>
      <c r="G81" s="1355" t="s">
        <v>2081</v>
      </c>
      <c r="H81" s="1357" t="s">
        <v>764</v>
      </c>
      <c r="I81" s="1358" t="s">
        <v>1569</v>
      </c>
      <c r="J81" s="1355">
        <v>32</v>
      </c>
      <c r="K81" s="1356" t="s">
        <v>2027</v>
      </c>
      <c r="L81" s="1356" t="s">
        <v>2027</v>
      </c>
      <c r="M81" s="607">
        <v>8633802.5762499981</v>
      </c>
      <c r="N81" s="608">
        <v>2000000</v>
      </c>
      <c r="O81" s="1360">
        <v>0</v>
      </c>
      <c r="P81" s="1360">
        <v>0</v>
      </c>
      <c r="Q81" s="1361">
        <v>0</v>
      </c>
      <c r="R81" s="1361">
        <v>0</v>
      </c>
    </row>
    <row r="82" spans="1:18" ht="11.25" hidden="1" customHeight="1" x14ac:dyDescent="0.25">
      <c r="A82" s="1364" t="s">
        <v>2128</v>
      </c>
      <c r="B82" s="1372" t="s">
        <v>2128</v>
      </c>
      <c r="C82" s="1356" t="s">
        <v>2027</v>
      </c>
      <c r="D82" s="1356"/>
      <c r="E82" s="1357"/>
      <c r="F82" s="1357"/>
      <c r="G82" s="1355" t="s">
        <v>2081</v>
      </c>
      <c r="H82" s="1357" t="s">
        <v>764</v>
      </c>
      <c r="I82" s="1358" t="s">
        <v>1569</v>
      </c>
      <c r="J82" s="1355">
        <v>36</v>
      </c>
      <c r="K82" s="1356" t="s">
        <v>2027</v>
      </c>
      <c r="L82" s="1356" t="s">
        <v>2027</v>
      </c>
      <c r="M82" s="607">
        <v>8634383.5062499978</v>
      </c>
      <c r="N82" s="608">
        <v>2000000</v>
      </c>
      <c r="O82" s="1360"/>
      <c r="P82" s="1360"/>
      <c r="Q82" s="1361"/>
      <c r="R82" s="1361"/>
    </row>
    <row r="83" spans="1:18" ht="11.25" hidden="1" customHeight="1" x14ac:dyDescent="0.25">
      <c r="A83" s="1364" t="s">
        <v>2129</v>
      </c>
      <c r="B83" s="1372" t="s">
        <v>2129</v>
      </c>
      <c r="C83" s="1356" t="s">
        <v>2027</v>
      </c>
      <c r="D83" s="1356"/>
      <c r="E83" s="1357"/>
      <c r="F83" s="1357"/>
      <c r="G83" s="1355" t="s">
        <v>2081</v>
      </c>
      <c r="H83" s="1357" t="s">
        <v>764</v>
      </c>
      <c r="I83" s="1358" t="s">
        <v>1569</v>
      </c>
      <c r="J83" s="1355">
        <v>38</v>
      </c>
      <c r="K83" s="1356" t="s">
        <v>2027</v>
      </c>
      <c r="L83" s="1356" t="s">
        <v>2027</v>
      </c>
      <c r="M83" s="607">
        <v>8633395.6962499991</v>
      </c>
      <c r="N83" s="608">
        <v>2000000</v>
      </c>
      <c r="O83" s="1360"/>
      <c r="P83" s="1360"/>
      <c r="Q83" s="1361"/>
      <c r="R83" s="1361"/>
    </row>
    <row r="84" spans="1:18" ht="11.25" hidden="1" customHeight="1" x14ac:dyDescent="0.25">
      <c r="A84" s="1364" t="s">
        <v>2130</v>
      </c>
      <c r="B84" s="1372" t="s">
        <v>2130</v>
      </c>
      <c r="C84" s="1356" t="s">
        <v>2027</v>
      </c>
      <c r="D84" s="1356"/>
      <c r="E84" s="1357"/>
      <c r="F84" s="1357"/>
      <c r="G84" s="1355" t="s">
        <v>2081</v>
      </c>
      <c r="H84" s="1357" t="s">
        <v>764</v>
      </c>
      <c r="I84" s="1358" t="s">
        <v>1569</v>
      </c>
      <c r="J84" s="1355">
        <v>40</v>
      </c>
      <c r="K84" s="1356" t="s">
        <v>2027</v>
      </c>
      <c r="L84" s="1356" t="s">
        <v>2027</v>
      </c>
      <c r="M84" s="607">
        <v>8633013.4362499993</v>
      </c>
      <c r="N84" s="608">
        <v>2000000</v>
      </c>
      <c r="O84" s="1360"/>
      <c r="P84" s="1360"/>
      <c r="Q84" s="1361"/>
      <c r="R84" s="1361"/>
    </row>
    <row r="85" spans="1:18" ht="11.25" hidden="1" customHeight="1" x14ac:dyDescent="0.25">
      <c r="A85" s="1364" t="s">
        <v>2131</v>
      </c>
      <c r="B85" s="1372" t="s">
        <v>2131</v>
      </c>
      <c r="C85" s="1356" t="s">
        <v>2027</v>
      </c>
      <c r="D85" s="1356"/>
      <c r="E85" s="1357"/>
      <c r="F85" s="1357"/>
      <c r="G85" s="1355" t="s">
        <v>2081</v>
      </c>
      <c r="H85" s="1357" t="s">
        <v>764</v>
      </c>
      <c r="I85" s="1358" t="s">
        <v>1569</v>
      </c>
      <c r="J85" s="1355">
        <v>41</v>
      </c>
      <c r="K85" s="1356" t="s">
        <v>2027</v>
      </c>
      <c r="L85" s="1356" t="s">
        <v>2027</v>
      </c>
      <c r="M85" s="607">
        <v>8632944.036249999</v>
      </c>
      <c r="N85" s="608">
        <v>2000000</v>
      </c>
      <c r="O85" s="1360"/>
      <c r="P85" s="1360"/>
      <c r="Q85" s="1361"/>
      <c r="R85" s="1361"/>
    </row>
    <row r="86" spans="1:18" ht="11.25" hidden="1" customHeight="1" x14ac:dyDescent="0.25">
      <c r="A86" s="1364" t="s">
        <v>2132</v>
      </c>
      <c r="B86" s="1372" t="s">
        <v>2132</v>
      </c>
      <c r="C86" s="1356" t="s">
        <v>2027</v>
      </c>
      <c r="D86" s="1356"/>
      <c r="E86" s="1357"/>
      <c r="F86" s="1357"/>
      <c r="G86" s="1355" t="s">
        <v>2081</v>
      </c>
      <c r="H86" s="1357" t="s">
        <v>764</v>
      </c>
      <c r="I86" s="1358" t="s">
        <v>1569</v>
      </c>
      <c r="J86" s="1355">
        <v>43</v>
      </c>
      <c r="K86" s="1356" t="s">
        <v>2027</v>
      </c>
      <c r="L86" s="1356" t="s">
        <v>2027</v>
      </c>
      <c r="M86" s="607">
        <v>8633409.0762499981</v>
      </c>
      <c r="N86" s="608">
        <v>2000000</v>
      </c>
      <c r="O86" s="1360"/>
      <c r="P86" s="1360"/>
      <c r="Q86" s="1361"/>
      <c r="R86" s="1361"/>
    </row>
    <row r="87" spans="1:18" ht="11.25" hidden="1" customHeight="1" x14ac:dyDescent="0.25">
      <c r="A87" s="1364" t="s">
        <v>2133</v>
      </c>
      <c r="B87" s="1372" t="s">
        <v>2133</v>
      </c>
      <c r="C87" s="1356" t="s">
        <v>2027</v>
      </c>
      <c r="D87" s="1356"/>
      <c r="E87" s="1357"/>
      <c r="F87" s="1357"/>
      <c r="G87" s="1355" t="s">
        <v>2081</v>
      </c>
      <c r="H87" s="1357" t="s">
        <v>764</v>
      </c>
      <c r="I87" s="1358" t="s">
        <v>1569</v>
      </c>
      <c r="J87" s="1355">
        <v>44</v>
      </c>
      <c r="K87" s="1356" t="s">
        <v>2027</v>
      </c>
      <c r="L87" s="1356" t="s">
        <v>2027</v>
      </c>
      <c r="M87" s="607">
        <v>8631845.4962499999</v>
      </c>
      <c r="N87" s="608">
        <v>2000000</v>
      </c>
      <c r="O87" s="1360"/>
      <c r="P87" s="1360"/>
      <c r="Q87" s="1361"/>
      <c r="R87" s="1361"/>
    </row>
    <row r="88" spans="1:18" ht="11.25" hidden="1" customHeight="1" x14ac:dyDescent="0.25">
      <c r="A88" s="1364" t="s">
        <v>2134</v>
      </c>
      <c r="B88" s="1372" t="s">
        <v>2134</v>
      </c>
      <c r="C88" s="1356" t="s">
        <v>2027</v>
      </c>
      <c r="D88" s="1356"/>
      <c r="E88" s="1357"/>
      <c r="F88" s="1357"/>
      <c r="G88" s="1355" t="s">
        <v>2081</v>
      </c>
      <c r="H88" s="1357" t="s">
        <v>764</v>
      </c>
      <c r="I88" s="1358" t="s">
        <v>1569</v>
      </c>
      <c r="J88" s="1355">
        <v>45</v>
      </c>
      <c r="K88" s="1356" t="s">
        <v>2027</v>
      </c>
      <c r="L88" s="1356" t="s">
        <v>2027</v>
      </c>
      <c r="M88" s="607">
        <v>8633510.9062499981</v>
      </c>
      <c r="N88" s="608">
        <v>2000000</v>
      </c>
      <c r="O88" s="1360"/>
      <c r="P88" s="1360"/>
      <c r="Q88" s="1361"/>
      <c r="R88" s="1361"/>
    </row>
    <row r="89" spans="1:18" ht="11.25" hidden="1" customHeight="1" x14ac:dyDescent="0.25">
      <c r="A89" s="1364" t="s">
        <v>2135</v>
      </c>
      <c r="B89" s="1372" t="s">
        <v>2135</v>
      </c>
      <c r="C89" s="1356" t="s">
        <v>2027</v>
      </c>
      <c r="D89" s="1356"/>
      <c r="E89" s="1357"/>
      <c r="F89" s="1357"/>
      <c r="G89" s="1355" t="s">
        <v>2081</v>
      </c>
      <c r="H89" s="1357" t="s">
        <v>764</v>
      </c>
      <c r="I89" s="1358" t="s">
        <v>1569</v>
      </c>
      <c r="J89" s="1355">
        <v>5</v>
      </c>
      <c r="K89" s="1356" t="s">
        <v>2027</v>
      </c>
      <c r="L89" s="1356" t="s">
        <v>2027</v>
      </c>
      <c r="M89" s="607">
        <v>8633394.8162499983</v>
      </c>
      <c r="N89" s="608">
        <v>2000000</v>
      </c>
      <c r="O89" s="1360"/>
      <c r="P89" s="1360"/>
      <c r="Q89" s="1361"/>
      <c r="R89" s="1361"/>
    </row>
    <row r="90" spans="1:18" ht="11.25" hidden="1" customHeight="1" x14ac:dyDescent="0.25">
      <c r="A90" s="1364" t="s">
        <v>2136</v>
      </c>
      <c r="B90" s="1372" t="s">
        <v>2136</v>
      </c>
      <c r="C90" s="1356" t="s">
        <v>2027</v>
      </c>
      <c r="D90" s="1356"/>
      <c r="E90" s="1357"/>
      <c r="F90" s="1357"/>
      <c r="G90" s="1355" t="s">
        <v>2081</v>
      </c>
      <c r="H90" s="1357" t="s">
        <v>764</v>
      </c>
      <c r="I90" s="1358" t="s">
        <v>1569</v>
      </c>
      <c r="J90" s="1355">
        <v>7</v>
      </c>
      <c r="K90" s="1356" t="s">
        <v>2027</v>
      </c>
      <c r="L90" s="1356" t="s">
        <v>2027</v>
      </c>
      <c r="M90" s="607">
        <v>8632718.3062499985</v>
      </c>
      <c r="N90" s="608">
        <v>2000000</v>
      </c>
      <c r="O90" s="1360"/>
      <c r="P90" s="1360"/>
      <c r="Q90" s="1361"/>
      <c r="R90" s="1361"/>
    </row>
    <row r="91" spans="1:18" ht="11.25" hidden="1" customHeight="1" x14ac:dyDescent="0.25">
      <c r="A91" s="1364" t="s">
        <v>2137</v>
      </c>
      <c r="B91" s="1372" t="s">
        <v>2137</v>
      </c>
      <c r="C91" s="1356" t="s">
        <v>2027</v>
      </c>
      <c r="D91" s="1356"/>
      <c r="E91" s="1357"/>
      <c r="F91" s="1357"/>
      <c r="G91" s="1355" t="s">
        <v>2081</v>
      </c>
      <c r="H91" s="1357" t="s">
        <v>764</v>
      </c>
      <c r="I91" s="1358" t="s">
        <v>1569</v>
      </c>
      <c r="J91" s="1355">
        <v>8</v>
      </c>
      <c r="K91" s="1356" t="s">
        <v>2027</v>
      </c>
      <c r="L91" s="1356" t="s">
        <v>2027</v>
      </c>
      <c r="M91" s="607">
        <v>8633506.9462499991</v>
      </c>
      <c r="N91" s="608">
        <v>2000000</v>
      </c>
      <c r="O91" s="1360"/>
      <c r="P91" s="1360"/>
      <c r="Q91" s="1361"/>
      <c r="R91" s="1361"/>
    </row>
    <row r="92" spans="1:18" ht="11.25" hidden="1" customHeight="1" x14ac:dyDescent="0.25">
      <c r="A92" s="1364" t="s">
        <v>2138</v>
      </c>
      <c r="B92" s="1372" t="s">
        <v>2138</v>
      </c>
      <c r="C92" s="1356" t="s">
        <v>2027</v>
      </c>
      <c r="D92" s="1356"/>
      <c r="E92" s="1357"/>
      <c r="F92" s="1357"/>
      <c r="G92" s="1355" t="s">
        <v>2081</v>
      </c>
      <c r="H92" s="1357" t="s">
        <v>764</v>
      </c>
      <c r="I92" s="1358" t="s">
        <v>1569</v>
      </c>
      <c r="J92" s="1355">
        <v>15</v>
      </c>
      <c r="K92" s="1356" t="s">
        <v>2027</v>
      </c>
      <c r="L92" s="1356" t="s">
        <v>2027</v>
      </c>
      <c r="M92" s="607">
        <v>8633501.1962499991</v>
      </c>
      <c r="N92" s="608">
        <v>2000000</v>
      </c>
      <c r="O92" s="1360"/>
      <c r="P92" s="1360"/>
      <c r="Q92" s="1361"/>
      <c r="R92" s="1361"/>
    </row>
    <row r="93" spans="1:18" ht="11.25" hidden="1" customHeight="1" x14ac:dyDescent="0.25">
      <c r="A93" s="1364" t="s">
        <v>2139</v>
      </c>
      <c r="B93" s="1372" t="s">
        <v>2139</v>
      </c>
      <c r="C93" s="1356" t="s">
        <v>2027</v>
      </c>
      <c r="D93" s="1356"/>
      <c r="E93" s="1357"/>
      <c r="F93" s="1357"/>
      <c r="G93" s="1355" t="s">
        <v>2081</v>
      </c>
      <c r="H93" s="1357" t="s">
        <v>764</v>
      </c>
      <c r="I93" s="1358" t="s">
        <v>1569</v>
      </c>
      <c r="J93" s="1355">
        <v>19</v>
      </c>
      <c r="K93" s="1356" t="s">
        <v>2027</v>
      </c>
      <c r="L93" s="1356" t="s">
        <v>2027</v>
      </c>
      <c r="M93" s="607">
        <v>8632014.1762499996</v>
      </c>
      <c r="N93" s="608">
        <v>2000000</v>
      </c>
      <c r="O93" s="1360"/>
      <c r="P93" s="1360"/>
      <c r="Q93" s="1361"/>
      <c r="R93" s="1361"/>
    </row>
    <row r="94" spans="1:18" ht="11.25" hidden="1" customHeight="1" x14ac:dyDescent="0.25">
      <c r="A94" s="1364" t="s">
        <v>2140</v>
      </c>
      <c r="B94" s="1372" t="s">
        <v>2140</v>
      </c>
      <c r="C94" s="1356" t="s">
        <v>2027</v>
      </c>
      <c r="D94" s="1356"/>
      <c r="E94" s="1357"/>
      <c r="F94" s="1357"/>
      <c r="G94" s="1355" t="s">
        <v>2081</v>
      </c>
      <c r="H94" s="1357" t="s">
        <v>764</v>
      </c>
      <c r="I94" s="1358" t="s">
        <v>1569</v>
      </c>
      <c r="J94" s="1355">
        <v>29</v>
      </c>
      <c r="K94" s="1356" t="s">
        <v>2027</v>
      </c>
      <c r="L94" s="1356" t="s">
        <v>2027</v>
      </c>
      <c r="M94" s="607">
        <v>8633505.3462499995</v>
      </c>
      <c r="N94" s="608">
        <v>2000000</v>
      </c>
      <c r="O94" s="1360"/>
      <c r="P94" s="1360"/>
      <c r="Q94" s="1361"/>
      <c r="R94" s="1361"/>
    </row>
    <row r="95" spans="1:18" ht="11.25" hidden="1" customHeight="1" x14ac:dyDescent="0.25">
      <c r="A95" s="1364" t="s">
        <v>2141</v>
      </c>
      <c r="B95" s="1372" t="s">
        <v>2141</v>
      </c>
      <c r="C95" s="1356" t="s">
        <v>2027</v>
      </c>
      <c r="D95" s="1356"/>
      <c r="E95" s="1357"/>
      <c r="F95" s="1357"/>
      <c r="G95" s="1355" t="s">
        <v>2081</v>
      </c>
      <c r="H95" s="1357" t="s">
        <v>764</v>
      </c>
      <c r="I95" s="1358" t="s">
        <v>1569</v>
      </c>
      <c r="J95" s="1355">
        <v>33</v>
      </c>
      <c r="K95" s="1356" t="s">
        <v>2027</v>
      </c>
      <c r="L95" s="1356" t="s">
        <v>2027</v>
      </c>
      <c r="M95" s="607">
        <v>8633395.0462499987</v>
      </c>
      <c r="N95" s="608">
        <v>2000000</v>
      </c>
      <c r="O95" s="1360"/>
      <c r="P95" s="1360"/>
      <c r="Q95" s="1361"/>
      <c r="R95" s="1361"/>
    </row>
    <row r="96" spans="1:18" ht="11.25" hidden="1" customHeight="1" x14ac:dyDescent="0.25">
      <c r="A96" s="1364" t="s">
        <v>2142</v>
      </c>
      <c r="B96" s="1372" t="s">
        <v>2142</v>
      </c>
      <c r="C96" s="1356" t="s">
        <v>2027</v>
      </c>
      <c r="D96" s="1356"/>
      <c r="E96" s="1357"/>
      <c r="F96" s="1357"/>
      <c r="G96" s="1355" t="s">
        <v>2081</v>
      </c>
      <c r="H96" s="1357" t="s">
        <v>764</v>
      </c>
      <c r="I96" s="1358" t="s">
        <v>1569</v>
      </c>
      <c r="J96" s="1355">
        <v>34</v>
      </c>
      <c r="K96" s="1356" t="s">
        <v>2027</v>
      </c>
      <c r="L96" s="1356" t="s">
        <v>2027</v>
      </c>
      <c r="M96" s="607">
        <v>8632651.3062499985</v>
      </c>
      <c r="N96" s="608">
        <v>2000000</v>
      </c>
      <c r="O96" s="1360"/>
      <c r="P96" s="1360"/>
      <c r="Q96" s="1361"/>
      <c r="R96" s="1361"/>
    </row>
    <row r="97" spans="1:18" ht="11.25" hidden="1" customHeight="1" x14ac:dyDescent="0.25">
      <c r="A97" s="1364" t="s">
        <v>2143</v>
      </c>
      <c r="B97" s="1372" t="s">
        <v>2143</v>
      </c>
      <c r="C97" s="1356" t="s">
        <v>2027</v>
      </c>
      <c r="D97" s="1356"/>
      <c r="E97" s="1357"/>
      <c r="F97" s="1357"/>
      <c r="G97" s="1355" t="s">
        <v>2081</v>
      </c>
      <c r="H97" s="1357" t="s">
        <v>764</v>
      </c>
      <c r="I97" s="1358" t="s">
        <v>1569</v>
      </c>
      <c r="J97" s="1355">
        <v>35</v>
      </c>
      <c r="K97" s="1356" t="s">
        <v>2027</v>
      </c>
      <c r="L97" s="1356" t="s">
        <v>2027</v>
      </c>
      <c r="M97" s="607">
        <v>8633531.3962499984</v>
      </c>
      <c r="N97" s="608">
        <v>2000000</v>
      </c>
      <c r="O97" s="1360"/>
      <c r="P97" s="1360"/>
      <c r="Q97" s="1361"/>
      <c r="R97" s="1361"/>
    </row>
    <row r="98" spans="1:18" ht="11.25" hidden="1" customHeight="1" x14ac:dyDescent="0.25">
      <c r="A98" s="1364" t="s">
        <v>2144</v>
      </c>
      <c r="B98" s="1372" t="s">
        <v>2144</v>
      </c>
      <c r="C98" s="1356" t="s">
        <v>2027</v>
      </c>
      <c r="D98" s="1356"/>
      <c r="E98" s="1357"/>
      <c r="F98" s="1357"/>
      <c r="G98" s="1355" t="s">
        <v>2081</v>
      </c>
      <c r="H98" s="1357" t="s">
        <v>764</v>
      </c>
      <c r="I98" s="1358" t="s">
        <v>1569</v>
      </c>
      <c r="J98" s="1355">
        <v>42</v>
      </c>
      <c r="K98" s="1356" t="s">
        <v>2027</v>
      </c>
      <c r="L98" s="1356" t="s">
        <v>2027</v>
      </c>
      <c r="M98" s="607">
        <v>8633395.0062499978</v>
      </c>
      <c r="N98" s="608">
        <v>2000000</v>
      </c>
      <c r="O98" s="1360"/>
      <c r="P98" s="1360"/>
      <c r="Q98" s="1361"/>
      <c r="R98" s="1361"/>
    </row>
    <row r="99" spans="1:18" ht="11.25" hidden="1" customHeight="1" x14ac:dyDescent="0.25">
      <c r="A99" s="1364" t="s">
        <v>2145</v>
      </c>
      <c r="B99" s="1372" t="s">
        <v>2145</v>
      </c>
      <c r="C99" s="1356" t="s">
        <v>2027</v>
      </c>
      <c r="D99" s="1356"/>
      <c r="E99" s="1357"/>
      <c r="F99" s="1357"/>
      <c r="G99" s="1355" t="s">
        <v>2081</v>
      </c>
      <c r="H99" s="1357" t="s">
        <v>764</v>
      </c>
      <c r="I99" s="1358" t="s">
        <v>1569</v>
      </c>
      <c r="J99" s="1355" t="s">
        <v>2146</v>
      </c>
      <c r="K99" s="1356" t="s">
        <v>2027</v>
      </c>
      <c r="L99" s="1356" t="s">
        <v>2027</v>
      </c>
      <c r="M99" s="607">
        <v>8633436.4862499982</v>
      </c>
      <c r="N99" s="608">
        <v>2000000</v>
      </c>
      <c r="O99" s="1360"/>
      <c r="P99" s="1360"/>
      <c r="Q99" s="1361"/>
      <c r="R99" s="1361"/>
    </row>
    <row r="100" spans="1:18" ht="11.25" hidden="1" customHeight="1" x14ac:dyDescent="0.25">
      <c r="A100" s="1364" t="s">
        <v>2147</v>
      </c>
      <c r="B100" s="1372" t="s">
        <v>2147</v>
      </c>
      <c r="C100" s="1356" t="s">
        <v>2027</v>
      </c>
      <c r="D100" s="1356"/>
      <c r="E100" s="1357"/>
      <c r="F100" s="1357"/>
      <c r="G100" s="1355" t="s">
        <v>2081</v>
      </c>
      <c r="H100" s="1357" t="s">
        <v>764</v>
      </c>
      <c r="I100" s="1358" t="s">
        <v>1569</v>
      </c>
      <c r="J100" s="1355">
        <v>17</v>
      </c>
      <c r="K100" s="1356" t="s">
        <v>2027</v>
      </c>
      <c r="L100" s="1356" t="s">
        <v>2027</v>
      </c>
      <c r="M100" s="607">
        <v>8594228.116249999</v>
      </c>
      <c r="N100" s="608">
        <v>2000000</v>
      </c>
      <c r="O100" s="1360"/>
      <c r="P100" s="1360"/>
      <c r="Q100" s="1361"/>
      <c r="R100" s="1361"/>
    </row>
    <row r="101" spans="1:18" ht="11.25" hidden="1" customHeight="1" x14ac:dyDescent="0.25">
      <c r="A101" s="1364" t="s">
        <v>2148</v>
      </c>
      <c r="B101" s="1372" t="s">
        <v>2148</v>
      </c>
      <c r="C101" s="1356" t="s">
        <v>2027</v>
      </c>
      <c r="D101" s="1356"/>
      <c r="E101" s="1357"/>
      <c r="F101" s="1357"/>
      <c r="G101" s="1355" t="s">
        <v>2081</v>
      </c>
      <c r="H101" s="1357" t="s">
        <v>764</v>
      </c>
      <c r="I101" s="1358" t="s">
        <v>1569</v>
      </c>
      <c r="J101" s="1355">
        <v>17</v>
      </c>
      <c r="K101" s="1356" t="s">
        <v>2027</v>
      </c>
      <c r="L101" s="1356" t="s">
        <v>2027</v>
      </c>
      <c r="M101" s="607">
        <v>8633435.1562499981</v>
      </c>
      <c r="N101" s="608">
        <v>2000000</v>
      </c>
      <c r="O101" s="1360"/>
      <c r="P101" s="1360"/>
      <c r="Q101" s="1361"/>
      <c r="R101" s="1361"/>
    </row>
    <row r="102" spans="1:18" ht="11.25" hidden="1" customHeight="1" x14ac:dyDescent="0.25">
      <c r="A102" s="1364" t="s">
        <v>2149</v>
      </c>
      <c r="B102" s="1372" t="s">
        <v>2149</v>
      </c>
      <c r="C102" s="1356" t="s">
        <v>2027</v>
      </c>
      <c r="D102" s="1356"/>
      <c r="E102" s="1357"/>
      <c r="F102" s="1357"/>
      <c r="G102" s="1355" t="s">
        <v>2081</v>
      </c>
      <c r="H102" s="1357" t="s">
        <v>764</v>
      </c>
      <c r="I102" s="1358" t="s">
        <v>1569</v>
      </c>
      <c r="J102" s="1355">
        <v>17</v>
      </c>
      <c r="K102" s="1356" t="s">
        <v>2027</v>
      </c>
      <c r="L102" s="1356" t="s">
        <v>2027</v>
      </c>
      <c r="M102" s="607">
        <v>8634234.3762499988</v>
      </c>
      <c r="N102" s="608">
        <v>2000000</v>
      </c>
      <c r="O102" s="1360"/>
      <c r="P102" s="1360"/>
      <c r="Q102" s="1361"/>
      <c r="R102" s="1361"/>
    </row>
    <row r="103" spans="1:18" ht="11.25" hidden="1" customHeight="1" x14ac:dyDescent="0.25">
      <c r="A103" s="1364" t="s">
        <v>2150</v>
      </c>
      <c r="B103" s="1372" t="s">
        <v>2150</v>
      </c>
      <c r="C103" s="1356" t="s">
        <v>2027</v>
      </c>
      <c r="D103" s="1356"/>
      <c r="E103" s="1357"/>
      <c r="F103" s="1357"/>
      <c r="G103" s="1355" t="s">
        <v>2081</v>
      </c>
      <c r="H103" s="1357" t="s">
        <v>764</v>
      </c>
      <c r="I103" s="1358" t="s">
        <v>1569</v>
      </c>
      <c r="J103" s="1355">
        <v>1</v>
      </c>
      <c r="K103" s="1356" t="s">
        <v>2027</v>
      </c>
      <c r="L103" s="1356" t="s">
        <v>2027</v>
      </c>
      <c r="M103" s="607">
        <v>8703777.0162499994</v>
      </c>
      <c r="N103" s="608">
        <v>2000000</v>
      </c>
      <c r="O103" s="1360"/>
      <c r="P103" s="1360"/>
      <c r="Q103" s="1361"/>
      <c r="R103" s="1361"/>
    </row>
    <row r="104" spans="1:18" ht="11.25" hidden="1" customHeight="1" x14ac:dyDescent="0.25">
      <c r="A104" s="1364" t="s">
        <v>2151</v>
      </c>
      <c r="B104" s="1372" t="s">
        <v>2151</v>
      </c>
      <c r="C104" s="1356" t="s">
        <v>2027</v>
      </c>
      <c r="D104" s="1356"/>
      <c r="E104" s="1357"/>
      <c r="F104" s="1357"/>
      <c r="G104" s="1355" t="s">
        <v>2081</v>
      </c>
      <c r="H104" s="1357" t="s">
        <v>764</v>
      </c>
      <c r="I104" s="1358" t="s">
        <v>1569</v>
      </c>
      <c r="J104" s="1355">
        <v>3</v>
      </c>
      <c r="K104" s="1356" t="s">
        <v>2027</v>
      </c>
      <c r="L104" s="1356" t="s">
        <v>2027</v>
      </c>
      <c r="M104" s="607">
        <v>8633497.2162499987</v>
      </c>
      <c r="N104" s="608">
        <v>2000000</v>
      </c>
      <c r="O104" s="1360"/>
      <c r="P104" s="1360"/>
      <c r="Q104" s="1361"/>
      <c r="R104" s="1361"/>
    </row>
    <row r="105" spans="1:18" ht="11.25" hidden="1" customHeight="1" x14ac:dyDescent="0.25">
      <c r="A105" s="1364" t="s">
        <v>2152</v>
      </c>
      <c r="B105" s="1372" t="s">
        <v>2152</v>
      </c>
      <c r="C105" s="1356" t="s">
        <v>2027</v>
      </c>
      <c r="D105" s="1356"/>
      <c r="E105" s="1357"/>
      <c r="F105" s="1357"/>
      <c r="G105" s="1355" t="s">
        <v>2081</v>
      </c>
      <c r="H105" s="1357" t="s">
        <v>764</v>
      </c>
      <c r="I105" s="1358" t="s">
        <v>1569</v>
      </c>
      <c r="J105" s="1355">
        <v>5</v>
      </c>
      <c r="K105" s="1356" t="s">
        <v>2027</v>
      </c>
      <c r="L105" s="1356" t="s">
        <v>2027</v>
      </c>
      <c r="M105" s="607">
        <v>4825037.3509999998</v>
      </c>
      <c r="N105" s="608">
        <v>2195136.3404999999</v>
      </c>
      <c r="O105" s="1360"/>
      <c r="P105" s="1360"/>
      <c r="Q105" s="1361"/>
      <c r="R105" s="1361"/>
    </row>
    <row r="106" spans="1:18" ht="11.25" hidden="1" customHeight="1" x14ac:dyDescent="0.25">
      <c r="A106" s="1364" t="s">
        <v>2153</v>
      </c>
      <c r="B106" s="1372" t="s">
        <v>2153</v>
      </c>
      <c r="C106" s="1356" t="s">
        <v>2027</v>
      </c>
      <c r="D106" s="1356"/>
      <c r="E106" s="1357"/>
      <c r="F106" s="1357"/>
      <c r="G106" s="1355" t="s">
        <v>2081</v>
      </c>
      <c r="H106" s="1357" t="s">
        <v>764</v>
      </c>
      <c r="I106" s="1358" t="s">
        <v>1569</v>
      </c>
      <c r="J106" s="1355">
        <v>6</v>
      </c>
      <c r="K106" s="1356" t="s">
        <v>2027</v>
      </c>
      <c r="L106" s="1356" t="s">
        <v>2027</v>
      </c>
      <c r="M106" s="607">
        <v>1861785.0010000002</v>
      </c>
      <c r="N106" s="608">
        <v>1659494.0545000001</v>
      </c>
      <c r="O106" s="1360"/>
      <c r="P106" s="1360"/>
      <c r="Q106" s="1361"/>
      <c r="R106" s="1361"/>
    </row>
    <row r="107" spans="1:18" ht="11.25" hidden="1" customHeight="1" x14ac:dyDescent="0.25">
      <c r="A107" s="1364" t="s">
        <v>2154</v>
      </c>
      <c r="B107" s="1372" t="s">
        <v>2154</v>
      </c>
      <c r="C107" s="1356" t="s">
        <v>2027</v>
      </c>
      <c r="D107" s="1356"/>
      <c r="E107" s="1357"/>
      <c r="F107" s="1357"/>
      <c r="G107" s="1355" t="s">
        <v>2081</v>
      </c>
      <c r="H107" s="1357" t="s">
        <v>764</v>
      </c>
      <c r="I107" s="1358" t="s">
        <v>1569</v>
      </c>
      <c r="J107" s="1355">
        <v>7</v>
      </c>
      <c r="K107" s="1356" t="s">
        <v>2027</v>
      </c>
      <c r="L107" s="1356" t="s">
        <v>2027</v>
      </c>
      <c r="M107" s="607">
        <v>3127655.6009999989</v>
      </c>
      <c r="N107" s="608">
        <v>2717184.2615</v>
      </c>
      <c r="O107" s="1360"/>
      <c r="P107" s="1360"/>
      <c r="Q107" s="1361"/>
      <c r="R107" s="1361"/>
    </row>
    <row r="108" spans="1:18" ht="11.25" hidden="1" customHeight="1" x14ac:dyDescent="0.25">
      <c r="A108" s="1364" t="s">
        <v>2155</v>
      </c>
      <c r="B108" s="1372" t="s">
        <v>2155</v>
      </c>
      <c r="C108" s="1356" t="s">
        <v>2027</v>
      </c>
      <c r="D108" s="1356"/>
      <c r="E108" s="1357"/>
      <c r="F108" s="1357"/>
      <c r="G108" s="1355" t="s">
        <v>2081</v>
      </c>
      <c r="H108" s="1357" t="s">
        <v>764</v>
      </c>
      <c r="I108" s="1358" t="s">
        <v>1569</v>
      </c>
      <c r="J108" s="1355">
        <v>8</v>
      </c>
      <c r="K108" s="1356" t="s">
        <v>2027</v>
      </c>
      <c r="L108" s="1356" t="s">
        <v>2027</v>
      </c>
      <c r="M108" s="607">
        <v>1549881.7809999995</v>
      </c>
      <c r="N108" s="608">
        <v>1294653.3740000001</v>
      </c>
      <c r="O108" s="1360"/>
      <c r="P108" s="1360"/>
      <c r="Q108" s="1361"/>
      <c r="R108" s="1361"/>
    </row>
    <row r="109" spans="1:18" ht="11.25" hidden="1" customHeight="1" x14ac:dyDescent="0.25">
      <c r="A109" s="1364" t="s">
        <v>2156</v>
      </c>
      <c r="B109" s="1372" t="s">
        <v>2156</v>
      </c>
      <c r="C109" s="1356" t="s">
        <v>2027</v>
      </c>
      <c r="D109" s="1356"/>
      <c r="E109" s="1357"/>
      <c r="F109" s="1357"/>
      <c r="G109" s="1355" t="s">
        <v>2081</v>
      </c>
      <c r="H109" s="1357" t="s">
        <v>764</v>
      </c>
      <c r="I109" s="1358" t="s">
        <v>1569</v>
      </c>
      <c r="J109" s="1355">
        <v>10</v>
      </c>
      <c r="K109" s="1356" t="s">
        <v>2027</v>
      </c>
      <c r="L109" s="1356" t="s">
        <v>2027</v>
      </c>
      <c r="M109" s="607">
        <v>1718186.7910000002</v>
      </c>
      <c r="N109" s="608">
        <v>659946.19999999995</v>
      </c>
      <c r="O109" s="1360"/>
      <c r="P109" s="1360"/>
      <c r="Q109" s="1361"/>
      <c r="R109" s="1361"/>
    </row>
    <row r="110" spans="1:18" ht="11.25" hidden="1" customHeight="1" x14ac:dyDescent="0.25">
      <c r="A110" s="1364" t="s">
        <v>2157</v>
      </c>
      <c r="B110" s="1372" t="s">
        <v>2157</v>
      </c>
      <c r="C110" s="1356" t="s">
        <v>2027</v>
      </c>
      <c r="D110" s="1356"/>
      <c r="E110" s="1357"/>
      <c r="F110" s="1357"/>
      <c r="G110" s="1355" t="s">
        <v>2081</v>
      </c>
      <c r="H110" s="1357" t="s">
        <v>764</v>
      </c>
      <c r="I110" s="1358" t="s">
        <v>1569</v>
      </c>
      <c r="J110" s="1355">
        <v>15</v>
      </c>
      <c r="K110" s="1356" t="s">
        <v>2027</v>
      </c>
      <c r="L110" s="1356" t="s">
        <v>2027</v>
      </c>
      <c r="M110" s="607">
        <v>2708612.4309999989</v>
      </c>
      <c r="N110" s="608">
        <v>716155.33200000017</v>
      </c>
      <c r="O110" s="1360"/>
      <c r="P110" s="1360"/>
      <c r="Q110" s="1361"/>
      <c r="R110" s="1361"/>
    </row>
    <row r="111" spans="1:18" ht="11.25" hidden="1" customHeight="1" x14ac:dyDescent="0.25">
      <c r="A111" s="1364" t="s">
        <v>2158</v>
      </c>
      <c r="B111" s="1372" t="s">
        <v>2158</v>
      </c>
      <c r="C111" s="1356" t="s">
        <v>2027</v>
      </c>
      <c r="D111" s="1356"/>
      <c r="E111" s="1357"/>
      <c r="F111" s="1357"/>
      <c r="G111" s="1355" t="s">
        <v>2081</v>
      </c>
      <c r="H111" s="1357" t="s">
        <v>764</v>
      </c>
      <c r="I111" s="1358" t="s">
        <v>1569</v>
      </c>
      <c r="J111" s="1355">
        <v>18</v>
      </c>
      <c r="K111" s="1356" t="s">
        <v>2027</v>
      </c>
      <c r="L111" s="1356" t="s">
        <v>2027</v>
      </c>
      <c r="M111" s="607">
        <v>808733.76099999994</v>
      </c>
      <c r="N111" s="608">
        <v>2382107.56</v>
      </c>
      <c r="O111" s="1360"/>
      <c r="P111" s="1360"/>
      <c r="Q111" s="1361"/>
      <c r="R111" s="1361"/>
    </row>
    <row r="112" spans="1:18" ht="11.25" hidden="1" customHeight="1" x14ac:dyDescent="0.25">
      <c r="A112" s="1364" t="s">
        <v>2159</v>
      </c>
      <c r="B112" s="1372" t="s">
        <v>2159</v>
      </c>
      <c r="C112" s="1356" t="s">
        <v>2027</v>
      </c>
      <c r="D112" s="1356"/>
      <c r="E112" s="1357"/>
      <c r="F112" s="1357"/>
      <c r="G112" s="1355" t="s">
        <v>2081</v>
      </c>
      <c r="H112" s="1357" t="s">
        <v>764</v>
      </c>
      <c r="I112" s="1358" t="s">
        <v>1569</v>
      </c>
      <c r="J112" s="1355">
        <v>28</v>
      </c>
      <c r="K112" s="1356" t="s">
        <v>2027</v>
      </c>
      <c r="L112" s="1356" t="s">
        <v>2027</v>
      </c>
      <c r="M112" s="607">
        <v>4448051.3109999988</v>
      </c>
      <c r="N112" s="608">
        <v>3256912.3160000006</v>
      </c>
      <c r="O112" s="1360"/>
      <c r="P112" s="1360"/>
      <c r="Q112" s="1361"/>
      <c r="R112" s="1361"/>
    </row>
    <row r="113" spans="1:18" ht="11.25" hidden="1" customHeight="1" x14ac:dyDescent="0.25">
      <c r="A113" s="1364" t="s">
        <v>2160</v>
      </c>
      <c r="B113" s="1372" t="s">
        <v>2160</v>
      </c>
      <c r="C113" s="1356" t="s">
        <v>2027</v>
      </c>
      <c r="D113" s="1356"/>
      <c r="E113" s="1357"/>
      <c r="F113" s="1357"/>
      <c r="G113" s="1355" t="s">
        <v>2081</v>
      </c>
      <c r="H113" s="1357" t="s">
        <v>764</v>
      </c>
      <c r="I113" s="1358" t="s">
        <v>1569</v>
      </c>
      <c r="J113" s="1355">
        <v>29</v>
      </c>
      <c r="K113" s="1356" t="s">
        <v>2027</v>
      </c>
      <c r="L113" s="1356" t="s">
        <v>2027</v>
      </c>
      <c r="M113" s="607">
        <v>5638612.8110000007</v>
      </c>
      <c r="N113" s="608">
        <v>4658789.5290000001</v>
      </c>
      <c r="O113" s="1360"/>
      <c r="P113" s="1360"/>
      <c r="Q113" s="1361"/>
      <c r="R113" s="1361"/>
    </row>
    <row r="114" spans="1:18" ht="11.25" hidden="1" customHeight="1" x14ac:dyDescent="0.25">
      <c r="A114" s="1364" t="s">
        <v>2161</v>
      </c>
      <c r="B114" s="1372" t="s">
        <v>2161</v>
      </c>
      <c r="C114" s="1356" t="s">
        <v>2027</v>
      </c>
      <c r="D114" s="1356"/>
      <c r="E114" s="1357"/>
      <c r="F114" s="1357"/>
      <c r="G114" s="1355" t="s">
        <v>2081</v>
      </c>
      <c r="H114" s="1357" t="s">
        <v>764</v>
      </c>
      <c r="I114" s="1358" t="s">
        <v>1569</v>
      </c>
      <c r="J114" s="1355">
        <v>30</v>
      </c>
      <c r="K114" s="1356" t="s">
        <v>2027</v>
      </c>
      <c r="L114" s="1356" t="s">
        <v>2027</v>
      </c>
      <c r="M114" s="607">
        <v>1005453.3509999998</v>
      </c>
      <c r="N114" s="608">
        <v>353248.04</v>
      </c>
      <c r="O114" s="1360"/>
      <c r="P114" s="1360"/>
      <c r="Q114" s="1361"/>
      <c r="R114" s="1361"/>
    </row>
    <row r="115" spans="1:18" ht="11.25" hidden="1" customHeight="1" x14ac:dyDescent="0.25">
      <c r="A115" s="1364" t="s">
        <v>2090</v>
      </c>
      <c r="B115" s="1372" t="s">
        <v>2090</v>
      </c>
      <c r="C115" s="1356" t="s">
        <v>2027</v>
      </c>
      <c r="D115" s="1356"/>
      <c r="E115" s="1357"/>
      <c r="F115" s="1357"/>
      <c r="G115" s="1355" t="s">
        <v>2162</v>
      </c>
      <c r="H115" s="1357" t="s">
        <v>764</v>
      </c>
      <c r="I115" s="1358" t="s">
        <v>1586</v>
      </c>
      <c r="J115" s="1355" t="s">
        <v>2163</v>
      </c>
      <c r="K115" s="1356" t="s">
        <v>2027</v>
      </c>
      <c r="L115" s="1356" t="s">
        <v>2027</v>
      </c>
      <c r="M115" s="607">
        <v>1500000</v>
      </c>
      <c r="N115" s="608">
        <v>1500000</v>
      </c>
      <c r="O115" s="1360">
        <v>4750000</v>
      </c>
      <c r="P115" s="1360">
        <v>4750000</v>
      </c>
      <c r="Q115" s="1361">
        <v>4750000</v>
      </c>
      <c r="R115" s="1361">
        <v>4750000</v>
      </c>
    </row>
    <row r="116" spans="1:18" ht="11.25" hidden="1" customHeight="1" x14ac:dyDescent="0.25">
      <c r="A116" s="1364" t="s">
        <v>2164</v>
      </c>
      <c r="B116" s="1372" t="s">
        <v>2164</v>
      </c>
      <c r="C116" s="1356" t="s">
        <v>2027</v>
      </c>
      <c r="D116" s="1356"/>
      <c r="E116" s="1357"/>
      <c r="F116" s="1357"/>
      <c r="G116" s="1355" t="s">
        <v>2162</v>
      </c>
      <c r="H116" s="1357" t="s">
        <v>764</v>
      </c>
      <c r="I116" s="1358" t="s">
        <v>1586</v>
      </c>
      <c r="J116" s="1355" t="s">
        <v>2165</v>
      </c>
      <c r="K116" s="1356" t="s">
        <v>2027</v>
      </c>
      <c r="L116" s="1356" t="s">
        <v>2027</v>
      </c>
      <c r="M116" s="607">
        <v>0</v>
      </c>
      <c r="N116" s="608">
        <v>0</v>
      </c>
      <c r="O116" s="1360">
        <v>1565185.157432392</v>
      </c>
      <c r="P116" s="1360">
        <v>1565185.157432392</v>
      </c>
      <c r="Q116" s="1361"/>
      <c r="R116" s="1361"/>
    </row>
    <row r="117" spans="1:18" ht="11.25" hidden="1" customHeight="1" x14ac:dyDescent="0.25">
      <c r="A117" s="1364" t="s">
        <v>2166</v>
      </c>
      <c r="B117" s="1372" t="s">
        <v>2166</v>
      </c>
      <c r="C117" s="1356" t="s">
        <v>2027</v>
      </c>
      <c r="D117" s="1356"/>
      <c r="E117" s="1357"/>
      <c r="F117" s="1357"/>
      <c r="G117" s="1355" t="s">
        <v>2162</v>
      </c>
      <c r="H117" s="1357" t="s">
        <v>764</v>
      </c>
      <c r="I117" s="1358" t="s">
        <v>1586</v>
      </c>
      <c r="J117" s="1355" t="s">
        <v>2167</v>
      </c>
      <c r="K117" s="1356" t="s">
        <v>2027</v>
      </c>
      <c r="L117" s="1356" t="s">
        <v>2027</v>
      </c>
      <c r="M117" s="607">
        <v>0</v>
      </c>
      <c r="N117" s="608">
        <v>0</v>
      </c>
      <c r="O117" s="1360">
        <v>0</v>
      </c>
      <c r="P117" s="1360">
        <v>0</v>
      </c>
      <c r="Q117" s="1361"/>
      <c r="R117" s="1361"/>
    </row>
    <row r="118" spans="1:18" ht="11.25" hidden="1" customHeight="1" x14ac:dyDescent="0.25">
      <c r="A118" s="1364" t="s">
        <v>2168</v>
      </c>
      <c r="B118" s="1372" t="s">
        <v>2168</v>
      </c>
      <c r="C118" s="1356" t="s">
        <v>2027</v>
      </c>
      <c r="D118" s="1356"/>
      <c r="E118" s="1357"/>
      <c r="F118" s="1357"/>
      <c r="G118" s="1355" t="s">
        <v>2162</v>
      </c>
      <c r="H118" s="1357" t="s">
        <v>764</v>
      </c>
      <c r="I118" s="1358" t="s">
        <v>1586</v>
      </c>
      <c r="J118" s="1355">
        <v>35</v>
      </c>
      <c r="K118" s="1356" t="s">
        <v>2027</v>
      </c>
      <c r="L118" s="1356" t="s">
        <v>2027</v>
      </c>
      <c r="M118" s="607">
        <v>0</v>
      </c>
      <c r="N118" s="608">
        <v>0</v>
      </c>
      <c r="O118" s="1360">
        <v>586944.43403714697</v>
      </c>
      <c r="P118" s="1360">
        <v>586944.43403714697</v>
      </c>
      <c r="Q118" s="1361"/>
      <c r="R118" s="1361"/>
    </row>
    <row r="119" spans="1:18" ht="11.25" hidden="1" customHeight="1" x14ac:dyDescent="0.25">
      <c r="A119" s="1364" t="s">
        <v>2169</v>
      </c>
      <c r="B119" s="1372" t="s">
        <v>2169</v>
      </c>
      <c r="C119" s="1356" t="s">
        <v>2027</v>
      </c>
      <c r="D119" s="1356"/>
      <c r="E119" s="1357"/>
      <c r="F119" s="1357"/>
      <c r="G119" s="1355" t="s">
        <v>2162</v>
      </c>
      <c r="H119" s="1357" t="s">
        <v>764</v>
      </c>
      <c r="I119" s="1358" t="s">
        <v>1586</v>
      </c>
      <c r="J119" s="1355" t="s">
        <v>2170</v>
      </c>
      <c r="K119" s="1356" t="s">
        <v>2027</v>
      </c>
      <c r="L119" s="1356" t="s">
        <v>2027</v>
      </c>
      <c r="M119" s="607">
        <v>0</v>
      </c>
      <c r="N119" s="608">
        <v>0</v>
      </c>
      <c r="O119" s="1360">
        <v>4042873.2616478689</v>
      </c>
      <c r="P119" s="1360">
        <v>4042873.2616478689</v>
      </c>
      <c r="Q119" s="1361"/>
      <c r="R119" s="1361"/>
    </row>
    <row r="120" spans="1:18" ht="11.25" hidden="1" customHeight="1" x14ac:dyDescent="0.25">
      <c r="A120" s="1364" t="s">
        <v>2171</v>
      </c>
      <c r="B120" s="1372" t="s">
        <v>2171</v>
      </c>
      <c r="C120" s="1356" t="s">
        <v>2027</v>
      </c>
      <c r="D120" s="1356"/>
      <c r="E120" s="1357"/>
      <c r="F120" s="1357"/>
      <c r="G120" s="1355" t="s">
        <v>2162</v>
      </c>
      <c r="H120" s="1357" t="s">
        <v>764</v>
      </c>
      <c r="I120" s="1358" t="s">
        <v>1586</v>
      </c>
      <c r="J120" s="1355">
        <v>9</v>
      </c>
      <c r="K120" s="1356" t="s">
        <v>2027</v>
      </c>
      <c r="L120" s="1356" t="s">
        <v>2027</v>
      </c>
      <c r="M120" s="607">
        <v>0</v>
      </c>
      <c r="N120" s="608">
        <v>0</v>
      </c>
      <c r="O120" s="1360">
        <v>134997.21982854381</v>
      </c>
      <c r="P120" s="1360">
        <v>134997.21982854381</v>
      </c>
      <c r="Q120" s="1361"/>
      <c r="R120" s="1361"/>
    </row>
    <row r="121" spans="1:18" ht="11.25" hidden="1" customHeight="1" x14ac:dyDescent="0.25">
      <c r="A121" s="1364" t="s">
        <v>2172</v>
      </c>
      <c r="B121" s="1372" t="s">
        <v>2172</v>
      </c>
      <c r="C121" s="1356" t="s">
        <v>2027</v>
      </c>
      <c r="D121" s="1356"/>
      <c r="E121" s="1357"/>
      <c r="F121" s="1357"/>
      <c r="G121" s="1355" t="s">
        <v>2162</v>
      </c>
      <c r="H121" s="1357" t="s">
        <v>764</v>
      </c>
      <c r="I121" s="1358" t="s">
        <v>1586</v>
      </c>
      <c r="J121" s="1355" t="s">
        <v>2173</v>
      </c>
      <c r="K121" s="1356" t="s">
        <v>2027</v>
      </c>
      <c r="L121" s="1356" t="s">
        <v>2027</v>
      </c>
      <c r="M121" s="607">
        <v>4881482</v>
      </c>
      <c r="N121" s="608">
        <v>4881482</v>
      </c>
      <c r="O121" s="1360">
        <v>4891203.6169762248</v>
      </c>
      <c r="P121" s="1360">
        <v>4891203.6169762248</v>
      </c>
      <c r="Q121" s="1361">
        <v>2611700.6827458898</v>
      </c>
      <c r="R121" s="1361">
        <v>2611700.6827458898</v>
      </c>
    </row>
    <row r="122" spans="1:18" ht="11.25" hidden="1" customHeight="1" x14ac:dyDescent="0.25">
      <c r="A122" s="1364" t="s">
        <v>2174</v>
      </c>
      <c r="B122" s="1372" t="s">
        <v>2174</v>
      </c>
      <c r="C122" s="1356" t="s">
        <v>2027</v>
      </c>
      <c r="D122" s="1356"/>
      <c r="E122" s="1357"/>
      <c r="F122" s="1357"/>
      <c r="G122" s="1355" t="s">
        <v>2162</v>
      </c>
      <c r="H122" s="1357" t="s">
        <v>764</v>
      </c>
      <c r="I122" s="1358" t="s">
        <v>1586</v>
      </c>
      <c r="J122" s="1355" t="s">
        <v>2175</v>
      </c>
      <c r="K122" s="1356" t="s">
        <v>2027</v>
      </c>
      <c r="L122" s="1356" t="s">
        <v>2027</v>
      </c>
      <c r="M122" s="607">
        <v>10600000</v>
      </c>
      <c r="N122" s="608">
        <v>10600000</v>
      </c>
      <c r="O122" s="1360">
        <v>10000000</v>
      </c>
      <c r="P122" s="1360">
        <v>10000000</v>
      </c>
      <c r="Q122" s="1361">
        <v>10000000</v>
      </c>
      <c r="R122" s="1361">
        <v>10000000</v>
      </c>
    </row>
    <row r="123" spans="1:18" ht="11.25" hidden="1" customHeight="1" x14ac:dyDescent="0.25">
      <c r="A123" s="1364" t="s">
        <v>2176</v>
      </c>
      <c r="B123" s="1372" t="s">
        <v>2176</v>
      </c>
      <c r="C123" s="1356" t="s">
        <v>2027</v>
      </c>
      <c r="D123" s="1356"/>
      <c r="E123" s="1357"/>
      <c r="F123" s="1357"/>
      <c r="G123" s="1355" t="s">
        <v>2162</v>
      </c>
      <c r="H123" s="1357" t="s">
        <v>764</v>
      </c>
      <c r="I123" s="1358" t="s">
        <v>1586</v>
      </c>
      <c r="J123" s="1355" t="s">
        <v>1059</v>
      </c>
      <c r="K123" s="1356" t="s">
        <v>2027</v>
      </c>
      <c r="L123" s="1356" t="s">
        <v>2027</v>
      </c>
      <c r="M123" s="607">
        <v>8000000</v>
      </c>
      <c r="N123" s="608">
        <v>8000000</v>
      </c>
      <c r="O123" s="1360">
        <v>10000000</v>
      </c>
      <c r="P123" s="1360">
        <v>10000000</v>
      </c>
      <c r="Q123" s="1361">
        <v>10000000</v>
      </c>
      <c r="R123" s="1361">
        <v>10000000</v>
      </c>
    </row>
    <row r="124" spans="1:18" ht="11.25" hidden="1" customHeight="1" x14ac:dyDescent="0.25">
      <c r="A124" s="1364" t="s">
        <v>2177</v>
      </c>
      <c r="B124" s="1372" t="s">
        <v>2177</v>
      </c>
      <c r="C124" s="1356" t="s">
        <v>2027</v>
      </c>
      <c r="D124" s="1356"/>
      <c r="E124" s="1357"/>
      <c r="F124" s="1357"/>
      <c r="G124" s="1355" t="s">
        <v>2162</v>
      </c>
      <c r="H124" s="1357" t="s">
        <v>764</v>
      </c>
      <c r="I124" s="1358" t="s">
        <v>1586</v>
      </c>
      <c r="J124" s="1355">
        <v>5</v>
      </c>
      <c r="K124" s="1356" t="s">
        <v>2027</v>
      </c>
      <c r="L124" s="1356" t="s">
        <v>2027</v>
      </c>
      <c r="M124" s="607">
        <v>11000000</v>
      </c>
      <c r="N124" s="608">
        <v>11000000</v>
      </c>
      <c r="O124" s="1360">
        <v>10000000</v>
      </c>
      <c r="P124" s="1360">
        <v>10000000</v>
      </c>
      <c r="Q124" s="1361">
        <v>12000000</v>
      </c>
      <c r="R124" s="1361">
        <v>12000000</v>
      </c>
    </row>
    <row r="125" spans="1:18" ht="11.25" hidden="1" customHeight="1" x14ac:dyDescent="0.25">
      <c r="A125" s="1364" t="s">
        <v>2178</v>
      </c>
      <c r="B125" s="1372" t="s">
        <v>2178</v>
      </c>
      <c r="C125" s="1356" t="s">
        <v>2027</v>
      </c>
      <c r="D125" s="1356"/>
      <c r="E125" s="1357"/>
      <c r="F125" s="1357"/>
      <c r="G125" s="1355" t="s">
        <v>2162</v>
      </c>
      <c r="H125" s="1357" t="s">
        <v>764</v>
      </c>
      <c r="I125" s="1358" t="s">
        <v>1586</v>
      </c>
      <c r="J125" s="1355" t="s">
        <v>2179</v>
      </c>
      <c r="K125" s="1356" t="s">
        <v>2027</v>
      </c>
      <c r="L125" s="1356" t="s">
        <v>2027</v>
      </c>
      <c r="M125" s="607">
        <v>1000000</v>
      </c>
      <c r="N125" s="608">
        <v>1000000</v>
      </c>
      <c r="O125" s="1360">
        <v>9000000</v>
      </c>
      <c r="P125" s="1360">
        <v>9000000</v>
      </c>
      <c r="Q125" s="1361">
        <v>8000000</v>
      </c>
      <c r="R125" s="1361">
        <v>8000000</v>
      </c>
    </row>
    <row r="126" spans="1:18" ht="11.25" hidden="1" customHeight="1" x14ac:dyDescent="0.25">
      <c r="A126" s="1364" t="s">
        <v>2180</v>
      </c>
      <c r="B126" s="1372" t="s">
        <v>2180</v>
      </c>
      <c r="C126" s="1356" t="s">
        <v>2027</v>
      </c>
      <c r="D126" s="1356"/>
      <c r="E126" s="1357"/>
      <c r="F126" s="1357"/>
      <c r="G126" s="1355" t="s">
        <v>2162</v>
      </c>
      <c r="H126" s="1357" t="s">
        <v>764</v>
      </c>
      <c r="I126" s="1358" t="s">
        <v>1586</v>
      </c>
      <c r="J126" s="1355">
        <v>4</v>
      </c>
      <c r="K126" s="1356" t="s">
        <v>2027</v>
      </c>
      <c r="L126" s="1356" t="s">
        <v>2027</v>
      </c>
      <c r="M126" s="607">
        <v>10000000</v>
      </c>
      <c r="N126" s="608">
        <v>10000000</v>
      </c>
      <c r="O126" s="1360">
        <v>10000000</v>
      </c>
      <c r="P126" s="1360">
        <v>10000000</v>
      </c>
      <c r="Q126" s="1361">
        <v>10000000</v>
      </c>
      <c r="R126" s="1361">
        <v>10000000</v>
      </c>
    </row>
    <row r="127" spans="1:18" ht="11.25" hidden="1" customHeight="1" x14ac:dyDescent="0.25">
      <c r="A127" s="1364" t="s">
        <v>2181</v>
      </c>
      <c r="B127" s="1372" t="s">
        <v>2181</v>
      </c>
      <c r="C127" s="1356" t="s">
        <v>2027</v>
      </c>
      <c r="D127" s="1356"/>
      <c r="E127" s="1357"/>
      <c r="F127" s="1357"/>
      <c r="G127" s="1355" t="s">
        <v>2162</v>
      </c>
      <c r="H127" s="1357" t="s">
        <v>764</v>
      </c>
      <c r="I127" s="1358" t="s">
        <v>1586</v>
      </c>
      <c r="J127" s="1355" t="s">
        <v>2182</v>
      </c>
      <c r="K127" s="1356" t="s">
        <v>2027</v>
      </c>
      <c r="L127" s="1356" t="s">
        <v>2027</v>
      </c>
      <c r="M127" s="607">
        <v>1000000</v>
      </c>
      <c r="N127" s="608">
        <v>1000000</v>
      </c>
      <c r="O127" s="1360">
        <v>10000000</v>
      </c>
      <c r="P127" s="1360">
        <v>10000000</v>
      </c>
      <c r="Q127" s="1361">
        <v>10000000</v>
      </c>
      <c r="R127" s="1361">
        <v>10000000</v>
      </c>
    </row>
    <row r="128" spans="1:18" ht="11.25" hidden="1" customHeight="1" x14ac:dyDescent="0.25">
      <c r="A128" s="1364" t="s">
        <v>2183</v>
      </c>
      <c r="B128" s="1372" t="s">
        <v>2183</v>
      </c>
      <c r="C128" s="1356" t="s">
        <v>2027</v>
      </c>
      <c r="D128" s="1356"/>
      <c r="E128" s="1357"/>
      <c r="F128" s="1357"/>
      <c r="G128" s="1355" t="s">
        <v>2162</v>
      </c>
      <c r="H128" s="1357" t="s">
        <v>764</v>
      </c>
      <c r="I128" s="1358" t="s">
        <v>1586</v>
      </c>
      <c r="J128" s="1355">
        <v>28</v>
      </c>
      <c r="K128" s="1356" t="s">
        <v>2027</v>
      </c>
      <c r="L128" s="1356" t="s">
        <v>2027</v>
      </c>
      <c r="M128" s="607">
        <v>8000000</v>
      </c>
      <c r="N128" s="608">
        <v>8000000</v>
      </c>
      <c r="O128" s="1360">
        <v>8000000</v>
      </c>
      <c r="P128" s="1360">
        <v>8000000</v>
      </c>
      <c r="Q128" s="1361">
        <v>8000000</v>
      </c>
      <c r="R128" s="1361">
        <v>8000000</v>
      </c>
    </row>
    <row r="129" spans="1:18" ht="11.25" hidden="1" customHeight="1" x14ac:dyDescent="0.25">
      <c r="A129" s="1364" t="s">
        <v>2184</v>
      </c>
      <c r="B129" s="1372" t="s">
        <v>2184</v>
      </c>
      <c r="C129" s="1356" t="s">
        <v>2027</v>
      </c>
      <c r="D129" s="1356"/>
      <c r="E129" s="1357"/>
      <c r="F129" s="1357"/>
      <c r="G129" s="1355" t="s">
        <v>2162</v>
      </c>
      <c r="H129" s="1357" t="s">
        <v>764</v>
      </c>
      <c r="I129" s="1358" t="s">
        <v>1586</v>
      </c>
      <c r="J129" s="1355" t="s">
        <v>2185</v>
      </c>
      <c r="K129" s="1356" t="s">
        <v>2027</v>
      </c>
      <c r="L129" s="1356" t="s">
        <v>2027</v>
      </c>
      <c r="M129" s="607">
        <v>10000000</v>
      </c>
      <c r="N129" s="608">
        <v>10000000</v>
      </c>
      <c r="O129" s="1360">
        <v>10000000</v>
      </c>
      <c r="P129" s="1360">
        <v>10000000</v>
      </c>
      <c r="Q129" s="1361">
        <v>8000000</v>
      </c>
      <c r="R129" s="1361">
        <v>8000000</v>
      </c>
    </row>
    <row r="130" spans="1:18" ht="11.25" hidden="1" customHeight="1" x14ac:dyDescent="0.25">
      <c r="A130" s="1364" t="s">
        <v>2186</v>
      </c>
      <c r="B130" s="1372" t="s">
        <v>2186</v>
      </c>
      <c r="C130" s="1356" t="s">
        <v>2027</v>
      </c>
      <c r="D130" s="1356"/>
      <c r="E130" s="1357"/>
      <c r="F130" s="1357"/>
      <c r="G130" s="1355" t="s">
        <v>2162</v>
      </c>
      <c r="H130" s="1357" t="s">
        <v>764</v>
      </c>
      <c r="I130" s="1358" t="s">
        <v>1586</v>
      </c>
      <c r="J130" s="1355">
        <v>8</v>
      </c>
      <c r="K130" s="1356" t="s">
        <v>2027</v>
      </c>
      <c r="L130" s="1356" t="s">
        <v>2027</v>
      </c>
      <c r="M130" s="607">
        <v>13000000</v>
      </c>
      <c r="N130" s="608">
        <v>13000000</v>
      </c>
      <c r="O130" s="1360">
        <v>5000000</v>
      </c>
      <c r="P130" s="1360">
        <v>5000000</v>
      </c>
      <c r="Q130" s="1361">
        <v>8000000</v>
      </c>
      <c r="R130" s="1361">
        <v>8000000</v>
      </c>
    </row>
    <row r="131" spans="1:18" ht="11.25" hidden="1" customHeight="1" x14ac:dyDescent="0.25">
      <c r="A131" s="1364" t="s">
        <v>2187</v>
      </c>
      <c r="B131" s="1372" t="s">
        <v>2187</v>
      </c>
      <c r="C131" s="1356" t="s">
        <v>2027</v>
      </c>
      <c r="D131" s="1356"/>
      <c r="E131" s="1357"/>
      <c r="F131" s="1357"/>
      <c r="G131" s="1355" t="s">
        <v>2162</v>
      </c>
      <c r="H131" s="1357" t="s">
        <v>764</v>
      </c>
      <c r="I131" s="1358" t="s">
        <v>1586</v>
      </c>
      <c r="J131" s="1355">
        <v>23</v>
      </c>
      <c r="K131" s="1356" t="s">
        <v>2027</v>
      </c>
      <c r="L131" s="1356" t="s">
        <v>2027</v>
      </c>
      <c r="M131" s="607">
        <v>1000000</v>
      </c>
      <c r="N131" s="608">
        <v>1000000</v>
      </c>
      <c r="O131" s="1360">
        <v>0</v>
      </c>
      <c r="P131" s="1360">
        <v>0</v>
      </c>
      <c r="Q131" s="1361">
        <v>10000000</v>
      </c>
      <c r="R131" s="1361">
        <v>10000000</v>
      </c>
    </row>
    <row r="132" spans="1:18" ht="11.25" hidden="1" customHeight="1" x14ac:dyDescent="0.25">
      <c r="A132" s="1364" t="s">
        <v>2188</v>
      </c>
      <c r="B132" s="1372" t="s">
        <v>2188</v>
      </c>
      <c r="C132" s="1356" t="s">
        <v>2027</v>
      </c>
      <c r="D132" s="1356"/>
      <c r="E132" s="1357"/>
      <c r="F132" s="1357"/>
      <c r="G132" s="1355" t="s">
        <v>2162</v>
      </c>
      <c r="H132" s="1357" t="s">
        <v>764</v>
      </c>
      <c r="I132" s="1358" t="s">
        <v>1586</v>
      </c>
      <c r="J132" s="1355">
        <v>8</v>
      </c>
      <c r="K132" s="1356" t="s">
        <v>2027</v>
      </c>
      <c r="L132" s="1356" t="s">
        <v>2027</v>
      </c>
      <c r="M132" s="607">
        <v>10000000</v>
      </c>
      <c r="N132" s="608">
        <v>10000000</v>
      </c>
      <c r="O132" s="1360">
        <v>10000000</v>
      </c>
      <c r="P132" s="1360">
        <v>10000000</v>
      </c>
      <c r="Q132" s="1361">
        <v>9000000</v>
      </c>
      <c r="R132" s="1361">
        <v>9000000</v>
      </c>
    </row>
    <row r="133" spans="1:18" ht="11.25" hidden="1" customHeight="1" x14ac:dyDescent="0.25">
      <c r="A133" s="1364" t="s">
        <v>2189</v>
      </c>
      <c r="B133" s="1372" t="s">
        <v>2189</v>
      </c>
      <c r="C133" s="1356" t="s">
        <v>2027</v>
      </c>
      <c r="D133" s="1356"/>
      <c r="E133" s="1357"/>
      <c r="F133" s="1357"/>
      <c r="G133" s="1355" t="s">
        <v>2162</v>
      </c>
      <c r="H133" s="1357" t="s">
        <v>764</v>
      </c>
      <c r="I133" s="1358" t="s">
        <v>1586</v>
      </c>
      <c r="J133" s="1355" t="s">
        <v>2190</v>
      </c>
      <c r="K133" s="1356" t="s">
        <v>2027</v>
      </c>
      <c r="L133" s="1356" t="s">
        <v>2027</v>
      </c>
      <c r="M133" s="607">
        <v>10000000</v>
      </c>
      <c r="N133" s="608">
        <v>10000000</v>
      </c>
      <c r="O133" s="1360">
        <v>10000000</v>
      </c>
      <c r="P133" s="1360">
        <v>10000000</v>
      </c>
      <c r="Q133" s="1361">
        <v>10000000</v>
      </c>
      <c r="R133" s="1361">
        <v>10000000</v>
      </c>
    </row>
    <row r="134" spans="1:18" ht="11.25" hidden="1" customHeight="1" x14ac:dyDescent="0.25">
      <c r="A134" s="1364" t="s">
        <v>2191</v>
      </c>
      <c r="B134" s="1372" t="s">
        <v>2191</v>
      </c>
      <c r="C134" s="1356" t="s">
        <v>2027</v>
      </c>
      <c r="D134" s="1356"/>
      <c r="E134" s="1357"/>
      <c r="F134" s="1357"/>
      <c r="G134" s="1355" t="s">
        <v>2162</v>
      </c>
      <c r="H134" s="1357" t="s">
        <v>764</v>
      </c>
      <c r="I134" s="1358" t="s">
        <v>1586</v>
      </c>
      <c r="J134" s="1355" t="s">
        <v>2192</v>
      </c>
      <c r="K134" s="1356" t="s">
        <v>2027</v>
      </c>
      <c r="L134" s="1356" t="s">
        <v>2027</v>
      </c>
      <c r="M134" s="607">
        <v>13105850</v>
      </c>
      <c r="N134" s="608">
        <v>13105850</v>
      </c>
      <c r="O134" s="1360">
        <v>10000000</v>
      </c>
      <c r="P134" s="1360">
        <v>10000000</v>
      </c>
      <c r="Q134" s="1361">
        <v>0</v>
      </c>
      <c r="R134" s="1361">
        <v>0</v>
      </c>
    </row>
    <row r="135" spans="1:18" ht="11.25" hidden="1" customHeight="1" x14ac:dyDescent="0.25">
      <c r="A135" s="1364" t="s">
        <v>2193</v>
      </c>
      <c r="B135" s="1372" t="s">
        <v>2193</v>
      </c>
      <c r="C135" s="1356" t="s">
        <v>2027</v>
      </c>
      <c r="D135" s="1356"/>
      <c r="E135" s="1357"/>
      <c r="F135" s="1357"/>
      <c r="G135" s="1355" t="s">
        <v>2162</v>
      </c>
      <c r="H135" s="1357" t="s">
        <v>764</v>
      </c>
      <c r="I135" s="1358" t="s">
        <v>1586</v>
      </c>
      <c r="J135" s="1355" t="s">
        <v>2194</v>
      </c>
      <c r="K135" s="1356" t="s">
        <v>2027</v>
      </c>
      <c r="L135" s="1356" t="s">
        <v>2027</v>
      </c>
      <c r="M135" s="607">
        <v>1500000</v>
      </c>
      <c r="N135" s="608">
        <v>1500000</v>
      </c>
      <c r="O135" s="1360">
        <v>0</v>
      </c>
      <c r="P135" s="1360">
        <v>0</v>
      </c>
      <c r="Q135" s="1361">
        <v>10000000</v>
      </c>
      <c r="R135" s="1361">
        <v>10000000</v>
      </c>
    </row>
    <row r="136" spans="1:18" ht="11.25" hidden="1" customHeight="1" x14ac:dyDescent="0.25">
      <c r="A136" s="1364" t="s">
        <v>2195</v>
      </c>
      <c r="B136" s="1372" t="s">
        <v>2195</v>
      </c>
      <c r="C136" s="1356" t="s">
        <v>2027</v>
      </c>
      <c r="D136" s="1356"/>
      <c r="E136" s="1357"/>
      <c r="F136" s="1357"/>
      <c r="G136" s="1355" t="s">
        <v>2162</v>
      </c>
      <c r="H136" s="1357" t="s">
        <v>764</v>
      </c>
      <c r="I136" s="1358" t="s">
        <v>1586</v>
      </c>
      <c r="J136" s="1355" t="s">
        <v>2196</v>
      </c>
      <c r="K136" s="1356" t="s">
        <v>2027</v>
      </c>
      <c r="L136" s="1356" t="s">
        <v>2027</v>
      </c>
      <c r="M136" s="607">
        <v>10000000</v>
      </c>
      <c r="N136" s="608">
        <v>10000000</v>
      </c>
      <c r="O136" s="1360">
        <v>0</v>
      </c>
      <c r="P136" s="1360">
        <v>0</v>
      </c>
      <c r="Q136" s="1361">
        <v>7000000</v>
      </c>
      <c r="R136" s="1361">
        <v>7000000</v>
      </c>
    </row>
    <row r="137" spans="1:18" ht="11.25" hidden="1" customHeight="1" x14ac:dyDescent="0.25">
      <c r="A137" s="1364" t="s">
        <v>2197</v>
      </c>
      <c r="B137" s="1372" t="s">
        <v>2197</v>
      </c>
      <c r="C137" s="1356" t="s">
        <v>2027</v>
      </c>
      <c r="D137" s="1356"/>
      <c r="E137" s="1357"/>
      <c r="F137" s="1357"/>
      <c r="G137" s="1355" t="s">
        <v>2162</v>
      </c>
      <c r="H137" s="1357" t="s">
        <v>764</v>
      </c>
      <c r="I137" s="1358" t="s">
        <v>1586</v>
      </c>
      <c r="J137" s="1355" t="s">
        <v>2196</v>
      </c>
      <c r="K137" s="1356" t="s">
        <v>2027</v>
      </c>
      <c r="L137" s="1356" t="s">
        <v>2027</v>
      </c>
      <c r="M137" s="607">
        <v>0</v>
      </c>
      <c r="N137" s="608">
        <v>0</v>
      </c>
      <c r="O137" s="1360">
        <v>10000000</v>
      </c>
      <c r="P137" s="1360">
        <v>10000000</v>
      </c>
      <c r="Q137" s="1361">
        <v>10000000</v>
      </c>
      <c r="R137" s="1361">
        <v>10000000</v>
      </c>
    </row>
    <row r="138" spans="1:18" ht="11.25" hidden="1" customHeight="1" x14ac:dyDescent="0.25">
      <c r="A138" s="1364" t="s">
        <v>2198</v>
      </c>
      <c r="B138" s="1372" t="s">
        <v>2198</v>
      </c>
      <c r="C138" s="1356" t="s">
        <v>2027</v>
      </c>
      <c r="D138" s="1356"/>
      <c r="E138" s="1357"/>
      <c r="F138" s="1357"/>
      <c r="G138" s="1355" t="s">
        <v>2162</v>
      </c>
      <c r="H138" s="1357" t="s">
        <v>764</v>
      </c>
      <c r="I138" s="1358" t="s">
        <v>1586</v>
      </c>
      <c r="J138" s="1355" t="s">
        <v>2199</v>
      </c>
      <c r="K138" s="1356" t="s">
        <v>2027</v>
      </c>
      <c r="L138" s="1356" t="s">
        <v>2027</v>
      </c>
      <c r="M138" s="607">
        <v>10000000</v>
      </c>
      <c r="N138" s="608">
        <v>10000000</v>
      </c>
      <c r="O138" s="1360">
        <v>0</v>
      </c>
      <c r="P138" s="1360">
        <v>0</v>
      </c>
      <c r="Q138" s="1361">
        <v>0</v>
      </c>
      <c r="R138" s="1361">
        <v>0</v>
      </c>
    </row>
    <row r="139" spans="1:18" ht="11.25" hidden="1" customHeight="1" x14ac:dyDescent="0.25">
      <c r="A139" s="1364" t="s">
        <v>2200</v>
      </c>
      <c r="B139" s="1372" t="s">
        <v>2200</v>
      </c>
      <c r="C139" s="1356" t="s">
        <v>2027</v>
      </c>
      <c r="D139" s="1356"/>
      <c r="E139" s="1357"/>
      <c r="F139" s="1357"/>
      <c r="G139" s="1355" t="s">
        <v>2162</v>
      </c>
      <c r="H139" s="1357" t="s">
        <v>764</v>
      </c>
      <c r="I139" s="1358" t="s">
        <v>1586</v>
      </c>
      <c r="J139" s="1355" t="s">
        <v>2199</v>
      </c>
      <c r="K139" s="1356" t="s">
        <v>2027</v>
      </c>
      <c r="L139" s="1356" t="s">
        <v>2027</v>
      </c>
      <c r="M139" s="607">
        <v>0</v>
      </c>
      <c r="N139" s="608">
        <v>0</v>
      </c>
      <c r="O139" s="1360">
        <v>2804826</v>
      </c>
      <c r="P139" s="1360">
        <v>2804826</v>
      </c>
      <c r="Q139" s="1361">
        <v>5000000</v>
      </c>
      <c r="R139" s="1361">
        <v>5000000</v>
      </c>
    </row>
    <row r="140" spans="1:18" ht="11.25" hidden="1" customHeight="1" x14ac:dyDescent="0.25">
      <c r="A140" s="1364" t="s">
        <v>2201</v>
      </c>
      <c r="B140" s="1372" t="s">
        <v>2201</v>
      </c>
      <c r="C140" s="1356" t="s">
        <v>2027</v>
      </c>
      <c r="D140" s="1356"/>
      <c r="E140" s="1357"/>
      <c r="F140" s="1357"/>
      <c r="G140" s="1355" t="s">
        <v>2162</v>
      </c>
      <c r="H140" s="1357" t="s">
        <v>764</v>
      </c>
      <c r="I140" s="1358" t="s">
        <v>1586</v>
      </c>
      <c r="J140" s="1355" t="s">
        <v>2185</v>
      </c>
      <c r="K140" s="1356" t="s">
        <v>2027</v>
      </c>
      <c r="L140" s="1356" t="s">
        <v>2027</v>
      </c>
      <c r="M140" s="607">
        <v>10000000</v>
      </c>
      <c r="N140" s="608">
        <v>10000000</v>
      </c>
      <c r="O140" s="1360">
        <v>9750000</v>
      </c>
      <c r="P140" s="1360">
        <v>9750000</v>
      </c>
      <c r="Q140" s="1361">
        <v>0</v>
      </c>
      <c r="R140" s="1361">
        <v>0</v>
      </c>
    </row>
    <row r="141" spans="1:18" ht="11.25" hidden="1" customHeight="1" x14ac:dyDescent="0.25">
      <c r="A141" s="1364" t="s">
        <v>2202</v>
      </c>
      <c r="B141" s="1372" t="s">
        <v>2202</v>
      </c>
      <c r="C141" s="1356" t="s">
        <v>2027</v>
      </c>
      <c r="D141" s="1356"/>
      <c r="E141" s="1357"/>
      <c r="F141" s="1357"/>
      <c r="G141" s="1355" t="s">
        <v>2162</v>
      </c>
      <c r="H141" s="1357" t="s">
        <v>764</v>
      </c>
      <c r="I141" s="1358" t="s">
        <v>1586</v>
      </c>
      <c r="J141" s="1355">
        <v>8</v>
      </c>
      <c r="K141" s="1356" t="s">
        <v>2027</v>
      </c>
      <c r="L141" s="1356" t="s">
        <v>2027</v>
      </c>
      <c r="M141" s="607">
        <v>15000000</v>
      </c>
      <c r="N141" s="608">
        <v>15000000</v>
      </c>
      <c r="O141" s="1360">
        <v>10000000</v>
      </c>
      <c r="P141" s="1360">
        <v>10000000</v>
      </c>
      <c r="Q141" s="1361">
        <v>0</v>
      </c>
      <c r="R141" s="1361">
        <v>0</v>
      </c>
    </row>
    <row r="142" spans="1:18" ht="11.25" hidden="1" customHeight="1" x14ac:dyDescent="0.25">
      <c r="A142" s="1364" t="s">
        <v>2203</v>
      </c>
      <c r="B142" s="1372" t="s">
        <v>2203</v>
      </c>
      <c r="C142" s="1356" t="s">
        <v>2027</v>
      </c>
      <c r="D142" s="1356"/>
      <c r="E142" s="1357"/>
      <c r="F142" s="1357"/>
      <c r="G142" s="1355" t="s">
        <v>2162</v>
      </c>
      <c r="H142" s="1357" t="s">
        <v>764</v>
      </c>
      <c r="I142" s="1358" t="s">
        <v>1586</v>
      </c>
      <c r="J142" s="1355">
        <v>23</v>
      </c>
      <c r="K142" s="1356" t="s">
        <v>2027</v>
      </c>
      <c r="L142" s="1356" t="s">
        <v>2027</v>
      </c>
      <c r="M142" s="607">
        <v>15000000</v>
      </c>
      <c r="N142" s="608">
        <v>15000000</v>
      </c>
      <c r="O142" s="1360">
        <v>32445174</v>
      </c>
      <c r="P142" s="1360">
        <v>32445174</v>
      </c>
      <c r="Q142" s="1361">
        <v>45000000</v>
      </c>
      <c r="R142" s="1361">
        <v>45000000</v>
      </c>
    </row>
    <row r="143" spans="1:18" ht="11.25" hidden="1" customHeight="1" x14ac:dyDescent="0.25">
      <c r="A143" s="1364" t="s">
        <v>2204</v>
      </c>
      <c r="B143" s="1372" t="s">
        <v>2204</v>
      </c>
      <c r="C143" s="1356" t="s">
        <v>2027</v>
      </c>
      <c r="D143" s="1356"/>
      <c r="E143" s="1357"/>
      <c r="F143" s="1357"/>
      <c r="G143" s="1355" t="s">
        <v>2162</v>
      </c>
      <c r="H143" s="1357" t="s">
        <v>764</v>
      </c>
      <c r="I143" s="1358" t="s">
        <v>1586</v>
      </c>
      <c r="J143" s="1355">
        <v>8</v>
      </c>
      <c r="K143" s="1356" t="s">
        <v>2027</v>
      </c>
      <c r="L143" s="1356" t="s">
        <v>2027</v>
      </c>
      <c r="M143" s="607">
        <v>0</v>
      </c>
      <c r="N143" s="608">
        <v>0</v>
      </c>
      <c r="O143" s="1360">
        <v>0</v>
      </c>
      <c r="P143" s="1360">
        <v>0</v>
      </c>
      <c r="Q143" s="1361">
        <v>0</v>
      </c>
      <c r="R143" s="1361">
        <v>0</v>
      </c>
    </row>
    <row r="144" spans="1:18" ht="11.25" hidden="1" customHeight="1" x14ac:dyDescent="0.25">
      <c r="A144" s="1364" t="s">
        <v>2193</v>
      </c>
      <c r="B144" s="1372" t="s">
        <v>2193</v>
      </c>
      <c r="C144" s="1356" t="s">
        <v>2027</v>
      </c>
      <c r="D144" s="1356"/>
      <c r="E144" s="1357"/>
      <c r="F144" s="1357"/>
      <c r="G144" s="1355" t="s">
        <v>2162</v>
      </c>
      <c r="H144" s="1357" t="s">
        <v>764</v>
      </c>
      <c r="I144" s="1358" t="s">
        <v>1586</v>
      </c>
      <c r="J144" s="1355" t="s">
        <v>2190</v>
      </c>
      <c r="K144" s="1356" t="s">
        <v>2027</v>
      </c>
      <c r="L144" s="1356" t="s">
        <v>2027</v>
      </c>
      <c r="M144" s="607">
        <v>0</v>
      </c>
      <c r="N144" s="608">
        <v>0</v>
      </c>
      <c r="O144" s="1360">
        <v>0</v>
      </c>
      <c r="P144" s="1360">
        <v>0</v>
      </c>
      <c r="Q144" s="1361">
        <v>0</v>
      </c>
      <c r="R144" s="1361">
        <v>0</v>
      </c>
    </row>
    <row r="145" spans="1:18" ht="11.25" hidden="1" customHeight="1" x14ac:dyDescent="0.25">
      <c r="A145" s="1364" t="s">
        <v>2205</v>
      </c>
      <c r="B145" s="1372" t="s">
        <v>2205</v>
      </c>
      <c r="C145" s="1356" t="s">
        <v>2027</v>
      </c>
      <c r="D145" s="1356"/>
      <c r="E145" s="1357"/>
      <c r="F145" s="1357"/>
      <c r="G145" s="1355" t="s">
        <v>2162</v>
      </c>
      <c r="H145" s="1357" t="s">
        <v>764</v>
      </c>
      <c r="I145" s="1358" t="s">
        <v>1586</v>
      </c>
      <c r="J145" s="1355" t="s">
        <v>2194</v>
      </c>
      <c r="K145" s="1356" t="s">
        <v>2027</v>
      </c>
      <c r="L145" s="1356" t="s">
        <v>2027</v>
      </c>
      <c r="M145" s="607">
        <v>3000000</v>
      </c>
      <c r="N145" s="608">
        <v>3000000</v>
      </c>
      <c r="O145" s="1360">
        <v>27826380</v>
      </c>
      <c r="P145" s="1360">
        <v>27826380</v>
      </c>
      <c r="Q145" s="1361">
        <v>0</v>
      </c>
      <c r="R145" s="1361">
        <v>0</v>
      </c>
    </row>
    <row r="146" spans="1:18" ht="11.25" hidden="1" customHeight="1" x14ac:dyDescent="0.25">
      <c r="A146" s="1364" t="s">
        <v>2201</v>
      </c>
      <c r="B146" s="1372" t="s">
        <v>2201</v>
      </c>
      <c r="C146" s="1356" t="s">
        <v>2027</v>
      </c>
      <c r="D146" s="1356"/>
      <c r="E146" s="1357"/>
      <c r="F146" s="1357"/>
      <c r="G146" s="1355" t="s">
        <v>2162</v>
      </c>
      <c r="H146" s="1357" t="s">
        <v>764</v>
      </c>
      <c r="I146" s="1358" t="s">
        <v>1586</v>
      </c>
      <c r="J146" s="1355" t="s">
        <v>2196</v>
      </c>
      <c r="K146" s="1356" t="s">
        <v>2027</v>
      </c>
      <c r="L146" s="1356" t="s">
        <v>2027</v>
      </c>
      <c r="M146" s="607">
        <v>20000000</v>
      </c>
      <c r="N146" s="608">
        <v>20000000</v>
      </c>
      <c r="O146" s="1360">
        <v>0</v>
      </c>
      <c r="P146" s="1360">
        <v>0</v>
      </c>
      <c r="Q146" s="1361">
        <v>0</v>
      </c>
      <c r="R146" s="1361">
        <v>0</v>
      </c>
    </row>
    <row r="147" spans="1:18" ht="11.25" hidden="1" customHeight="1" x14ac:dyDescent="0.25">
      <c r="A147" s="1364" t="s">
        <v>2206</v>
      </c>
      <c r="B147" s="1372" t="s">
        <v>2206</v>
      </c>
      <c r="C147" s="1356" t="s">
        <v>2027</v>
      </c>
      <c r="D147" s="1356"/>
      <c r="E147" s="1357"/>
      <c r="F147" s="1357"/>
      <c r="G147" s="1355" t="s">
        <v>2162</v>
      </c>
      <c r="H147" s="1357" t="s">
        <v>764</v>
      </c>
      <c r="I147" s="1358" t="s">
        <v>1586</v>
      </c>
      <c r="J147" s="1355" t="s">
        <v>2196</v>
      </c>
      <c r="K147" s="1356" t="s">
        <v>2027</v>
      </c>
      <c r="L147" s="1356" t="s">
        <v>2027</v>
      </c>
      <c r="M147" s="607">
        <v>14000000</v>
      </c>
      <c r="N147" s="608">
        <v>14000000</v>
      </c>
      <c r="O147" s="1360">
        <v>0</v>
      </c>
      <c r="P147" s="1360">
        <v>0</v>
      </c>
      <c r="Q147" s="1361">
        <v>0</v>
      </c>
      <c r="R147" s="1361">
        <v>0</v>
      </c>
    </row>
    <row r="148" spans="1:18" ht="11.25" hidden="1" customHeight="1" x14ac:dyDescent="0.25">
      <c r="A148" s="1364" t="s">
        <v>2202</v>
      </c>
      <c r="B148" s="1372" t="s">
        <v>2202</v>
      </c>
      <c r="C148" s="1356" t="s">
        <v>2027</v>
      </c>
      <c r="D148" s="1356"/>
      <c r="E148" s="1357"/>
      <c r="F148" s="1357"/>
      <c r="G148" s="1355" t="s">
        <v>2162</v>
      </c>
      <c r="H148" s="1357" t="s">
        <v>764</v>
      </c>
      <c r="I148" s="1358" t="s">
        <v>1586</v>
      </c>
      <c r="J148" s="1355" t="s">
        <v>2199</v>
      </c>
      <c r="K148" s="1356" t="s">
        <v>2027</v>
      </c>
      <c r="L148" s="1356" t="s">
        <v>2027</v>
      </c>
      <c r="M148" s="607">
        <v>30000000</v>
      </c>
      <c r="N148" s="608">
        <v>30000000</v>
      </c>
      <c r="O148" s="1360">
        <v>0</v>
      </c>
      <c r="P148" s="1360">
        <v>0</v>
      </c>
      <c r="Q148" s="1361">
        <v>0</v>
      </c>
      <c r="R148" s="1361">
        <v>0</v>
      </c>
    </row>
    <row r="149" spans="1:18" ht="11.25" hidden="1" customHeight="1" x14ac:dyDescent="0.25">
      <c r="A149" s="1364" t="s">
        <v>2207</v>
      </c>
      <c r="B149" s="1372" t="s">
        <v>2207</v>
      </c>
      <c r="C149" s="1356" t="s">
        <v>2027</v>
      </c>
      <c r="D149" s="1356"/>
      <c r="E149" s="1357"/>
      <c r="F149" s="1357"/>
      <c r="G149" s="1355" t="s">
        <v>2162</v>
      </c>
      <c r="H149" s="1357" t="s">
        <v>764</v>
      </c>
      <c r="I149" s="1358" t="s">
        <v>1586</v>
      </c>
      <c r="J149" s="1355">
        <v>35</v>
      </c>
      <c r="K149" s="1356" t="s">
        <v>2027</v>
      </c>
      <c r="L149" s="1356" t="s">
        <v>2027</v>
      </c>
      <c r="M149" s="607">
        <v>5000000</v>
      </c>
      <c r="N149" s="608">
        <v>5000000</v>
      </c>
      <c r="O149" s="1360">
        <v>5000000</v>
      </c>
      <c r="P149" s="1360">
        <v>5000000</v>
      </c>
      <c r="Q149" s="1361">
        <v>0</v>
      </c>
      <c r="R149" s="1361">
        <v>0</v>
      </c>
    </row>
    <row r="150" spans="1:18" ht="11.25" hidden="1" customHeight="1" x14ac:dyDescent="0.25">
      <c r="A150" s="1364" t="s">
        <v>2208</v>
      </c>
      <c r="B150" s="1372" t="s">
        <v>2208</v>
      </c>
      <c r="C150" s="1356" t="s">
        <v>2027</v>
      </c>
      <c r="D150" s="1356"/>
      <c r="E150" s="1357"/>
      <c r="F150" s="1357"/>
      <c r="G150" s="1355" t="s">
        <v>2162</v>
      </c>
      <c r="H150" s="1357" t="s">
        <v>764</v>
      </c>
      <c r="I150" s="1358" t="s">
        <v>1586</v>
      </c>
      <c r="J150" s="1355">
        <v>42</v>
      </c>
      <c r="K150" s="1356" t="s">
        <v>2027</v>
      </c>
      <c r="L150" s="1356" t="s">
        <v>2027</v>
      </c>
      <c r="M150" s="607">
        <v>0</v>
      </c>
      <c r="N150" s="608">
        <v>0</v>
      </c>
      <c r="O150" s="1360">
        <v>5000000</v>
      </c>
      <c r="P150" s="1360">
        <v>5000000</v>
      </c>
      <c r="Q150" s="1361">
        <v>0</v>
      </c>
      <c r="R150" s="1361">
        <v>0</v>
      </c>
    </row>
    <row r="151" spans="1:18" ht="11.25" hidden="1" customHeight="1" x14ac:dyDescent="0.25">
      <c r="A151" s="1364" t="s">
        <v>2209</v>
      </c>
      <c r="B151" s="1372" t="s">
        <v>2209</v>
      </c>
      <c r="C151" s="1356" t="s">
        <v>2027</v>
      </c>
      <c r="D151" s="1356"/>
      <c r="E151" s="1357"/>
      <c r="F151" s="1357"/>
      <c r="G151" s="1355" t="s">
        <v>2162</v>
      </c>
      <c r="H151" s="1357" t="s">
        <v>764</v>
      </c>
      <c r="I151" s="1358" t="s">
        <v>1586</v>
      </c>
      <c r="J151" s="1355" t="s">
        <v>2146</v>
      </c>
      <c r="K151" s="1356" t="s">
        <v>2027</v>
      </c>
      <c r="L151" s="1356" t="s">
        <v>2027</v>
      </c>
      <c r="M151" s="607">
        <v>5000000</v>
      </c>
      <c r="N151" s="608">
        <v>5000000</v>
      </c>
      <c r="O151" s="1360">
        <v>0</v>
      </c>
      <c r="P151" s="1360">
        <v>0</v>
      </c>
      <c r="Q151" s="1361">
        <v>0</v>
      </c>
      <c r="R151" s="1361">
        <v>0</v>
      </c>
    </row>
    <row r="152" spans="1:18" ht="11.25" hidden="1" customHeight="1" x14ac:dyDescent="0.25">
      <c r="A152" s="1364" t="s">
        <v>2210</v>
      </c>
      <c r="B152" s="1372" t="s">
        <v>2210</v>
      </c>
      <c r="C152" s="1356" t="s">
        <v>2027</v>
      </c>
      <c r="D152" s="1356"/>
      <c r="E152" s="1357"/>
      <c r="F152" s="1357"/>
      <c r="G152" s="1355" t="s">
        <v>2162</v>
      </c>
      <c r="H152" s="1357" t="s">
        <v>764</v>
      </c>
      <c r="I152" s="1358" t="s">
        <v>1596</v>
      </c>
      <c r="J152" s="1355">
        <v>17</v>
      </c>
      <c r="K152" s="1356" t="s">
        <v>2027</v>
      </c>
      <c r="L152" s="1356" t="s">
        <v>2027</v>
      </c>
      <c r="M152" s="607">
        <v>2000000</v>
      </c>
      <c r="N152" s="608">
        <v>2000000</v>
      </c>
      <c r="O152" s="1360">
        <v>216582.49615970725</v>
      </c>
      <c r="P152" s="1360">
        <v>216582.49615970725</v>
      </c>
      <c r="Q152" s="1361"/>
      <c r="R152" s="1361"/>
    </row>
    <row r="153" spans="1:18" ht="11.25" hidden="1" customHeight="1" x14ac:dyDescent="0.25">
      <c r="A153" s="1364" t="s">
        <v>2211</v>
      </c>
      <c r="B153" s="1372" t="s">
        <v>2211</v>
      </c>
      <c r="C153" s="1356" t="s">
        <v>2027</v>
      </c>
      <c r="D153" s="1356"/>
      <c r="E153" s="1357"/>
      <c r="F153" s="1357"/>
      <c r="G153" s="1355" t="s">
        <v>2162</v>
      </c>
      <c r="H153" s="1357" t="s">
        <v>764</v>
      </c>
      <c r="I153" s="1358" t="s">
        <v>1596</v>
      </c>
      <c r="J153" s="1355" t="s">
        <v>2192</v>
      </c>
      <c r="K153" s="1356" t="s">
        <v>2027</v>
      </c>
      <c r="L153" s="1356" t="s">
        <v>2027</v>
      </c>
      <c r="M153" s="607">
        <v>130000000</v>
      </c>
      <c r="N153" s="608">
        <v>87000000</v>
      </c>
      <c r="O153" s="1360">
        <v>30000000</v>
      </c>
      <c r="P153" s="1360">
        <v>30000000</v>
      </c>
      <c r="Q153" s="1361">
        <v>0</v>
      </c>
      <c r="R153" s="1361">
        <v>0</v>
      </c>
    </row>
    <row r="154" spans="1:18" ht="11.25" hidden="1" customHeight="1" x14ac:dyDescent="0.25">
      <c r="A154" s="1364" t="s">
        <v>2212</v>
      </c>
      <c r="B154" s="1372" t="s">
        <v>2212</v>
      </c>
      <c r="C154" s="1356" t="s">
        <v>2027</v>
      </c>
      <c r="D154" s="1356"/>
      <c r="E154" s="1357"/>
      <c r="F154" s="1357"/>
      <c r="G154" s="1355" t="s">
        <v>2162</v>
      </c>
      <c r="H154" s="1357" t="s">
        <v>764</v>
      </c>
      <c r="I154" s="1358" t="s">
        <v>1596</v>
      </c>
      <c r="J154" s="1355" t="s">
        <v>2213</v>
      </c>
      <c r="K154" s="1356" t="s">
        <v>2027</v>
      </c>
      <c r="L154" s="1356" t="s">
        <v>2027</v>
      </c>
      <c r="M154" s="607">
        <v>0</v>
      </c>
      <c r="N154" s="608">
        <v>0</v>
      </c>
      <c r="O154" s="1360">
        <v>0</v>
      </c>
      <c r="P154" s="1360">
        <v>0</v>
      </c>
      <c r="Q154" s="1361">
        <v>0</v>
      </c>
      <c r="R154" s="1361">
        <v>0</v>
      </c>
    </row>
    <row r="155" spans="1:18" ht="11.25" hidden="1" customHeight="1" x14ac:dyDescent="0.25">
      <c r="A155" s="1364" t="s">
        <v>2214</v>
      </c>
      <c r="B155" s="1372" t="s">
        <v>2214</v>
      </c>
      <c r="C155" s="1356" t="s">
        <v>2027</v>
      </c>
      <c r="D155" s="1356"/>
      <c r="E155" s="1357"/>
      <c r="F155" s="1357"/>
      <c r="G155" s="1355" t="s">
        <v>2162</v>
      </c>
      <c r="H155" s="1357" t="s">
        <v>764</v>
      </c>
      <c r="I155" s="1358" t="s">
        <v>1596</v>
      </c>
      <c r="J155" s="1355" t="s">
        <v>2215</v>
      </c>
      <c r="K155" s="1356" t="s">
        <v>2027</v>
      </c>
      <c r="L155" s="1356" t="s">
        <v>2027</v>
      </c>
      <c r="M155" s="607">
        <v>0</v>
      </c>
      <c r="N155" s="608">
        <v>0</v>
      </c>
      <c r="O155" s="1360">
        <v>0</v>
      </c>
      <c r="P155" s="1360">
        <v>0</v>
      </c>
      <c r="Q155" s="1361">
        <v>0</v>
      </c>
      <c r="R155" s="1361">
        <v>0</v>
      </c>
    </row>
    <row r="156" spans="1:18" ht="11.25" hidden="1" customHeight="1" x14ac:dyDescent="0.25">
      <c r="A156" s="1364" t="s">
        <v>2216</v>
      </c>
      <c r="B156" s="1372" t="s">
        <v>2216</v>
      </c>
      <c r="C156" s="1356" t="s">
        <v>2027</v>
      </c>
      <c r="D156" s="1356"/>
      <c r="E156" s="1357"/>
      <c r="F156" s="1357"/>
      <c r="G156" s="1355" t="s">
        <v>2162</v>
      </c>
      <c r="H156" s="1357" t="s">
        <v>764</v>
      </c>
      <c r="I156" s="1358" t="s">
        <v>1596</v>
      </c>
      <c r="J156" s="1355" t="s">
        <v>2217</v>
      </c>
      <c r="K156" s="1356" t="s">
        <v>2027</v>
      </c>
      <c r="L156" s="1356" t="s">
        <v>2027</v>
      </c>
      <c r="M156" s="607">
        <v>90000000</v>
      </c>
      <c r="N156" s="608">
        <v>90000000</v>
      </c>
      <c r="O156" s="1360">
        <v>0</v>
      </c>
      <c r="P156" s="1360">
        <v>0</v>
      </c>
      <c r="Q156" s="1361">
        <v>0</v>
      </c>
      <c r="R156" s="1361">
        <v>0</v>
      </c>
    </row>
    <row r="157" spans="1:18" ht="11.25" hidden="1" customHeight="1" x14ac:dyDescent="0.25">
      <c r="A157" s="1364" t="s">
        <v>2218</v>
      </c>
      <c r="B157" s="1372" t="s">
        <v>2218</v>
      </c>
      <c r="C157" s="1356" t="s">
        <v>2027</v>
      </c>
      <c r="D157" s="1356"/>
      <c r="E157" s="1357"/>
      <c r="F157" s="1357"/>
      <c r="G157" s="1355" t="s">
        <v>2162</v>
      </c>
      <c r="H157" s="1357" t="s">
        <v>764</v>
      </c>
      <c r="I157" s="1358" t="s">
        <v>1596</v>
      </c>
      <c r="J157" s="1355" t="s">
        <v>2219</v>
      </c>
      <c r="K157" s="1356" t="s">
        <v>2027</v>
      </c>
      <c r="L157" s="1356" t="s">
        <v>2027</v>
      </c>
      <c r="M157" s="607">
        <v>64157000</v>
      </c>
      <c r="N157" s="608">
        <v>30846000</v>
      </c>
      <c r="O157" s="1360">
        <v>32353620</v>
      </c>
      <c r="P157" s="1360">
        <v>32353620</v>
      </c>
      <c r="Q157" s="1361">
        <v>0</v>
      </c>
      <c r="R157" s="1361">
        <v>0</v>
      </c>
    </row>
    <row r="158" spans="1:18" ht="11.25" customHeight="1" x14ac:dyDescent="0.25">
      <c r="A158" s="1364" t="s">
        <v>2220</v>
      </c>
      <c r="B158" s="1372" t="s">
        <v>2220</v>
      </c>
      <c r="C158" s="1356" t="s">
        <v>2027</v>
      </c>
      <c r="D158" s="1356"/>
      <c r="E158" s="1357"/>
      <c r="F158" s="1357"/>
      <c r="G158" s="1355" t="s">
        <v>2162</v>
      </c>
      <c r="H158" s="1357" t="s">
        <v>764</v>
      </c>
      <c r="I158" s="1358" t="s">
        <v>1577</v>
      </c>
      <c r="J158" s="1355" t="s">
        <v>2221</v>
      </c>
      <c r="K158" s="1356" t="s">
        <v>2027</v>
      </c>
      <c r="L158" s="1356" t="s">
        <v>2027</v>
      </c>
      <c r="M158" s="607">
        <v>0</v>
      </c>
      <c r="N158" s="608">
        <v>0</v>
      </c>
      <c r="O158" s="1360">
        <v>324873.74423956085</v>
      </c>
      <c r="P158" s="1360">
        <v>324873.74423956085</v>
      </c>
      <c r="Q158" s="1361">
        <v>470106.12289426022</v>
      </c>
      <c r="R158" s="1361">
        <v>470106.12289426022</v>
      </c>
    </row>
    <row r="159" spans="1:18" ht="11.25" customHeight="1" x14ac:dyDescent="0.25">
      <c r="A159" s="1364" t="s">
        <v>2222</v>
      </c>
      <c r="B159" s="1372" t="s">
        <v>2222</v>
      </c>
      <c r="C159" s="1356" t="s">
        <v>2027</v>
      </c>
      <c r="D159" s="1356"/>
      <c r="E159" s="1357"/>
      <c r="F159" s="1357"/>
      <c r="G159" s="1355" t="s">
        <v>2162</v>
      </c>
      <c r="H159" s="1357" t="s">
        <v>764</v>
      </c>
      <c r="I159" s="1358" t="s">
        <v>1577</v>
      </c>
      <c r="J159" s="1355" t="s">
        <v>2223</v>
      </c>
      <c r="K159" s="1356" t="s">
        <v>2027</v>
      </c>
      <c r="L159" s="1356" t="s">
        <v>2027</v>
      </c>
      <c r="M159" s="607">
        <v>0</v>
      </c>
      <c r="N159" s="608">
        <v>1500000</v>
      </c>
      <c r="O159" s="1360">
        <v>1369537.012753343</v>
      </c>
      <c r="P159" s="1360">
        <v>1369537.012753343</v>
      </c>
      <c r="Q159" s="1361">
        <v>2350530.614471301</v>
      </c>
      <c r="R159" s="1361">
        <v>2350530.614471301</v>
      </c>
    </row>
    <row r="160" spans="1:18" ht="11.25" customHeight="1" x14ac:dyDescent="0.25">
      <c r="A160" s="1364" t="s">
        <v>2224</v>
      </c>
      <c r="B160" s="1372" t="s">
        <v>2224</v>
      </c>
      <c r="C160" s="1356" t="s">
        <v>2027</v>
      </c>
      <c r="D160" s="1356"/>
      <c r="E160" s="1357"/>
      <c r="F160" s="1357"/>
      <c r="G160" s="1355" t="s">
        <v>2162</v>
      </c>
      <c r="H160" s="1357" t="s">
        <v>764</v>
      </c>
      <c r="I160" s="1358" t="s">
        <v>1577</v>
      </c>
      <c r="J160" s="1355" t="s">
        <v>2225</v>
      </c>
      <c r="K160" s="1356" t="s">
        <v>2027</v>
      </c>
      <c r="L160" s="1356" t="s">
        <v>2027</v>
      </c>
      <c r="M160" s="607">
        <v>0</v>
      </c>
      <c r="N160" s="608">
        <v>0</v>
      </c>
      <c r="O160" s="1360">
        <v>782592.578716196</v>
      </c>
      <c r="P160" s="1360">
        <v>782592.578716196</v>
      </c>
      <c r="Q160" s="1361">
        <v>1305850.3413729449</v>
      </c>
      <c r="R160" s="1361">
        <v>1305850.3413729449</v>
      </c>
    </row>
    <row r="161" spans="1:18" ht="11.25" customHeight="1" x14ac:dyDescent="0.25">
      <c r="A161" s="1364" t="s">
        <v>2226</v>
      </c>
      <c r="B161" s="1372" t="s">
        <v>2226</v>
      </c>
      <c r="C161" s="1356" t="s">
        <v>2027</v>
      </c>
      <c r="D161" s="1356"/>
      <c r="E161" s="1357"/>
      <c r="F161" s="1357"/>
      <c r="G161" s="1355" t="s">
        <v>2162</v>
      </c>
      <c r="H161" s="1357" t="s">
        <v>764</v>
      </c>
      <c r="I161" s="1358" t="s">
        <v>1577</v>
      </c>
      <c r="J161" s="1355" t="s">
        <v>2041</v>
      </c>
      <c r="K161" s="1356" t="s">
        <v>2027</v>
      </c>
      <c r="L161" s="1356" t="s">
        <v>2027</v>
      </c>
      <c r="M161" s="607">
        <v>0</v>
      </c>
      <c r="N161" s="608">
        <v>0</v>
      </c>
      <c r="O161" s="1360">
        <v>978240.72339524503</v>
      </c>
      <c r="P161" s="1360">
        <v>978240.72339524503</v>
      </c>
      <c r="Q161" s="1361">
        <v>1567020.4096475299</v>
      </c>
      <c r="R161" s="1361">
        <v>1567020.4096475299</v>
      </c>
    </row>
    <row r="162" spans="1:18" ht="11.25" customHeight="1" x14ac:dyDescent="0.25">
      <c r="A162" s="1364" t="s">
        <v>2227</v>
      </c>
      <c r="B162" s="1372" t="s">
        <v>2227</v>
      </c>
      <c r="C162" s="1356" t="s">
        <v>2027</v>
      </c>
      <c r="D162" s="1356"/>
      <c r="E162" s="1357"/>
      <c r="F162" s="1357"/>
      <c r="G162" s="1355" t="s">
        <v>2162</v>
      </c>
      <c r="H162" s="1357" t="s">
        <v>764</v>
      </c>
      <c r="I162" s="1358" t="s">
        <v>1577</v>
      </c>
      <c r="J162" s="1355" t="s">
        <v>2228</v>
      </c>
      <c r="K162" s="1356" t="s">
        <v>2027</v>
      </c>
      <c r="L162" s="1356" t="s">
        <v>2027</v>
      </c>
      <c r="M162" s="607">
        <v>0</v>
      </c>
      <c r="N162" s="608">
        <v>0</v>
      </c>
      <c r="O162" s="1360">
        <v>1076064.7957347694</v>
      </c>
      <c r="P162" s="1360">
        <v>1076064.7957347694</v>
      </c>
      <c r="Q162" s="1361">
        <v>1828190.4779221229</v>
      </c>
      <c r="R162" s="1361">
        <v>1828190.4779221229</v>
      </c>
    </row>
    <row r="163" spans="1:18" ht="11.25" customHeight="1" x14ac:dyDescent="0.25">
      <c r="A163" s="1364" t="s">
        <v>2229</v>
      </c>
      <c r="B163" s="1372" t="s">
        <v>2229</v>
      </c>
      <c r="C163" s="1356" t="s">
        <v>2027</v>
      </c>
      <c r="D163" s="1356"/>
      <c r="E163" s="1357"/>
      <c r="F163" s="1357"/>
      <c r="G163" s="1355" t="s">
        <v>2162</v>
      </c>
      <c r="H163" s="1357" t="s">
        <v>764</v>
      </c>
      <c r="I163" s="1358" t="s">
        <v>1577</v>
      </c>
      <c r="J163" s="1355" t="s">
        <v>2230</v>
      </c>
      <c r="K163" s="1356" t="s">
        <v>2027</v>
      </c>
      <c r="L163" s="1356" t="s">
        <v>2027</v>
      </c>
      <c r="M163" s="607">
        <v>0</v>
      </c>
      <c r="N163" s="608">
        <v>0</v>
      </c>
      <c r="O163" s="1360">
        <v>978240.72339524503</v>
      </c>
      <c r="P163" s="1360">
        <v>978240.72339524503</v>
      </c>
      <c r="Q163" s="1361">
        <v>1828190.4779221229</v>
      </c>
      <c r="R163" s="1361">
        <v>1828190.4779221229</v>
      </c>
    </row>
    <row r="164" spans="1:18" ht="11.25" customHeight="1" x14ac:dyDescent="0.25">
      <c r="A164" s="1364" t="s">
        <v>2231</v>
      </c>
      <c r="B164" s="1372" t="s">
        <v>2231</v>
      </c>
      <c r="C164" s="1356" t="s">
        <v>2027</v>
      </c>
      <c r="D164" s="1356"/>
      <c r="E164" s="1357"/>
      <c r="F164" s="1357"/>
      <c r="G164" s="1355" t="s">
        <v>2162</v>
      </c>
      <c r="H164" s="1357" t="s">
        <v>764</v>
      </c>
      <c r="I164" s="1358" t="s">
        <v>1577</v>
      </c>
      <c r="J164" s="1355" t="s">
        <v>2041</v>
      </c>
      <c r="K164" s="1356" t="s">
        <v>2027</v>
      </c>
      <c r="L164" s="1356" t="s">
        <v>2027</v>
      </c>
      <c r="M164" s="607">
        <v>0</v>
      </c>
      <c r="N164" s="608">
        <v>0</v>
      </c>
      <c r="O164" s="1360">
        <v>1076064.7957347694</v>
      </c>
      <c r="P164" s="1360">
        <v>1076064.7957347694</v>
      </c>
      <c r="Q164" s="1361">
        <v>2611700.6827458898</v>
      </c>
      <c r="R164" s="1361">
        <v>2611700.6827458898</v>
      </c>
    </row>
    <row r="165" spans="1:18" ht="11.25" customHeight="1" x14ac:dyDescent="0.25">
      <c r="A165" s="1364" t="s">
        <v>2232</v>
      </c>
      <c r="B165" s="1372" t="s">
        <v>2232</v>
      </c>
      <c r="C165" s="1356" t="s">
        <v>2027</v>
      </c>
      <c r="D165" s="1356"/>
      <c r="E165" s="1357"/>
      <c r="F165" s="1357"/>
      <c r="G165" s="1355" t="s">
        <v>2162</v>
      </c>
      <c r="H165" s="1357" t="s">
        <v>764</v>
      </c>
      <c r="I165" s="1358" t="s">
        <v>1577</v>
      </c>
      <c r="J165" s="1355" t="s">
        <v>2228</v>
      </c>
      <c r="K165" s="1356" t="s">
        <v>2027</v>
      </c>
      <c r="L165" s="1356" t="s">
        <v>2027</v>
      </c>
      <c r="M165" s="607">
        <v>10500000</v>
      </c>
      <c r="N165" s="608">
        <v>21500000</v>
      </c>
      <c r="O165" s="1360">
        <v>1369537.0127533399</v>
      </c>
      <c r="P165" s="1360">
        <v>1369537.0127533399</v>
      </c>
      <c r="Q165" s="1361">
        <v>1958775.5120594176</v>
      </c>
      <c r="R165" s="1361">
        <v>1958775.5120594176</v>
      </c>
    </row>
    <row r="166" spans="1:18" ht="11.25" customHeight="1" x14ac:dyDescent="0.25">
      <c r="A166" s="1364" t="s">
        <v>2233</v>
      </c>
      <c r="B166" s="1372" t="s">
        <v>2233</v>
      </c>
      <c r="C166" s="1356" t="s">
        <v>2027</v>
      </c>
      <c r="D166" s="1356"/>
      <c r="E166" s="1357"/>
      <c r="F166" s="1357"/>
      <c r="G166" s="1355" t="s">
        <v>2162</v>
      </c>
      <c r="H166" s="1357" t="s">
        <v>764</v>
      </c>
      <c r="I166" s="1358" t="s">
        <v>1577</v>
      </c>
      <c r="J166" s="1355">
        <v>8</v>
      </c>
      <c r="K166" s="1356" t="s">
        <v>2027</v>
      </c>
      <c r="L166" s="1356" t="s">
        <v>2027</v>
      </c>
      <c r="M166" s="607">
        <v>0</v>
      </c>
      <c r="N166" s="608">
        <v>0</v>
      </c>
      <c r="O166" s="1360">
        <v>1565185.157432392</v>
      </c>
      <c r="P166" s="1360">
        <v>1565185.157432392</v>
      </c>
      <c r="Q166" s="1361">
        <v>2272179.5939889243</v>
      </c>
      <c r="R166" s="1361">
        <v>2272179.5939889243</v>
      </c>
    </row>
    <row r="167" spans="1:18" ht="11.25" customHeight="1" x14ac:dyDescent="0.25">
      <c r="A167" s="1364" t="s">
        <v>2234</v>
      </c>
      <c r="B167" s="1372" t="s">
        <v>2234</v>
      </c>
      <c r="C167" s="1356" t="s">
        <v>2027</v>
      </c>
      <c r="D167" s="1356"/>
      <c r="E167" s="1357"/>
      <c r="F167" s="1357"/>
      <c r="G167" s="1355" t="s">
        <v>2162</v>
      </c>
      <c r="H167" s="1357" t="s">
        <v>764</v>
      </c>
      <c r="I167" s="1358" t="s">
        <v>1577</v>
      </c>
      <c r="J167" s="1355">
        <v>23</v>
      </c>
      <c r="K167" s="1356" t="s">
        <v>2027</v>
      </c>
      <c r="L167" s="1356" t="s">
        <v>2027</v>
      </c>
      <c r="M167" s="607">
        <v>0</v>
      </c>
      <c r="N167" s="608">
        <v>0</v>
      </c>
      <c r="O167" s="1360">
        <v>1173888.8680742939</v>
      </c>
      <c r="P167" s="1360">
        <v>1173888.8680742939</v>
      </c>
      <c r="Q167" s="1361">
        <v>1567020.4096475339</v>
      </c>
      <c r="R167" s="1361">
        <v>1567020.4096475339</v>
      </c>
    </row>
    <row r="168" spans="1:18" ht="11.25" customHeight="1" x14ac:dyDescent="0.25">
      <c r="A168" s="1364" t="s">
        <v>2235</v>
      </c>
      <c r="B168" s="1372" t="s">
        <v>2235</v>
      </c>
      <c r="C168" s="1356" t="s">
        <v>2027</v>
      </c>
      <c r="D168" s="1356"/>
      <c r="E168" s="1357"/>
      <c r="F168" s="1357"/>
      <c r="G168" s="1355" t="s">
        <v>2162</v>
      </c>
      <c r="H168" s="1357" t="s">
        <v>764</v>
      </c>
      <c r="I168" s="1358" t="s">
        <v>1577</v>
      </c>
      <c r="J168" s="1355" t="s">
        <v>2228</v>
      </c>
      <c r="K168" s="1356" t="s">
        <v>2027</v>
      </c>
      <c r="L168" s="1356" t="s">
        <v>2027</v>
      </c>
      <c r="M168" s="607">
        <v>0</v>
      </c>
      <c r="N168" s="608">
        <v>2640000</v>
      </c>
      <c r="O168" s="1360">
        <v>293472.21701857349</v>
      </c>
      <c r="P168" s="1360">
        <v>293472.21701857349</v>
      </c>
      <c r="Q168" s="1361">
        <v>522340.13654917799</v>
      </c>
      <c r="R168" s="1361">
        <v>522340.13654917799</v>
      </c>
    </row>
    <row r="169" spans="1:18" ht="11.25" customHeight="1" x14ac:dyDescent="0.25">
      <c r="A169" s="1364" t="s">
        <v>2236</v>
      </c>
      <c r="B169" s="1372" t="s">
        <v>2236</v>
      </c>
      <c r="C169" s="1356" t="s">
        <v>2027</v>
      </c>
      <c r="D169" s="1356"/>
      <c r="E169" s="1357"/>
      <c r="F169" s="1357"/>
      <c r="G169" s="1355" t="s">
        <v>2162</v>
      </c>
      <c r="H169" s="1357" t="s">
        <v>764</v>
      </c>
      <c r="I169" s="1358" t="s">
        <v>1577</v>
      </c>
      <c r="J169" s="1355" t="s">
        <v>2237</v>
      </c>
      <c r="K169" s="1356" t="s">
        <v>2027</v>
      </c>
      <c r="L169" s="1356" t="s">
        <v>2027</v>
      </c>
      <c r="M169" s="607">
        <v>300000</v>
      </c>
      <c r="N169" s="608">
        <v>300000</v>
      </c>
      <c r="O169" s="1360">
        <v>1956481.4467904901</v>
      </c>
      <c r="P169" s="1360">
        <v>1956481.4467904901</v>
      </c>
      <c r="Q169" s="1361">
        <v>2742285.7168831844</v>
      </c>
      <c r="R169" s="1361">
        <v>2742285.7168831844</v>
      </c>
    </row>
    <row r="170" spans="1:18" ht="11.25" customHeight="1" x14ac:dyDescent="0.25">
      <c r="A170" s="1364" t="s">
        <v>2238</v>
      </c>
      <c r="B170" s="1372" t="s">
        <v>2238</v>
      </c>
      <c r="C170" s="1356" t="s">
        <v>2027</v>
      </c>
      <c r="D170" s="1356"/>
      <c r="E170" s="1357"/>
      <c r="F170" s="1357"/>
      <c r="G170" s="1355" t="s">
        <v>2162</v>
      </c>
      <c r="H170" s="1357" t="s">
        <v>764</v>
      </c>
      <c r="I170" s="1358" t="s">
        <v>1577</v>
      </c>
      <c r="J170" s="1355">
        <v>21</v>
      </c>
      <c r="K170" s="1356" t="s">
        <v>2027</v>
      </c>
      <c r="L170" s="1356" t="s">
        <v>2027</v>
      </c>
      <c r="M170" s="607">
        <v>5400867</v>
      </c>
      <c r="N170" s="608">
        <v>5400867</v>
      </c>
      <c r="O170" s="1360">
        <v>0</v>
      </c>
      <c r="P170" s="1360">
        <v>0</v>
      </c>
      <c r="Q170" s="1361">
        <v>0</v>
      </c>
      <c r="R170" s="1361">
        <v>0</v>
      </c>
    </row>
    <row r="171" spans="1:18" ht="11.25" customHeight="1" x14ac:dyDescent="0.25">
      <c r="A171" s="1364" t="s">
        <v>2239</v>
      </c>
      <c r="B171" s="1372" t="s">
        <v>2239</v>
      </c>
      <c r="C171" s="1356" t="s">
        <v>2027</v>
      </c>
      <c r="D171" s="1356"/>
      <c r="E171" s="1357"/>
      <c r="F171" s="1357"/>
      <c r="G171" s="1355" t="s">
        <v>2162</v>
      </c>
      <c r="H171" s="1357" t="s">
        <v>764</v>
      </c>
      <c r="I171" s="1358" t="s">
        <v>1577</v>
      </c>
      <c r="J171" s="1355">
        <v>21</v>
      </c>
      <c r="K171" s="1356" t="s">
        <v>2027</v>
      </c>
      <c r="L171" s="1356" t="s">
        <v>2027</v>
      </c>
      <c r="M171" s="607">
        <v>0</v>
      </c>
      <c r="N171" s="608">
        <v>6000000</v>
      </c>
      <c r="O171" s="1360">
        <v>1173888.8680742939</v>
      </c>
      <c r="P171" s="1360">
        <v>1173888.8680742939</v>
      </c>
      <c r="Q171" s="1361">
        <v>0</v>
      </c>
      <c r="R171" s="1361">
        <v>0</v>
      </c>
    </row>
    <row r="172" spans="1:18" ht="11.25" customHeight="1" x14ac:dyDescent="0.25">
      <c r="A172" s="1364" t="s">
        <v>2240</v>
      </c>
      <c r="B172" s="1372" t="s">
        <v>2240</v>
      </c>
      <c r="C172" s="1356" t="s">
        <v>2027</v>
      </c>
      <c r="D172" s="1356"/>
      <c r="E172" s="1357"/>
      <c r="F172" s="1357"/>
      <c r="G172" s="1355" t="s">
        <v>2162</v>
      </c>
      <c r="H172" s="1357" t="s">
        <v>764</v>
      </c>
      <c r="I172" s="1358" t="s">
        <v>1577</v>
      </c>
      <c r="J172" s="1355" t="s">
        <v>2241</v>
      </c>
      <c r="K172" s="1356" t="s">
        <v>2027</v>
      </c>
      <c r="L172" s="1356" t="s">
        <v>2027</v>
      </c>
      <c r="M172" s="607">
        <v>4000000</v>
      </c>
      <c r="N172" s="608">
        <v>4000000</v>
      </c>
      <c r="O172" s="1360">
        <v>293472.21701857349</v>
      </c>
      <c r="P172" s="1360">
        <v>293472.21701857349</v>
      </c>
      <c r="Q172" s="1361">
        <v>0</v>
      </c>
      <c r="R172" s="1361">
        <v>0</v>
      </c>
    </row>
    <row r="173" spans="1:18" ht="11.25" customHeight="1" x14ac:dyDescent="0.25">
      <c r="A173" s="1364" t="s">
        <v>2242</v>
      </c>
      <c r="B173" s="1372" t="s">
        <v>2242</v>
      </c>
      <c r="C173" s="1356" t="s">
        <v>2027</v>
      </c>
      <c r="D173" s="1356"/>
      <c r="E173" s="1357"/>
      <c r="F173" s="1357"/>
      <c r="G173" s="1355" t="s">
        <v>2162</v>
      </c>
      <c r="H173" s="1357" t="s">
        <v>764</v>
      </c>
      <c r="I173" s="1358" t="s">
        <v>1577</v>
      </c>
      <c r="J173" s="1355" t="s">
        <v>2243</v>
      </c>
      <c r="K173" s="1356" t="s">
        <v>2027</v>
      </c>
      <c r="L173" s="1356" t="s">
        <v>2027</v>
      </c>
      <c r="M173" s="607">
        <v>0</v>
      </c>
      <c r="N173" s="608">
        <v>6000000</v>
      </c>
      <c r="O173" s="1360">
        <v>978240.72339524503</v>
      </c>
      <c r="P173" s="1360">
        <v>978240.72339524503</v>
      </c>
      <c r="Q173" s="1361">
        <v>1436435.3755102395</v>
      </c>
      <c r="R173" s="1361">
        <v>1436435.3755102395</v>
      </c>
    </row>
    <row r="174" spans="1:18" ht="11.25" customHeight="1" x14ac:dyDescent="0.25">
      <c r="A174" s="1364" t="s">
        <v>2244</v>
      </c>
      <c r="B174" s="1372" t="s">
        <v>2244</v>
      </c>
      <c r="C174" s="1356" t="s">
        <v>2027</v>
      </c>
      <c r="D174" s="1356"/>
      <c r="E174" s="1357"/>
      <c r="F174" s="1357"/>
      <c r="G174" s="1355" t="s">
        <v>2162</v>
      </c>
      <c r="H174" s="1357" t="s">
        <v>764</v>
      </c>
      <c r="I174" s="1358" t="s">
        <v>1577</v>
      </c>
      <c r="J174" s="1355">
        <v>8</v>
      </c>
      <c r="K174" s="1356" t="s">
        <v>2027</v>
      </c>
      <c r="L174" s="1356" t="s">
        <v>2027</v>
      </c>
      <c r="M174" s="607">
        <v>0</v>
      </c>
      <c r="N174" s="608">
        <v>10000000</v>
      </c>
      <c r="O174" s="1360">
        <v>978240.72339524503</v>
      </c>
      <c r="P174" s="1360">
        <v>978240.72339524503</v>
      </c>
      <c r="Q174" s="1361">
        <v>1436435.3755102395</v>
      </c>
      <c r="R174" s="1361">
        <v>1436435.3755102395</v>
      </c>
    </row>
    <row r="175" spans="1:18" ht="11.25" customHeight="1" x14ac:dyDescent="0.25">
      <c r="A175" s="1364" t="s">
        <v>2245</v>
      </c>
      <c r="B175" s="1372" t="s">
        <v>2245</v>
      </c>
      <c r="C175" s="1356" t="s">
        <v>2027</v>
      </c>
      <c r="D175" s="1356"/>
      <c r="E175" s="1357"/>
      <c r="F175" s="1357"/>
      <c r="G175" s="1355" t="s">
        <v>2162</v>
      </c>
      <c r="H175" s="1357" t="s">
        <v>764</v>
      </c>
      <c r="I175" s="1358" t="s">
        <v>1577</v>
      </c>
      <c r="J175" s="1355" t="s">
        <v>2246</v>
      </c>
      <c r="K175" s="1356" t="s">
        <v>2027</v>
      </c>
      <c r="L175" s="1356" t="s">
        <v>2027</v>
      </c>
      <c r="M175" s="607">
        <v>0</v>
      </c>
      <c r="N175" s="608">
        <v>0</v>
      </c>
      <c r="O175" s="1360">
        <v>1928602.5264618902</v>
      </c>
      <c r="P175" s="1360">
        <v>1928602.5264618902</v>
      </c>
      <c r="Q175" s="1361">
        <v>587632.82344976068</v>
      </c>
      <c r="R175" s="1361">
        <v>587632.82344976068</v>
      </c>
    </row>
    <row r="176" spans="1:18" ht="11.25" customHeight="1" x14ac:dyDescent="0.25">
      <c r="A176" s="1364" t="s">
        <v>2247</v>
      </c>
      <c r="B176" s="1372" t="s">
        <v>2247</v>
      </c>
      <c r="C176" s="1356" t="s">
        <v>2027</v>
      </c>
      <c r="D176" s="1356"/>
      <c r="E176" s="1357"/>
      <c r="F176" s="1357"/>
      <c r="G176" s="1355" t="s">
        <v>2162</v>
      </c>
      <c r="H176" s="1357" t="s">
        <v>764</v>
      </c>
      <c r="I176" s="1358" t="s">
        <v>1577</v>
      </c>
      <c r="J176" s="1355" t="s">
        <v>2237</v>
      </c>
      <c r="K176" s="1356" t="s">
        <v>2027</v>
      </c>
      <c r="L176" s="1356" t="s">
        <v>2027</v>
      </c>
      <c r="M176" s="607">
        <v>0</v>
      </c>
      <c r="N176" s="608">
        <v>0</v>
      </c>
      <c r="O176" s="1360">
        <v>1369537.012753343</v>
      </c>
      <c r="P176" s="1360">
        <v>1369537.012753343</v>
      </c>
      <c r="Q176" s="1361">
        <v>0</v>
      </c>
      <c r="R176" s="1361">
        <v>0</v>
      </c>
    </row>
    <row r="177" spans="1:18" ht="11.25" customHeight="1" x14ac:dyDescent="0.25">
      <c r="A177" s="1364" t="s">
        <v>2248</v>
      </c>
      <c r="B177" s="1372" t="s">
        <v>2248</v>
      </c>
      <c r="C177" s="1356" t="s">
        <v>2027</v>
      </c>
      <c r="D177" s="1356"/>
      <c r="E177" s="1357"/>
      <c r="F177" s="1357"/>
      <c r="G177" s="1355" t="s">
        <v>2162</v>
      </c>
      <c r="H177" s="1357" t="s">
        <v>764</v>
      </c>
      <c r="I177" s="1358" t="s">
        <v>1577</v>
      </c>
      <c r="J177" s="1355" t="s">
        <v>2249</v>
      </c>
      <c r="K177" s="1356" t="s">
        <v>2027</v>
      </c>
      <c r="L177" s="1356" t="s">
        <v>2027</v>
      </c>
      <c r="M177" s="607">
        <v>0</v>
      </c>
      <c r="N177" s="608">
        <v>0</v>
      </c>
      <c r="O177" s="1360">
        <v>1082912.4807985362</v>
      </c>
      <c r="P177" s="1360">
        <v>1082912.4807985362</v>
      </c>
      <c r="Q177" s="1361">
        <v>783510.20482376695</v>
      </c>
      <c r="R177" s="1361">
        <v>783510.20482376695</v>
      </c>
    </row>
    <row r="178" spans="1:18" ht="11.25" customHeight="1" x14ac:dyDescent="0.25">
      <c r="A178" s="1364" t="s">
        <v>2250</v>
      </c>
      <c r="B178" s="1372" t="s">
        <v>2250</v>
      </c>
      <c r="C178" s="1356" t="s">
        <v>2027</v>
      </c>
      <c r="D178" s="1356"/>
      <c r="E178" s="1357"/>
      <c r="F178" s="1357"/>
      <c r="G178" s="1355" t="s">
        <v>2162</v>
      </c>
      <c r="H178" s="1357" t="s">
        <v>764</v>
      </c>
      <c r="I178" s="1358" t="s">
        <v>1577</v>
      </c>
      <c r="J178" s="1355" t="s">
        <v>2251</v>
      </c>
      <c r="K178" s="1356" t="s">
        <v>2027</v>
      </c>
      <c r="L178" s="1356" t="s">
        <v>2027</v>
      </c>
      <c r="M178" s="607">
        <v>0</v>
      </c>
      <c r="N178" s="608">
        <v>0</v>
      </c>
      <c r="O178" s="1360">
        <v>1187584.2382018275</v>
      </c>
      <c r="P178" s="1360">
        <v>1187584.2382018275</v>
      </c>
      <c r="Q178" s="1361">
        <v>1828190.4779221229</v>
      </c>
      <c r="R178" s="1361">
        <v>1828190.4779221229</v>
      </c>
    </row>
    <row r="179" spans="1:18" ht="11.25" customHeight="1" x14ac:dyDescent="0.25">
      <c r="A179" s="1364" t="s">
        <v>2252</v>
      </c>
      <c r="B179" s="1372" t="s">
        <v>2252</v>
      </c>
      <c r="C179" s="1356" t="s">
        <v>2027</v>
      </c>
      <c r="D179" s="1356"/>
      <c r="E179" s="1357"/>
      <c r="F179" s="1357"/>
      <c r="G179" s="1355" t="s">
        <v>2162</v>
      </c>
      <c r="H179" s="1357" t="s">
        <v>764</v>
      </c>
      <c r="I179" s="1358" t="s">
        <v>1577</v>
      </c>
      <c r="J179" s="1355" t="s">
        <v>2253</v>
      </c>
      <c r="K179" s="1356" t="s">
        <v>2027</v>
      </c>
      <c r="L179" s="1356" t="s">
        <v>2027</v>
      </c>
      <c r="M179" s="607">
        <v>0</v>
      </c>
      <c r="N179" s="608">
        <v>0</v>
      </c>
      <c r="O179" s="1360">
        <v>721941.65386569081</v>
      </c>
      <c r="P179" s="1360">
        <v>721941.65386569081</v>
      </c>
      <c r="Q179" s="1361">
        <v>1096914.2867532738</v>
      </c>
      <c r="R179" s="1361">
        <v>1096914.2867532738</v>
      </c>
    </row>
    <row r="180" spans="1:18" ht="11.25" customHeight="1" x14ac:dyDescent="0.25">
      <c r="A180" s="1364" t="s">
        <v>2254</v>
      </c>
      <c r="B180" s="1372" t="s">
        <v>2254</v>
      </c>
      <c r="C180" s="1356" t="s">
        <v>2027</v>
      </c>
      <c r="D180" s="1356"/>
      <c r="E180" s="1357"/>
      <c r="F180" s="1357"/>
      <c r="G180" s="1355" t="s">
        <v>2162</v>
      </c>
      <c r="H180" s="1357" t="s">
        <v>764</v>
      </c>
      <c r="I180" s="1358" t="s">
        <v>1577</v>
      </c>
      <c r="J180" s="1355" t="s">
        <v>2255</v>
      </c>
      <c r="K180" s="1356" t="s">
        <v>2027</v>
      </c>
      <c r="L180" s="1356" t="s">
        <v>2027</v>
      </c>
      <c r="M180" s="607">
        <v>0</v>
      </c>
      <c r="N180" s="608">
        <v>0</v>
      </c>
      <c r="O180" s="1360">
        <v>880416.65105572052</v>
      </c>
      <c r="P180" s="1360">
        <v>880416.65105572052</v>
      </c>
      <c r="Q180" s="1361">
        <v>1305850.3413729449</v>
      </c>
      <c r="R180" s="1361">
        <v>1305850.3413729449</v>
      </c>
    </row>
    <row r="181" spans="1:18" ht="11.25" customHeight="1" x14ac:dyDescent="0.25">
      <c r="A181" s="1364" t="s">
        <v>2256</v>
      </c>
      <c r="B181" s="1372" t="s">
        <v>2256</v>
      </c>
      <c r="C181" s="1356" t="s">
        <v>2027</v>
      </c>
      <c r="D181" s="1356"/>
      <c r="E181" s="1357"/>
      <c r="F181" s="1357"/>
      <c r="G181" s="1355" t="s">
        <v>2162</v>
      </c>
      <c r="H181" s="1357" t="s">
        <v>764</v>
      </c>
      <c r="I181" s="1358" t="s">
        <v>1577</v>
      </c>
      <c r="J181" s="1355" t="s">
        <v>2257</v>
      </c>
      <c r="K181" s="1356" t="s">
        <v>2027</v>
      </c>
      <c r="L181" s="1356" t="s">
        <v>2027</v>
      </c>
      <c r="M181" s="607">
        <v>0</v>
      </c>
      <c r="N181" s="608">
        <v>0</v>
      </c>
      <c r="O181" s="1360">
        <v>1271712.9404138185</v>
      </c>
      <c r="P181" s="1360">
        <v>1271712.9404138185</v>
      </c>
      <c r="Q181" s="1361">
        <v>522340.13654917799</v>
      </c>
      <c r="R181" s="1361">
        <v>522340.13654917799</v>
      </c>
    </row>
    <row r="182" spans="1:18" ht="11.25" customHeight="1" x14ac:dyDescent="0.25">
      <c r="A182" s="1364" t="s">
        <v>2258</v>
      </c>
      <c r="B182" s="1372" t="s">
        <v>2258</v>
      </c>
      <c r="C182" s="1356" t="s">
        <v>2027</v>
      </c>
      <c r="D182" s="1356"/>
      <c r="E182" s="1357"/>
      <c r="F182" s="1357"/>
      <c r="G182" s="1355" t="s">
        <v>2162</v>
      </c>
      <c r="H182" s="1357" t="s">
        <v>764</v>
      </c>
      <c r="I182" s="1358" t="s">
        <v>1577</v>
      </c>
      <c r="J182" s="1355" t="s">
        <v>2259</v>
      </c>
      <c r="K182" s="1356" t="s">
        <v>2027</v>
      </c>
      <c r="L182" s="1356" t="s">
        <v>2027</v>
      </c>
      <c r="M182" s="607">
        <v>0</v>
      </c>
      <c r="N182" s="608">
        <v>0</v>
      </c>
      <c r="O182" s="1360">
        <v>947360.98977611668</v>
      </c>
      <c r="P182" s="1360">
        <v>947360.98977611668</v>
      </c>
      <c r="Q182" s="1361">
        <v>1305850.3413729449</v>
      </c>
      <c r="R182" s="1361">
        <v>1305850.3413729449</v>
      </c>
    </row>
    <row r="183" spans="1:18" ht="11.25" customHeight="1" x14ac:dyDescent="0.25">
      <c r="A183" s="1364" t="s">
        <v>2260</v>
      </c>
      <c r="B183" s="1372" t="s">
        <v>2260</v>
      </c>
      <c r="C183" s="1356" t="s">
        <v>2027</v>
      </c>
      <c r="D183" s="1356"/>
      <c r="E183" s="1357"/>
      <c r="F183" s="1357"/>
      <c r="G183" s="1355" t="s">
        <v>2162</v>
      </c>
      <c r="H183" s="1357" t="s">
        <v>764</v>
      </c>
      <c r="I183" s="1358" t="s">
        <v>1577</v>
      </c>
      <c r="J183" s="1355" t="s">
        <v>2259</v>
      </c>
      <c r="K183" s="1356" t="s">
        <v>2027</v>
      </c>
      <c r="L183" s="1356" t="s">
        <v>2027</v>
      </c>
      <c r="M183" s="607">
        <v>0</v>
      </c>
      <c r="N183" s="608">
        <v>0</v>
      </c>
      <c r="O183" s="1360">
        <v>947360.79412797198</v>
      </c>
      <c r="P183" s="1360">
        <v>947360.79412797198</v>
      </c>
      <c r="Q183" s="1361">
        <v>1305850.3413729449</v>
      </c>
      <c r="R183" s="1361">
        <v>1305850.3413729449</v>
      </c>
    </row>
    <row r="184" spans="1:18" ht="11.25" customHeight="1" x14ac:dyDescent="0.25">
      <c r="A184" s="1364" t="s">
        <v>2261</v>
      </c>
      <c r="B184" s="1372" t="s">
        <v>2261</v>
      </c>
      <c r="C184" s="1356" t="s">
        <v>2027</v>
      </c>
      <c r="D184" s="1356"/>
      <c r="E184" s="1357"/>
      <c r="F184" s="1357"/>
      <c r="G184" s="1355" t="s">
        <v>2162</v>
      </c>
      <c r="H184" s="1357" t="s">
        <v>764</v>
      </c>
      <c r="I184" s="1358" t="s">
        <v>1577</v>
      </c>
      <c r="J184" s="1355" t="s">
        <v>2259</v>
      </c>
      <c r="K184" s="1356" t="s">
        <v>2027</v>
      </c>
      <c r="L184" s="1356" t="s">
        <v>2027</v>
      </c>
      <c r="M184" s="607">
        <v>0</v>
      </c>
      <c r="N184" s="608">
        <v>0</v>
      </c>
      <c r="O184" s="1360">
        <v>947360.79412797198</v>
      </c>
      <c r="P184" s="1360">
        <v>947360.79412797198</v>
      </c>
      <c r="Q184" s="1361">
        <v>1305850.3413729449</v>
      </c>
      <c r="R184" s="1361">
        <v>1305850.3413729449</v>
      </c>
    </row>
    <row r="185" spans="1:18" ht="11.25" customHeight="1" x14ac:dyDescent="0.25">
      <c r="A185" s="1364" t="s">
        <v>2262</v>
      </c>
      <c r="B185" s="1372" t="s">
        <v>2262</v>
      </c>
      <c r="C185" s="1356" t="s">
        <v>2027</v>
      </c>
      <c r="D185" s="1356"/>
      <c r="E185" s="1357"/>
      <c r="F185" s="1357"/>
      <c r="G185" s="1355" t="s">
        <v>2162</v>
      </c>
      <c r="H185" s="1357" t="s">
        <v>764</v>
      </c>
      <c r="I185" s="1358" t="s">
        <v>1577</v>
      </c>
      <c r="J185" s="1355" t="s">
        <v>2263</v>
      </c>
      <c r="K185" s="1356" t="s">
        <v>2027</v>
      </c>
      <c r="L185" s="1356" t="s">
        <v>2027</v>
      </c>
      <c r="M185" s="607">
        <v>0</v>
      </c>
      <c r="N185" s="608">
        <v>10000000</v>
      </c>
      <c r="O185" s="1360">
        <v>0</v>
      </c>
      <c r="P185" s="1360">
        <v>0</v>
      </c>
      <c r="Q185" s="1361">
        <v>0</v>
      </c>
      <c r="R185" s="1361">
        <v>0</v>
      </c>
    </row>
    <row r="186" spans="1:18" ht="11.25" customHeight="1" x14ac:dyDescent="0.25">
      <c r="A186" s="1364" t="s">
        <v>2264</v>
      </c>
      <c r="B186" s="1372" t="s">
        <v>2264</v>
      </c>
      <c r="C186" s="1356" t="s">
        <v>2027</v>
      </c>
      <c r="D186" s="1356"/>
      <c r="E186" s="1357"/>
      <c r="F186" s="1357"/>
      <c r="G186" s="1355" t="s">
        <v>2162</v>
      </c>
      <c r="H186" s="1357" t="s">
        <v>764</v>
      </c>
      <c r="I186" s="1358" t="s">
        <v>1577</v>
      </c>
      <c r="J186" s="1355" t="s">
        <v>2243</v>
      </c>
      <c r="K186" s="1356" t="s">
        <v>2027</v>
      </c>
      <c r="L186" s="1356" t="s">
        <v>2027</v>
      </c>
      <c r="M186" s="607">
        <v>0</v>
      </c>
      <c r="N186" s="608">
        <v>0</v>
      </c>
      <c r="O186" s="1360">
        <v>978240.72339524503</v>
      </c>
      <c r="P186" s="1360">
        <v>978240.72339524503</v>
      </c>
      <c r="Q186" s="1361">
        <v>1436435.3755102395</v>
      </c>
      <c r="R186" s="1361">
        <v>1436435.3755102395</v>
      </c>
    </row>
    <row r="187" spans="1:18" ht="11.25" customHeight="1" x14ac:dyDescent="0.25">
      <c r="A187" s="1364" t="s">
        <v>2265</v>
      </c>
      <c r="B187" s="1372" t="s">
        <v>2265</v>
      </c>
      <c r="C187" s="1356" t="s">
        <v>2027</v>
      </c>
      <c r="D187" s="1356"/>
      <c r="E187" s="1357"/>
      <c r="F187" s="1357"/>
      <c r="G187" s="1355" t="s">
        <v>2162</v>
      </c>
      <c r="H187" s="1357" t="s">
        <v>764</v>
      </c>
      <c r="I187" s="1358" t="s">
        <v>1577</v>
      </c>
      <c r="J187" s="1355" t="s">
        <v>2243</v>
      </c>
      <c r="K187" s="1356" t="s">
        <v>2027</v>
      </c>
      <c r="L187" s="1356" t="s">
        <v>2027</v>
      </c>
      <c r="M187" s="607">
        <v>0</v>
      </c>
      <c r="N187" s="608">
        <v>0</v>
      </c>
      <c r="O187" s="1360">
        <v>0</v>
      </c>
      <c r="P187" s="1360">
        <v>0</v>
      </c>
      <c r="Q187" s="1361">
        <v>783510.20482376695</v>
      </c>
      <c r="R187" s="1361">
        <v>783510.20482376695</v>
      </c>
    </row>
    <row r="188" spans="1:18" ht="11.25" customHeight="1" x14ac:dyDescent="0.25">
      <c r="A188" s="1364" t="s">
        <v>2266</v>
      </c>
      <c r="B188" s="1372" t="s">
        <v>2266</v>
      </c>
      <c r="C188" s="1356" t="s">
        <v>2027</v>
      </c>
      <c r="D188" s="1356"/>
      <c r="E188" s="1357"/>
      <c r="F188" s="1357"/>
      <c r="G188" s="1355" t="s">
        <v>2162</v>
      </c>
      <c r="H188" s="1357" t="s">
        <v>764</v>
      </c>
      <c r="I188" s="1358" t="s">
        <v>1577</v>
      </c>
      <c r="J188" s="1355" t="s">
        <v>2267</v>
      </c>
      <c r="K188" s="1356" t="s">
        <v>2027</v>
      </c>
      <c r="L188" s="1356" t="s">
        <v>2027</v>
      </c>
      <c r="M188" s="607">
        <v>0</v>
      </c>
      <c r="N188" s="608">
        <v>0</v>
      </c>
      <c r="O188" s="1360">
        <v>0</v>
      </c>
      <c r="P188" s="1360">
        <v>0</v>
      </c>
      <c r="Q188" s="1361">
        <v>783510.20482376695</v>
      </c>
      <c r="R188" s="1361">
        <v>783510.20482376695</v>
      </c>
    </row>
    <row r="189" spans="1:18" ht="11.25" hidden="1" customHeight="1" x14ac:dyDescent="0.25">
      <c r="A189" s="1364" t="s">
        <v>2268</v>
      </c>
      <c r="B189" s="1372" t="s">
        <v>2268</v>
      </c>
      <c r="C189" s="1356" t="s">
        <v>2027</v>
      </c>
      <c r="D189" s="1356"/>
      <c r="E189" s="1357"/>
      <c r="F189" s="1357"/>
      <c r="G189" s="1355" t="s">
        <v>2162</v>
      </c>
      <c r="H189" s="1357" t="s">
        <v>1621</v>
      </c>
      <c r="I189" s="1358" t="s">
        <v>1622</v>
      </c>
      <c r="J189" s="1373">
        <v>23</v>
      </c>
      <c r="K189" s="1356" t="s">
        <v>2027</v>
      </c>
      <c r="L189" s="1356" t="s">
        <v>2027</v>
      </c>
      <c r="M189" s="607">
        <v>152893</v>
      </c>
      <c r="N189" s="608">
        <v>152893</v>
      </c>
      <c r="O189" s="1360">
        <v>300000</v>
      </c>
      <c r="P189" s="1360">
        <v>300000</v>
      </c>
      <c r="Q189" s="1361">
        <v>130585</v>
      </c>
      <c r="R189" s="1361">
        <v>130585</v>
      </c>
    </row>
    <row r="190" spans="1:18" ht="11.25" hidden="1" customHeight="1" x14ac:dyDescent="0.25">
      <c r="A190" s="1364" t="s">
        <v>2269</v>
      </c>
      <c r="B190" s="1372" t="s">
        <v>2269</v>
      </c>
      <c r="C190" s="1356" t="s">
        <v>2027</v>
      </c>
      <c r="D190" s="1356"/>
      <c r="E190" s="1357"/>
      <c r="F190" s="1357"/>
      <c r="G190" s="1355" t="s">
        <v>2162</v>
      </c>
      <c r="H190" s="1357" t="s">
        <v>1621</v>
      </c>
      <c r="I190" s="1358" t="s">
        <v>1622</v>
      </c>
      <c r="J190" s="1373">
        <v>23</v>
      </c>
      <c r="K190" s="1356" t="s">
        <v>2027</v>
      </c>
      <c r="L190" s="1356" t="s">
        <v>2027</v>
      </c>
      <c r="M190" s="607">
        <v>17987</v>
      </c>
      <c r="N190" s="608">
        <v>17987</v>
      </c>
      <c r="O190" s="1360">
        <v>0</v>
      </c>
      <c r="P190" s="1360">
        <v>0</v>
      </c>
      <c r="Q190" s="1361">
        <v>52234</v>
      </c>
      <c r="R190" s="1361">
        <v>52234</v>
      </c>
    </row>
    <row r="191" spans="1:18" ht="11.25" hidden="1" customHeight="1" x14ac:dyDescent="0.25">
      <c r="A191" s="1364" t="s">
        <v>2270</v>
      </c>
      <c r="B191" s="1372" t="s">
        <v>2270</v>
      </c>
      <c r="C191" s="1356" t="s">
        <v>2027</v>
      </c>
      <c r="D191" s="1356"/>
      <c r="E191" s="1357"/>
      <c r="F191" s="1357"/>
      <c r="G191" s="1355" t="s">
        <v>2162</v>
      </c>
      <c r="H191" s="1357" t="s">
        <v>1621</v>
      </c>
      <c r="I191" s="1358" t="s">
        <v>1622</v>
      </c>
      <c r="J191" s="1373">
        <v>23</v>
      </c>
      <c r="K191" s="1356" t="s">
        <v>2027</v>
      </c>
      <c r="L191" s="1356" t="s">
        <v>2027</v>
      </c>
      <c r="M191" s="607">
        <v>38972</v>
      </c>
      <c r="N191" s="608">
        <v>38972</v>
      </c>
      <c r="O191" s="1360">
        <v>0</v>
      </c>
      <c r="P191" s="1360">
        <v>0</v>
      </c>
      <c r="Q191" s="1361">
        <v>33952</v>
      </c>
      <c r="R191" s="1361">
        <v>33952</v>
      </c>
    </row>
    <row r="192" spans="1:18" ht="11.25" hidden="1" customHeight="1" x14ac:dyDescent="0.25">
      <c r="A192" s="1364" t="s">
        <v>2271</v>
      </c>
      <c r="B192" s="1372" t="s">
        <v>2271</v>
      </c>
      <c r="C192" s="1356" t="s">
        <v>2027</v>
      </c>
      <c r="D192" s="1356"/>
      <c r="E192" s="1357"/>
      <c r="F192" s="1357"/>
      <c r="G192" s="1355" t="s">
        <v>2162</v>
      </c>
      <c r="H192" s="1357" t="s">
        <v>1621</v>
      </c>
      <c r="I192" s="1358" t="s">
        <v>1622</v>
      </c>
      <c r="J192" s="1355">
        <v>23</v>
      </c>
      <c r="K192" s="1356" t="s">
        <v>2027</v>
      </c>
      <c r="L192" s="1356" t="s">
        <v>2027</v>
      </c>
      <c r="M192" s="607">
        <v>96881</v>
      </c>
      <c r="N192" s="608">
        <v>96881</v>
      </c>
      <c r="O192" s="1360">
        <v>0</v>
      </c>
      <c r="P192" s="1360">
        <v>0</v>
      </c>
      <c r="Q192" s="1361">
        <v>33691</v>
      </c>
      <c r="R192" s="1361">
        <v>33691</v>
      </c>
    </row>
    <row r="193" spans="1:18" ht="11.25" hidden="1" customHeight="1" x14ac:dyDescent="0.25">
      <c r="A193" s="1364" t="s">
        <v>2272</v>
      </c>
      <c r="B193" s="1372" t="s">
        <v>2272</v>
      </c>
      <c r="C193" s="1356" t="s">
        <v>2027</v>
      </c>
      <c r="D193" s="1356"/>
      <c r="E193" s="1357"/>
      <c r="F193" s="1357"/>
      <c r="G193" s="1355" t="s">
        <v>2162</v>
      </c>
      <c r="H193" s="1357" t="s">
        <v>1621</v>
      </c>
      <c r="I193" s="1358" t="s">
        <v>1622</v>
      </c>
      <c r="J193" s="1355">
        <v>23</v>
      </c>
      <c r="K193" s="1356" t="s">
        <v>2027</v>
      </c>
      <c r="L193" s="1356" t="s">
        <v>2027</v>
      </c>
      <c r="M193" s="607">
        <v>0</v>
      </c>
      <c r="N193" s="608">
        <v>0</v>
      </c>
      <c r="O193" s="1360">
        <v>0</v>
      </c>
      <c r="P193" s="1360">
        <v>0</v>
      </c>
      <c r="Q193" s="1361">
        <v>57457</v>
      </c>
      <c r="R193" s="1361">
        <v>57457</v>
      </c>
    </row>
    <row r="194" spans="1:18" ht="11.25" hidden="1" customHeight="1" x14ac:dyDescent="0.25">
      <c r="A194" s="1364" t="s">
        <v>2273</v>
      </c>
      <c r="B194" s="1372" t="s">
        <v>2273</v>
      </c>
      <c r="C194" s="1356" t="s">
        <v>2027</v>
      </c>
      <c r="D194" s="1356"/>
      <c r="E194" s="1357"/>
      <c r="F194" s="1357"/>
      <c r="G194" s="1355" t="s">
        <v>2162</v>
      </c>
      <c r="H194" s="1357" t="s">
        <v>1621</v>
      </c>
      <c r="I194" s="1358" t="s">
        <v>1622</v>
      </c>
      <c r="J194" s="1355">
        <v>23</v>
      </c>
      <c r="K194" s="1356" t="s">
        <v>2027</v>
      </c>
      <c r="L194" s="1356" t="s">
        <v>2027</v>
      </c>
      <c r="M194" s="607">
        <v>119916</v>
      </c>
      <c r="N194" s="608">
        <v>119916</v>
      </c>
      <c r="O194" s="1360">
        <v>0</v>
      </c>
      <c r="P194" s="1360">
        <v>0</v>
      </c>
      <c r="Q194" s="1361">
        <v>227218</v>
      </c>
      <c r="R194" s="1361">
        <v>227218</v>
      </c>
    </row>
    <row r="195" spans="1:18" ht="11.25" hidden="1" customHeight="1" x14ac:dyDescent="0.25">
      <c r="A195" s="1364" t="s">
        <v>2274</v>
      </c>
      <c r="B195" s="1372" t="s">
        <v>2274</v>
      </c>
      <c r="C195" s="1356" t="s">
        <v>2027</v>
      </c>
      <c r="D195" s="1356"/>
      <c r="E195" s="1357"/>
      <c r="F195" s="1357"/>
      <c r="G195" s="1355" t="s">
        <v>2162</v>
      </c>
      <c r="H195" s="1357" t="s">
        <v>1621</v>
      </c>
      <c r="I195" s="1358" t="s">
        <v>1622</v>
      </c>
      <c r="J195" s="1355">
        <v>23</v>
      </c>
      <c r="K195" s="1356" t="s">
        <v>2027</v>
      </c>
      <c r="L195" s="1356" t="s">
        <v>2027</v>
      </c>
      <c r="M195" s="607">
        <v>50000</v>
      </c>
      <c r="N195" s="608">
        <v>50000</v>
      </c>
      <c r="O195" s="1360">
        <v>0</v>
      </c>
      <c r="P195" s="1360">
        <v>0</v>
      </c>
      <c r="Q195" s="1361">
        <v>52234</v>
      </c>
      <c r="R195" s="1361">
        <v>52234</v>
      </c>
    </row>
    <row r="196" spans="1:18" ht="11.25" hidden="1" customHeight="1" x14ac:dyDescent="0.25">
      <c r="A196" s="1364" t="s">
        <v>2275</v>
      </c>
      <c r="B196" s="1372" t="s">
        <v>2275</v>
      </c>
      <c r="C196" s="1356" t="s">
        <v>2027</v>
      </c>
      <c r="D196" s="1356"/>
      <c r="E196" s="1357"/>
      <c r="F196" s="1357"/>
      <c r="G196" s="1355" t="s">
        <v>2162</v>
      </c>
      <c r="H196" s="1357" t="s">
        <v>1621</v>
      </c>
      <c r="I196" s="1358" t="s">
        <v>1622</v>
      </c>
      <c r="J196" s="1355">
        <v>23</v>
      </c>
      <c r="K196" s="1356" t="s">
        <v>2027</v>
      </c>
      <c r="L196" s="1356" t="s">
        <v>2027</v>
      </c>
      <c r="M196" s="607">
        <v>0</v>
      </c>
      <c r="N196" s="608">
        <v>0</v>
      </c>
      <c r="O196" s="1360">
        <v>0</v>
      </c>
      <c r="P196" s="1360">
        <v>0</v>
      </c>
      <c r="Q196" s="1361">
        <v>28912</v>
      </c>
      <c r="R196" s="1361">
        <v>28912</v>
      </c>
    </row>
    <row r="197" spans="1:18" ht="11.25" hidden="1" customHeight="1" x14ac:dyDescent="0.25">
      <c r="A197" s="1364" t="s">
        <v>2276</v>
      </c>
      <c r="B197" s="1372" t="s">
        <v>2276</v>
      </c>
      <c r="C197" s="1356" t="s">
        <v>2027</v>
      </c>
      <c r="D197" s="1356"/>
      <c r="E197" s="1357"/>
      <c r="F197" s="1357"/>
      <c r="G197" s="1355" t="s">
        <v>2162</v>
      </c>
      <c r="H197" s="1357" t="s">
        <v>1621</v>
      </c>
      <c r="I197" s="1358" t="s">
        <v>1622</v>
      </c>
      <c r="J197" s="1355">
        <v>23</v>
      </c>
      <c r="K197" s="1356" t="s">
        <v>2027</v>
      </c>
      <c r="L197" s="1356" t="s">
        <v>2027</v>
      </c>
      <c r="M197" s="607">
        <v>0</v>
      </c>
      <c r="N197" s="608">
        <v>0</v>
      </c>
      <c r="O197" s="1360">
        <v>0</v>
      </c>
      <c r="P197" s="1360">
        <v>0</v>
      </c>
      <c r="Q197" s="1361">
        <v>26117</v>
      </c>
      <c r="R197" s="1361">
        <v>26117</v>
      </c>
    </row>
    <row r="198" spans="1:18" ht="11.25" hidden="1" customHeight="1" x14ac:dyDescent="0.25">
      <c r="A198" s="1364" t="s">
        <v>2277</v>
      </c>
      <c r="B198" s="1372" t="s">
        <v>2277</v>
      </c>
      <c r="C198" s="1356" t="s">
        <v>2027</v>
      </c>
      <c r="D198" s="1356"/>
      <c r="E198" s="1357"/>
      <c r="F198" s="1357"/>
      <c r="G198" s="1355" t="s">
        <v>2162</v>
      </c>
      <c r="H198" s="1357" t="s">
        <v>1621</v>
      </c>
      <c r="I198" s="1358" t="s">
        <v>1622</v>
      </c>
      <c r="J198" s="1355">
        <v>23</v>
      </c>
      <c r="K198" s="1356" t="s">
        <v>2027</v>
      </c>
      <c r="L198" s="1356" t="s">
        <v>2027</v>
      </c>
      <c r="M198" s="607">
        <v>0</v>
      </c>
      <c r="N198" s="608">
        <v>0</v>
      </c>
      <c r="O198" s="1360">
        <v>0</v>
      </c>
      <c r="P198" s="1360">
        <v>0</v>
      </c>
      <c r="Q198" s="1361">
        <v>26117</v>
      </c>
      <c r="R198" s="1361">
        <v>26117</v>
      </c>
    </row>
    <row r="199" spans="1:18" ht="11.25" hidden="1" customHeight="1" x14ac:dyDescent="0.25">
      <c r="A199" s="1364" t="s">
        <v>2278</v>
      </c>
      <c r="B199" s="1372" t="s">
        <v>2278</v>
      </c>
      <c r="C199" s="1356" t="s">
        <v>2027</v>
      </c>
      <c r="D199" s="1356"/>
      <c r="E199" s="1357"/>
      <c r="F199" s="1357"/>
      <c r="G199" s="1355" t="s">
        <v>2162</v>
      </c>
      <c r="H199" s="1357" t="s">
        <v>1621</v>
      </c>
      <c r="I199" s="1358" t="s">
        <v>1622</v>
      </c>
      <c r="J199" s="1355">
        <v>23</v>
      </c>
      <c r="K199" s="1356" t="s">
        <v>2027</v>
      </c>
      <c r="L199" s="1356" t="s">
        <v>2027</v>
      </c>
      <c r="M199" s="607">
        <v>373925</v>
      </c>
      <c r="N199" s="608">
        <v>373925</v>
      </c>
      <c r="O199" s="1360">
        <v>0</v>
      </c>
      <c r="P199" s="1360">
        <v>0</v>
      </c>
      <c r="Q199" s="1361">
        <v>39176</v>
      </c>
      <c r="R199" s="1361">
        <v>39176</v>
      </c>
    </row>
    <row r="200" spans="1:18" ht="11.25" hidden="1" customHeight="1" x14ac:dyDescent="0.25">
      <c r="A200" s="1364" t="s">
        <v>2279</v>
      </c>
      <c r="B200" s="1372" t="s">
        <v>2279</v>
      </c>
      <c r="C200" s="1356" t="s">
        <v>2027</v>
      </c>
      <c r="D200" s="1356"/>
      <c r="E200" s="1357"/>
      <c r="F200" s="1357"/>
      <c r="G200" s="1355" t="s">
        <v>2162</v>
      </c>
      <c r="H200" s="1357" t="s">
        <v>1621</v>
      </c>
      <c r="I200" s="1358" t="s">
        <v>1622</v>
      </c>
      <c r="J200" s="1355">
        <v>23</v>
      </c>
      <c r="K200" s="1356" t="s">
        <v>2027</v>
      </c>
      <c r="L200" s="1356" t="s">
        <v>2027</v>
      </c>
      <c r="M200" s="607">
        <v>168035</v>
      </c>
      <c r="N200" s="608">
        <v>168035</v>
      </c>
      <c r="O200" s="1360">
        <v>729295</v>
      </c>
      <c r="P200" s="1360">
        <v>729295</v>
      </c>
      <c r="Q200" s="1361">
        <v>522340</v>
      </c>
      <c r="R200" s="1361">
        <v>522340</v>
      </c>
    </row>
    <row r="201" spans="1:18" ht="11.25" hidden="1" customHeight="1" x14ac:dyDescent="0.25">
      <c r="A201" s="1364" t="s">
        <v>2280</v>
      </c>
      <c r="B201" s="1372" t="s">
        <v>2280</v>
      </c>
      <c r="C201" s="1356" t="s">
        <v>2027</v>
      </c>
      <c r="D201" s="1356"/>
      <c r="E201" s="1357"/>
      <c r="F201" s="1357"/>
      <c r="G201" s="1355" t="s">
        <v>2162</v>
      </c>
      <c r="H201" s="1357" t="s">
        <v>1621</v>
      </c>
      <c r="I201" s="1358" t="s">
        <v>1622</v>
      </c>
      <c r="J201" s="1355">
        <v>23</v>
      </c>
      <c r="K201" s="1356" t="s">
        <v>2027</v>
      </c>
      <c r="L201" s="1356" t="s">
        <v>2027</v>
      </c>
      <c r="M201" s="607">
        <v>0</v>
      </c>
      <c r="N201" s="608">
        <v>0</v>
      </c>
      <c r="O201" s="1360">
        <v>0</v>
      </c>
      <c r="P201" s="1360">
        <v>0</v>
      </c>
      <c r="Q201" s="1361">
        <v>39176</v>
      </c>
      <c r="R201" s="1361">
        <v>39176</v>
      </c>
    </row>
    <row r="202" spans="1:18" ht="11.25" hidden="1" customHeight="1" x14ac:dyDescent="0.25">
      <c r="A202" s="1364" t="s">
        <v>2281</v>
      </c>
      <c r="B202" s="1372" t="s">
        <v>2281</v>
      </c>
      <c r="C202" s="1356" t="s">
        <v>2027</v>
      </c>
      <c r="D202" s="1356"/>
      <c r="E202" s="1357"/>
      <c r="F202" s="1357"/>
      <c r="G202" s="1355" t="s">
        <v>2162</v>
      </c>
      <c r="H202" s="1357" t="s">
        <v>1621</v>
      </c>
      <c r="I202" s="1358" t="s">
        <v>1622</v>
      </c>
      <c r="J202" s="1355">
        <v>20</v>
      </c>
      <c r="K202" s="1356" t="s">
        <v>2027</v>
      </c>
      <c r="L202" s="1356" t="s">
        <v>2027</v>
      </c>
      <c r="M202" s="607">
        <v>0</v>
      </c>
      <c r="N202" s="608">
        <v>0</v>
      </c>
      <c r="O202" s="1360">
        <v>0</v>
      </c>
      <c r="P202" s="1360">
        <v>0</v>
      </c>
      <c r="Q202" s="1361">
        <v>522340</v>
      </c>
      <c r="R202" s="1361">
        <v>522340</v>
      </c>
    </row>
    <row r="203" spans="1:18" ht="11.25" hidden="1" customHeight="1" x14ac:dyDescent="0.25">
      <c r="A203" s="1364" t="s">
        <v>2282</v>
      </c>
      <c r="B203" s="1372" t="s">
        <v>2282</v>
      </c>
      <c r="C203" s="1356" t="s">
        <v>2027</v>
      </c>
      <c r="D203" s="1356"/>
      <c r="E203" s="1357"/>
      <c r="F203" s="1357"/>
      <c r="G203" s="1355" t="s">
        <v>2162</v>
      </c>
      <c r="H203" s="1357" t="s">
        <v>1621</v>
      </c>
      <c r="I203" s="1358" t="s">
        <v>1622</v>
      </c>
      <c r="J203" s="1355">
        <v>44</v>
      </c>
      <c r="K203" s="1356" t="s">
        <v>2027</v>
      </c>
      <c r="L203" s="1356" t="s">
        <v>2027</v>
      </c>
      <c r="M203" s="607">
        <v>0</v>
      </c>
      <c r="N203" s="608">
        <v>0</v>
      </c>
      <c r="O203" s="1360">
        <v>0</v>
      </c>
      <c r="P203" s="1360">
        <v>0</v>
      </c>
      <c r="Q203" s="1361">
        <v>522340</v>
      </c>
      <c r="R203" s="1361">
        <v>522340</v>
      </c>
    </row>
    <row r="204" spans="1:18" ht="11.25" hidden="1" customHeight="1" x14ac:dyDescent="0.25">
      <c r="A204" s="1364" t="s">
        <v>2283</v>
      </c>
      <c r="B204" s="1372" t="s">
        <v>2283</v>
      </c>
      <c r="C204" s="1356" t="s">
        <v>2027</v>
      </c>
      <c r="D204" s="1356"/>
      <c r="E204" s="1357"/>
      <c r="F204" s="1357"/>
      <c r="G204" s="1355" t="s">
        <v>2162</v>
      </c>
      <c r="H204" s="1357" t="s">
        <v>1621</v>
      </c>
      <c r="I204" s="1358" t="s">
        <v>1622</v>
      </c>
      <c r="J204" s="1355">
        <v>23</v>
      </c>
      <c r="K204" s="1356" t="s">
        <v>2027</v>
      </c>
      <c r="L204" s="1356" t="s">
        <v>2027</v>
      </c>
      <c r="M204" s="607">
        <v>0</v>
      </c>
      <c r="N204" s="608">
        <v>0</v>
      </c>
      <c r="O204" s="1360">
        <v>0</v>
      </c>
      <c r="P204" s="1360">
        <v>0</v>
      </c>
      <c r="Q204" s="1361">
        <v>208936</v>
      </c>
      <c r="R204" s="1361">
        <v>208936</v>
      </c>
    </row>
    <row r="205" spans="1:18" ht="11.25" hidden="1" customHeight="1" x14ac:dyDescent="0.25">
      <c r="A205" s="1364" t="s">
        <v>2284</v>
      </c>
      <c r="B205" s="1372" t="s">
        <v>2284</v>
      </c>
      <c r="C205" s="1356" t="s">
        <v>2027</v>
      </c>
      <c r="D205" s="1356"/>
      <c r="E205" s="1357"/>
      <c r="F205" s="1357"/>
      <c r="G205" s="1355" t="s">
        <v>2162</v>
      </c>
      <c r="H205" s="1357" t="s">
        <v>1621</v>
      </c>
      <c r="I205" s="1358" t="s">
        <v>1622</v>
      </c>
      <c r="J205" s="1355">
        <v>23</v>
      </c>
      <c r="K205" s="1356" t="s">
        <v>2027</v>
      </c>
      <c r="L205" s="1356" t="s">
        <v>2027</v>
      </c>
      <c r="M205" s="607">
        <v>0</v>
      </c>
      <c r="N205" s="608">
        <v>0</v>
      </c>
      <c r="O205" s="1360">
        <v>0</v>
      </c>
      <c r="P205" s="1360">
        <v>0</v>
      </c>
      <c r="Q205" s="1361">
        <v>391755</v>
      </c>
      <c r="R205" s="1361">
        <v>391755</v>
      </c>
    </row>
    <row r="206" spans="1:18" ht="11.25" hidden="1" customHeight="1" x14ac:dyDescent="0.25">
      <c r="A206" s="1364" t="s">
        <v>2285</v>
      </c>
      <c r="B206" s="1372" t="s">
        <v>2285</v>
      </c>
      <c r="C206" s="1356" t="s">
        <v>2027</v>
      </c>
      <c r="D206" s="1356"/>
      <c r="E206" s="1357"/>
      <c r="F206" s="1357"/>
      <c r="G206" s="1355" t="s">
        <v>2162</v>
      </c>
      <c r="H206" s="1357" t="s">
        <v>1621</v>
      </c>
      <c r="I206" s="1358" t="s">
        <v>1622</v>
      </c>
      <c r="J206" s="1355">
        <v>23</v>
      </c>
      <c r="K206" s="1356" t="s">
        <v>2027</v>
      </c>
      <c r="L206" s="1356" t="s">
        <v>2027</v>
      </c>
      <c r="M206" s="607">
        <v>0</v>
      </c>
      <c r="N206" s="608">
        <v>0</v>
      </c>
      <c r="O206" s="1360">
        <v>0</v>
      </c>
      <c r="P206" s="1360">
        <v>0</v>
      </c>
      <c r="Q206" s="1361">
        <v>221995</v>
      </c>
      <c r="R206" s="1361">
        <v>221995</v>
      </c>
    </row>
    <row r="207" spans="1:18" ht="11.25" hidden="1" customHeight="1" x14ac:dyDescent="0.25">
      <c r="A207" s="1364" t="s">
        <v>2286</v>
      </c>
      <c r="B207" s="1372" t="s">
        <v>2286</v>
      </c>
      <c r="C207" s="1356" t="s">
        <v>2027</v>
      </c>
      <c r="D207" s="1356"/>
      <c r="E207" s="1357"/>
      <c r="F207" s="1357"/>
      <c r="G207" s="1355" t="s">
        <v>2162</v>
      </c>
      <c r="H207" s="1357" t="s">
        <v>1621</v>
      </c>
      <c r="I207" s="1358" t="s">
        <v>1622</v>
      </c>
      <c r="J207" s="1355">
        <v>23</v>
      </c>
      <c r="K207" s="1356" t="s">
        <v>2027</v>
      </c>
      <c r="L207" s="1356" t="s">
        <v>2027</v>
      </c>
      <c r="M207" s="607">
        <v>0</v>
      </c>
      <c r="N207" s="608">
        <v>0</v>
      </c>
      <c r="O207" s="1360">
        <v>0</v>
      </c>
      <c r="P207" s="1360">
        <v>0</v>
      </c>
      <c r="Q207" s="1361">
        <v>221994</v>
      </c>
      <c r="R207" s="1361">
        <v>221994</v>
      </c>
    </row>
    <row r="208" spans="1:18" ht="11.25" hidden="1" customHeight="1" x14ac:dyDescent="0.25">
      <c r="A208" s="1364" t="s">
        <v>2287</v>
      </c>
      <c r="B208" s="1372" t="s">
        <v>2287</v>
      </c>
      <c r="C208" s="1356" t="s">
        <v>2027</v>
      </c>
      <c r="D208" s="1356"/>
      <c r="E208" s="1357"/>
      <c r="F208" s="1357"/>
      <c r="G208" s="1355" t="s">
        <v>2288</v>
      </c>
      <c r="H208" s="1357" t="s">
        <v>1621</v>
      </c>
      <c r="I208" s="1358" t="s">
        <v>1622</v>
      </c>
      <c r="J208" s="1355">
        <v>23</v>
      </c>
      <c r="K208" s="1356" t="s">
        <v>2027</v>
      </c>
      <c r="L208" s="1356" t="s">
        <v>2027</v>
      </c>
      <c r="M208" s="607">
        <v>197329</v>
      </c>
      <c r="N208" s="608">
        <v>197329</v>
      </c>
      <c r="O208" s="1360">
        <v>0</v>
      </c>
      <c r="P208" s="1360">
        <v>0</v>
      </c>
      <c r="Q208" s="1361">
        <v>156702</v>
      </c>
      <c r="R208" s="1361">
        <v>156702</v>
      </c>
    </row>
    <row r="209" spans="1:18" ht="11.25" hidden="1" customHeight="1" x14ac:dyDescent="0.25">
      <c r="A209" s="1364" t="s">
        <v>2289</v>
      </c>
      <c r="B209" s="1372" t="s">
        <v>2289</v>
      </c>
      <c r="C209" s="1356" t="s">
        <v>2027</v>
      </c>
      <c r="D209" s="1356"/>
      <c r="E209" s="1357"/>
      <c r="F209" s="1357"/>
      <c r="G209" s="1355" t="s">
        <v>2288</v>
      </c>
      <c r="H209" s="1357" t="s">
        <v>1621</v>
      </c>
      <c r="I209" s="1358" t="s">
        <v>1622</v>
      </c>
      <c r="J209" s="1355">
        <v>23</v>
      </c>
      <c r="K209" s="1356" t="s">
        <v>2027</v>
      </c>
      <c r="L209" s="1356" t="s">
        <v>2027</v>
      </c>
      <c r="M209" s="607">
        <v>0</v>
      </c>
      <c r="N209" s="608">
        <v>0</v>
      </c>
      <c r="O209" s="1360">
        <v>651342</v>
      </c>
      <c r="P209" s="1360">
        <v>651342</v>
      </c>
      <c r="Q209" s="1361">
        <v>0</v>
      </c>
      <c r="R209" s="1361">
        <v>0</v>
      </c>
    </row>
    <row r="210" spans="1:18" ht="11.25" hidden="1" customHeight="1" x14ac:dyDescent="0.25">
      <c r="A210" s="1364" t="s">
        <v>2290</v>
      </c>
      <c r="B210" s="1372" t="s">
        <v>2290</v>
      </c>
      <c r="C210" s="1356" t="s">
        <v>2027</v>
      </c>
      <c r="D210" s="1356"/>
      <c r="E210" s="1357"/>
      <c r="F210" s="1357"/>
      <c r="G210" s="1355" t="s">
        <v>2288</v>
      </c>
      <c r="H210" s="1357" t="s">
        <v>1621</v>
      </c>
      <c r="I210" s="1358" t="s">
        <v>1622</v>
      </c>
      <c r="J210" s="1355">
        <v>23</v>
      </c>
      <c r="K210" s="1356" t="s">
        <v>2027</v>
      </c>
      <c r="L210" s="1356" t="s">
        <v>2027</v>
      </c>
      <c r="M210" s="607">
        <v>15179</v>
      </c>
      <c r="N210" s="608">
        <v>15179</v>
      </c>
      <c r="O210" s="1360">
        <v>39130</v>
      </c>
      <c r="P210" s="1360">
        <v>39130</v>
      </c>
      <c r="Q210" s="1361">
        <v>78351</v>
      </c>
      <c r="R210" s="1361">
        <v>78351</v>
      </c>
    </row>
    <row r="211" spans="1:18" ht="11.25" hidden="1" customHeight="1" x14ac:dyDescent="0.25">
      <c r="A211" s="1364" t="s">
        <v>2291</v>
      </c>
      <c r="B211" s="1372" t="s">
        <v>2291</v>
      </c>
      <c r="C211" s="1356" t="s">
        <v>2027</v>
      </c>
      <c r="D211" s="1356"/>
      <c r="E211" s="1357"/>
      <c r="F211" s="1357"/>
      <c r="G211" s="1355" t="s">
        <v>2288</v>
      </c>
      <c r="H211" s="1357" t="s">
        <v>1621</v>
      </c>
      <c r="I211" s="1358" t="s">
        <v>1622</v>
      </c>
      <c r="J211" s="1355">
        <v>23</v>
      </c>
      <c r="K211" s="1356" t="s">
        <v>2027</v>
      </c>
      <c r="L211" s="1356" t="s">
        <v>2027</v>
      </c>
      <c r="M211" s="607">
        <v>22769</v>
      </c>
      <c r="N211" s="608">
        <v>22769</v>
      </c>
      <c r="O211" s="1360">
        <v>48912</v>
      </c>
      <c r="P211" s="1360">
        <v>48912</v>
      </c>
      <c r="Q211" s="1361">
        <v>78351</v>
      </c>
      <c r="R211" s="1361">
        <v>78351</v>
      </c>
    </row>
    <row r="212" spans="1:18" ht="11.25" hidden="1" customHeight="1" x14ac:dyDescent="0.25">
      <c r="A212" s="1364" t="s">
        <v>2292</v>
      </c>
      <c r="B212" s="1372" t="s">
        <v>2292</v>
      </c>
      <c r="C212" s="1356" t="s">
        <v>2027</v>
      </c>
      <c r="D212" s="1356"/>
      <c r="E212" s="1357"/>
      <c r="F212" s="1357"/>
      <c r="G212" s="1355" t="s">
        <v>2288</v>
      </c>
      <c r="H212" s="1357" t="s">
        <v>1621</v>
      </c>
      <c r="I212" s="1358" t="s">
        <v>1622</v>
      </c>
      <c r="J212" s="1355">
        <v>23</v>
      </c>
      <c r="K212" s="1356" t="s">
        <v>2027</v>
      </c>
      <c r="L212" s="1356" t="s">
        <v>2027</v>
      </c>
      <c r="M212" s="607">
        <v>0</v>
      </c>
      <c r="N212" s="608">
        <v>0</v>
      </c>
      <c r="O212" s="1360">
        <v>0</v>
      </c>
      <c r="P212" s="1360">
        <v>0</v>
      </c>
      <c r="Q212" s="1361">
        <v>731276</v>
      </c>
      <c r="R212" s="1361">
        <v>731276</v>
      </c>
    </row>
    <row r="213" spans="1:18" ht="11.25" hidden="1" customHeight="1" x14ac:dyDescent="0.25">
      <c r="A213" s="1364" t="s">
        <v>2293</v>
      </c>
      <c r="B213" s="1372" t="s">
        <v>2293</v>
      </c>
      <c r="C213" s="1356" t="s">
        <v>2027</v>
      </c>
      <c r="D213" s="1356"/>
      <c r="E213" s="1357"/>
      <c r="F213" s="1357"/>
      <c r="G213" s="1355" t="s">
        <v>2288</v>
      </c>
      <c r="H213" s="1357" t="s">
        <v>1621</v>
      </c>
      <c r="I213" s="1358" t="s">
        <v>1622</v>
      </c>
      <c r="J213" s="1355">
        <v>23</v>
      </c>
      <c r="K213" s="1356" t="s">
        <v>2027</v>
      </c>
      <c r="L213" s="1356" t="s">
        <v>2027</v>
      </c>
      <c r="M213" s="607">
        <v>0</v>
      </c>
      <c r="N213" s="608">
        <v>0</v>
      </c>
      <c r="O213" s="1360">
        <v>0</v>
      </c>
      <c r="P213" s="1360">
        <v>0</v>
      </c>
      <c r="Q213" s="1361">
        <v>182819</v>
      </c>
      <c r="R213" s="1361">
        <v>182819</v>
      </c>
    </row>
    <row r="214" spans="1:18" ht="11.25" hidden="1" customHeight="1" x14ac:dyDescent="0.25">
      <c r="A214" s="1364" t="s">
        <v>2294</v>
      </c>
      <c r="B214" s="1372" t="s">
        <v>2294</v>
      </c>
      <c r="C214" s="1356" t="s">
        <v>2027</v>
      </c>
      <c r="D214" s="1356"/>
      <c r="E214" s="1357"/>
      <c r="F214" s="1357"/>
      <c r="G214" s="1355" t="s">
        <v>2288</v>
      </c>
      <c r="H214" s="1357" t="s">
        <v>1621</v>
      </c>
      <c r="I214" s="1358" t="s">
        <v>1622</v>
      </c>
      <c r="J214" s="1355">
        <v>23</v>
      </c>
      <c r="K214" s="1356" t="s">
        <v>2027</v>
      </c>
      <c r="L214" s="1356" t="s">
        <v>2027</v>
      </c>
      <c r="M214" s="607">
        <v>637526</v>
      </c>
      <c r="N214" s="608">
        <v>637526</v>
      </c>
      <c r="O214" s="1360">
        <v>0</v>
      </c>
      <c r="P214" s="1360">
        <v>0</v>
      </c>
      <c r="Q214" s="1361">
        <v>305639</v>
      </c>
      <c r="R214" s="1361">
        <v>305639</v>
      </c>
    </row>
    <row r="215" spans="1:18" ht="11.25" hidden="1" customHeight="1" x14ac:dyDescent="0.25">
      <c r="A215" s="1364" t="s">
        <v>2295</v>
      </c>
      <c r="B215" s="1372" t="s">
        <v>2295</v>
      </c>
      <c r="C215" s="1356" t="s">
        <v>2027</v>
      </c>
      <c r="D215" s="1356"/>
      <c r="E215" s="1357"/>
      <c r="F215" s="1357"/>
      <c r="G215" s="1355" t="s">
        <v>2288</v>
      </c>
      <c r="H215" s="1357" t="s">
        <v>1621</v>
      </c>
      <c r="I215" s="1358" t="s">
        <v>1622</v>
      </c>
      <c r="J215" s="1355">
        <v>23</v>
      </c>
      <c r="K215" s="1356" t="s">
        <v>2027</v>
      </c>
      <c r="L215" s="1356" t="s">
        <v>2027</v>
      </c>
      <c r="M215" s="607">
        <v>0</v>
      </c>
      <c r="N215" s="608">
        <v>0</v>
      </c>
      <c r="O215" s="1360">
        <v>0</v>
      </c>
      <c r="P215" s="1360">
        <v>0</v>
      </c>
      <c r="Q215" s="1361">
        <v>177527</v>
      </c>
      <c r="R215" s="1361">
        <v>177527</v>
      </c>
    </row>
    <row r="216" spans="1:18" ht="11.25" hidden="1" customHeight="1" x14ac:dyDescent="0.25">
      <c r="A216" s="1364" t="s">
        <v>2296</v>
      </c>
      <c r="B216" s="1372" t="s">
        <v>2296</v>
      </c>
      <c r="C216" s="1356" t="s">
        <v>2027</v>
      </c>
      <c r="D216" s="1356"/>
      <c r="E216" s="1357"/>
      <c r="F216" s="1357"/>
      <c r="G216" s="1355" t="s">
        <v>2288</v>
      </c>
      <c r="H216" s="1357" t="s">
        <v>1621</v>
      </c>
      <c r="I216" s="1358" t="s">
        <v>1622</v>
      </c>
      <c r="J216" s="1355">
        <v>23</v>
      </c>
      <c r="K216" s="1356" t="s">
        <v>2027</v>
      </c>
      <c r="L216" s="1356" t="s">
        <v>2027</v>
      </c>
      <c r="M216" s="607">
        <v>0</v>
      </c>
      <c r="N216" s="608">
        <v>0</v>
      </c>
      <c r="O216" s="1360">
        <v>0</v>
      </c>
      <c r="P216" s="1360">
        <v>0</v>
      </c>
      <c r="Q216" s="1361">
        <v>313404</v>
      </c>
      <c r="R216" s="1361">
        <v>313404</v>
      </c>
    </row>
    <row r="217" spans="1:18" ht="11.25" hidden="1" customHeight="1" x14ac:dyDescent="0.25">
      <c r="A217" s="1364" t="s">
        <v>2297</v>
      </c>
      <c r="B217" s="1372" t="s">
        <v>2297</v>
      </c>
      <c r="C217" s="1356" t="s">
        <v>2027</v>
      </c>
      <c r="D217" s="1356"/>
      <c r="E217" s="1357"/>
      <c r="F217" s="1357"/>
      <c r="G217" s="1355" t="s">
        <v>2288</v>
      </c>
      <c r="H217" s="1357" t="s">
        <v>1621</v>
      </c>
      <c r="I217" s="1358" t="s">
        <v>1622</v>
      </c>
      <c r="J217" s="1355">
        <v>23</v>
      </c>
      <c r="K217" s="1356" t="s">
        <v>2027</v>
      </c>
      <c r="L217" s="1356" t="s">
        <v>2027</v>
      </c>
      <c r="M217" s="607">
        <v>0</v>
      </c>
      <c r="N217" s="608">
        <v>0</v>
      </c>
      <c r="O217" s="1360">
        <v>0</v>
      </c>
      <c r="P217" s="1360">
        <v>0</v>
      </c>
      <c r="Q217" s="1361">
        <v>783510</v>
      </c>
      <c r="R217" s="1361">
        <v>783510</v>
      </c>
    </row>
    <row r="218" spans="1:18" ht="11.25" hidden="1" customHeight="1" x14ac:dyDescent="0.25">
      <c r="A218" s="1364" t="s">
        <v>2298</v>
      </c>
      <c r="B218" s="1372" t="s">
        <v>2298</v>
      </c>
      <c r="C218" s="1356" t="s">
        <v>2027</v>
      </c>
      <c r="D218" s="1356"/>
      <c r="E218" s="1357"/>
      <c r="F218" s="1357"/>
      <c r="G218" s="1355" t="s">
        <v>2288</v>
      </c>
      <c r="H218" s="1357" t="s">
        <v>1621</v>
      </c>
      <c r="I218" s="1358" t="s">
        <v>1622</v>
      </c>
      <c r="J218" s="1355">
        <v>23</v>
      </c>
      <c r="K218" s="1356" t="s">
        <v>2027</v>
      </c>
      <c r="L218" s="1356" t="s">
        <v>2027</v>
      </c>
      <c r="M218" s="607">
        <v>0</v>
      </c>
      <c r="N218" s="608">
        <v>0</v>
      </c>
      <c r="O218" s="1360">
        <v>0</v>
      </c>
      <c r="P218" s="1360">
        <v>0</v>
      </c>
      <c r="Q218" s="1361">
        <v>783510</v>
      </c>
      <c r="R218" s="1361">
        <v>783510</v>
      </c>
    </row>
    <row r="219" spans="1:18" ht="11.25" hidden="1" customHeight="1" x14ac:dyDescent="0.25">
      <c r="A219" s="1364" t="s">
        <v>2299</v>
      </c>
      <c r="B219" s="1372" t="s">
        <v>2299</v>
      </c>
      <c r="C219" s="1356" t="s">
        <v>2027</v>
      </c>
      <c r="D219" s="1356"/>
      <c r="E219" s="1357"/>
      <c r="F219" s="1357"/>
      <c r="G219" s="1355" t="s">
        <v>2288</v>
      </c>
      <c r="H219" s="1357" t="s">
        <v>1621</v>
      </c>
      <c r="I219" s="1358" t="s">
        <v>1622</v>
      </c>
      <c r="J219" s="1355">
        <v>23</v>
      </c>
      <c r="K219" s="1356" t="s">
        <v>2027</v>
      </c>
      <c r="L219" s="1356" t="s">
        <v>2027</v>
      </c>
      <c r="M219" s="607">
        <v>0</v>
      </c>
      <c r="N219" s="608">
        <v>0</v>
      </c>
      <c r="O219" s="1360">
        <v>0</v>
      </c>
      <c r="P219" s="1360">
        <v>0</v>
      </c>
      <c r="Q219" s="1361">
        <v>522340</v>
      </c>
      <c r="R219" s="1361">
        <v>522340</v>
      </c>
    </row>
    <row r="220" spans="1:18" ht="11.25" hidden="1" customHeight="1" x14ac:dyDescent="0.25">
      <c r="A220" s="1364" t="s">
        <v>2300</v>
      </c>
      <c r="B220" s="1372" t="s">
        <v>2300</v>
      </c>
      <c r="C220" s="1356" t="s">
        <v>2027</v>
      </c>
      <c r="D220" s="1356"/>
      <c r="E220" s="1357"/>
      <c r="F220" s="1357"/>
      <c r="G220" s="1355" t="s">
        <v>2301</v>
      </c>
      <c r="H220" s="1357" t="s">
        <v>1621</v>
      </c>
      <c r="I220" s="1358" t="s">
        <v>1622</v>
      </c>
      <c r="J220" s="1355" t="s">
        <v>2237</v>
      </c>
      <c r="K220" s="1356" t="s">
        <v>2027</v>
      </c>
      <c r="L220" s="1356" t="s">
        <v>2027</v>
      </c>
      <c r="M220" s="607">
        <v>900000</v>
      </c>
      <c r="N220" s="608">
        <v>900000</v>
      </c>
      <c r="O220" s="1360">
        <v>900000</v>
      </c>
      <c r="P220" s="1360">
        <v>900000</v>
      </c>
      <c r="Q220" s="1361">
        <v>1000000</v>
      </c>
      <c r="R220" s="1361">
        <v>1000000</v>
      </c>
    </row>
    <row r="221" spans="1:18" ht="11.25" hidden="1" customHeight="1" x14ac:dyDescent="0.25">
      <c r="A221" s="1364" t="s">
        <v>2302</v>
      </c>
      <c r="B221" s="1372" t="s">
        <v>2302</v>
      </c>
      <c r="C221" s="1356" t="s">
        <v>2027</v>
      </c>
      <c r="D221" s="1356"/>
      <c r="E221" s="1357"/>
      <c r="F221" s="1357"/>
      <c r="G221" s="1355" t="s">
        <v>2301</v>
      </c>
      <c r="H221" s="1357" t="s">
        <v>1621</v>
      </c>
      <c r="I221" s="1358" t="s">
        <v>1622</v>
      </c>
      <c r="J221" s="1355">
        <v>21</v>
      </c>
      <c r="K221" s="1356" t="s">
        <v>2027</v>
      </c>
      <c r="L221" s="1356" t="s">
        <v>2027</v>
      </c>
      <c r="M221" s="607">
        <v>300000</v>
      </c>
      <c r="N221" s="608">
        <v>300000</v>
      </c>
      <c r="O221" s="1360">
        <v>500000</v>
      </c>
      <c r="P221" s="1360">
        <v>500000</v>
      </c>
      <c r="Q221" s="1361">
        <v>500000</v>
      </c>
      <c r="R221" s="1361">
        <v>500000</v>
      </c>
    </row>
    <row r="222" spans="1:18" ht="11.25" hidden="1" customHeight="1" x14ac:dyDescent="0.25">
      <c r="A222" s="1364" t="s">
        <v>2303</v>
      </c>
      <c r="B222" s="1372" t="s">
        <v>2303</v>
      </c>
      <c r="C222" s="1356" t="s">
        <v>2027</v>
      </c>
      <c r="D222" s="1356"/>
      <c r="E222" s="1357"/>
      <c r="F222" s="1357"/>
      <c r="G222" s="1355" t="s">
        <v>2301</v>
      </c>
      <c r="H222" s="1357" t="s">
        <v>1621</v>
      </c>
      <c r="I222" s="1358" t="s">
        <v>1622</v>
      </c>
      <c r="J222" s="1355"/>
      <c r="K222" s="1356" t="s">
        <v>2027</v>
      </c>
      <c r="L222" s="1356" t="s">
        <v>2027</v>
      </c>
      <c r="M222" s="607">
        <v>0</v>
      </c>
      <c r="N222" s="608">
        <v>0</v>
      </c>
      <c r="O222" s="1360">
        <v>0</v>
      </c>
      <c r="P222" s="1360">
        <v>0</v>
      </c>
      <c r="Q222" s="1361">
        <v>300000</v>
      </c>
      <c r="R222" s="1361">
        <v>300000</v>
      </c>
    </row>
    <row r="223" spans="1:18" ht="11.25" hidden="1" customHeight="1" x14ac:dyDescent="0.25">
      <c r="A223" s="1364" t="s">
        <v>2304</v>
      </c>
      <c r="B223" s="1372" t="s">
        <v>2304</v>
      </c>
      <c r="C223" s="1356" t="s">
        <v>2027</v>
      </c>
      <c r="D223" s="1356"/>
      <c r="E223" s="1357"/>
      <c r="F223" s="1357"/>
      <c r="G223" s="1355" t="s">
        <v>2301</v>
      </c>
      <c r="H223" s="1357" t="s">
        <v>1621</v>
      </c>
      <c r="I223" s="1358" t="s">
        <v>1622</v>
      </c>
      <c r="J223" s="1355">
        <v>8</v>
      </c>
      <c r="K223" s="1356" t="s">
        <v>2027</v>
      </c>
      <c r="L223" s="1356" t="s">
        <v>2027</v>
      </c>
      <c r="M223" s="607">
        <v>320309</v>
      </c>
      <c r="N223" s="608">
        <v>320309</v>
      </c>
      <c r="O223" s="1360">
        <v>0</v>
      </c>
      <c r="P223" s="1360">
        <v>0</v>
      </c>
      <c r="Q223" s="1361">
        <v>0</v>
      </c>
      <c r="R223" s="1361">
        <v>0</v>
      </c>
    </row>
    <row r="224" spans="1:18" ht="11.25" hidden="1" customHeight="1" x14ac:dyDescent="0.25">
      <c r="A224" s="1364" t="s">
        <v>2305</v>
      </c>
      <c r="B224" s="1372" t="s">
        <v>2305</v>
      </c>
      <c r="C224" s="1356" t="s">
        <v>2027</v>
      </c>
      <c r="D224" s="1356"/>
      <c r="E224" s="1357"/>
      <c r="F224" s="1357"/>
      <c r="G224" s="1355" t="s">
        <v>2301</v>
      </c>
      <c r="H224" s="1357" t="s">
        <v>1621</v>
      </c>
      <c r="I224" s="1358" t="s">
        <v>1622</v>
      </c>
      <c r="J224" s="1355">
        <v>20</v>
      </c>
      <c r="K224" s="1356" t="s">
        <v>2027</v>
      </c>
      <c r="L224" s="1356" t="s">
        <v>2027</v>
      </c>
      <c r="M224" s="607">
        <v>0</v>
      </c>
      <c r="N224" s="608">
        <v>0</v>
      </c>
      <c r="O224" s="1360">
        <v>531292</v>
      </c>
      <c r="P224" s="1360">
        <v>531292</v>
      </c>
      <c r="Q224" s="1361">
        <v>0</v>
      </c>
      <c r="R224" s="1361">
        <v>0</v>
      </c>
    </row>
    <row r="225" spans="1:18" ht="11.25" hidden="1" customHeight="1" x14ac:dyDescent="0.25">
      <c r="A225" s="1364" t="s">
        <v>2306</v>
      </c>
      <c r="B225" s="1372" t="s">
        <v>2306</v>
      </c>
      <c r="C225" s="1356" t="s">
        <v>2027</v>
      </c>
      <c r="D225" s="1356"/>
      <c r="E225" s="1357"/>
      <c r="F225" s="1357"/>
      <c r="G225" s="1355" t="s">
        <v>2301</v>
      </c>
      <c r="H225" s="1357" t="s">
        <v>1621</v>
      </c>
      <c r="I225" s="1358" t="s">
        <v>1622</v>
      </c>
      <c r="J225" s="1355">
        <v>12</v>
      </c>
      <c r="K225" s="1356" t="s">
        <v>2027</v>
      </c>
      <c r="L225" s="1356" t="s">
        <v>2027</v>
      </c>
      <c r="M225" s="607">
        <v>0</v>
      </c>
      <c r="N225" s="608">
        <v>0</v>
      </c>
      <c r="O225" s="1360">
        <v>0</v>
      </c>
      <c r="P225" s="1360">
        <v>0</v>
      </c>
      <c r="Q225" s="1361">
        <v>1000000</v>
      </c>
      <c r="R225" s="1361">
        <v>1000000</v>
      </c>
    </row>
    <row r="226" spans="1:18" ht="11.25" hidden="1" customHeight="1" x14ac:dyDescent="0.25">
      <c r="A226" s="1364" t="s">
        <v>2307</v>
      </c>
      <c r="B226" s="1372" t="s">
        <v>2307</v>
      </c>
      <c r="C226" s="1356" t="s">
        <v>2027</v>
      </c>
      <c r="D226" s="1356"/>
      <c r="E226" s="1357"/>
      <c r="F226" s="1357"/>
      <c r="G226" s="1355" t="s">
        <v>2301</v>
      </c>
      <c r="H226" s="1357" t="s">
        <v>1621</v>
      </c>
      <c r="I226" s="1358" t="s">
        <v>1622</v>
      </c>
      <c r="J226" s="1355">
        <v>20</v>
      </c>
      <c r="K226" s="1356" t="s">
        <v>2027</v>
      </c>
      <c r="L226" s="1356" t="s">
        <v>2027</v>
      </c>
      <c r="M226" s="607">
        <v>0</v>
      </c>
      <c r="N226" s="608">
        <v>0</v>
      </c>
      <c r="O226" s="1360">
        <v>0</v>
      </c>
      <c r="P226" s="1360">
        <v>0</v>
      </c>
      <c r="Q226" s="1361">
        <v>725796</v>
      </c>
      <c r="R226" s="1361">
        <v>725796</v>
      </c>
    </row>
    <row r="227" spans="1:18" ht="11.25" hidden="1" customHeight="1" x14ac:dyDescent="0.25">
      <c r="A227" s="1364" t="s">
        <v>2308</v>
      </c>
      <c r="B227" s="1372" t="s">
        <v>2308</v>
      </c>
      <c r="C227" s="1356" t="s">
        <v>2027</v>
      </c>
      <c r="D227" s="1356"/>
      <c r="E227" s="1357"/>
      <c r="F227" s="1357"/>
      <c r="G227" s="1355" t="s">
        <v>2301</v>
      </c>
      <c r="H227" s="1357" t="s">
        <v>1621</v>
      </c>
      <c r="I227" s="1358" t="s">
        <v>1622</v>
      </c>
      <c r="J227" s="1355">
        <v>23</v>
      </c>
      <c r="K227" s="1356" t="s">
        <v>2027</v>
      </c>
      <c r="L227" s="1356" t="s">
        <v>2027</v>
      </c>
      <c r="M227" s="607">
        <v>635249</v>
      </c>
      <c r="N227" s="608">
        <v>635249</v>
      </c>
      <c r="O227" s="1360">
        <v>0</v>
      </c>
      <c r="P227" s="1360">
        <v>0</v>
      </c>
      <c r="Q227" s="1361">
        <v>0</v>
      </c>
      <c r="R227" s="1361">
        <v>0</v>
      </c>
    </row>
    <row r="228" spans="1:18" ht="11.25" hidden="1" customHeight="1" x14ac:dyDescent="0.25">
      <c r="A228" s="1364" t="s">
        <v>2309</v>
      </c>
      <c r="B228" s="1372" t="s">
        <v>2309</v>
      </c>
      <c r="C228" s="1356" t="s">
        <v>2027</v>
      </c>
      <c r="D228" s="1356"/>
      <c r="E228" s="1357"/>
      <c r="F228" s="1357"/>
      <c r="G228" s="1355" t="s">
        <v>2301</v>
      </c>
      <c r="H228" s="1357" t="s">
        <v>1677</v>
      </c>
      <c r="I228" s="1358" t="s">
        <v>1677</v>
      </c>
      <c r="J228" s="1355" t="s">
        <v>2310</v>
      </c>
      <c r="K228" s="1356" t="s">
        <v>2027</v>
      </c>
      <c r="L228" s="1356" t="s">
        <v>2027</v>
      </c>
      <c r="M228" s="607">
        <v>0</v>
      </c>
      <c r="N228" s="608">
        <v>0</v>
      </c>
      <c r="O228" s="1360">
        <v>500000</v>
      </c>
      <c r="P228" s="1360">
        <v>500000</v>
      </c>
      <c r="Q228" s="1361">
        <v>500000</v>
      </c>
      <c r="R228" s="1361">
        <v>500000</v>
      </c>
    </row>
    <row r="229" spans="1:18" ht="11.25" hidden="1" customHeight="1" x14ac:dyDescent="0.25">
      <c r="A229" s="1364" t="s">
        <v>2311</v>
      </c>
      <c r="B229" s="1372" t="s">
        <v>2311</v>
      </c>
      <c r="C229" s="1356" t="s">
        <v>2027</v>
      </c>
      <c r="D229" s="1356"/>
      <c r="E229" s="1357"/>
      <c r="F229" s="1357"/>
      <c r="G229" s="1355" t="s">
        <v>2301</v>
      </c>
      <c r="H229" s="1357" t="s">
        <v>1370</v>
      </c>
      <c r="I229" s="1358" t="s">
        <v>1370</v>
      </c>
      <c r="J229" s="1355" t="s">
        <v>2091</v>
      </c>
      <c r="K229" s="1356" t="s">
        <v>2027</v>
      </c>
      <c r="L229" s="1356" t="s">
        <v>2027</v>
      </c>
      <c r="M229" s="607">
        <v>0</v>
      </c>
      <c r="N229" s="608">
        <v>0</v>
      </c>
      <c r="O229" s="1360">
        <v>0</v>
      </c>
      <c r="P229" s="1360">
        <v>0</v>
      </c>
      <c r="Q229" s="1361">
        <v>60000</v>
      </c>
      <c r="R229" s="1361">
        <v>60000</v>
      </c>
    </row>
    <row r="230" spans="1:18" ht="11.25" hidden="1" customHeight="1" x14ac:dyDescent="0.25">
      <c r="A230" s="1364" t="s">
        <v>2312</v>
      </c>
      <c r="B230" s="1372" t="s">
        <v>2312</v>
      </c>
      <c r="C230" s="1356" t="s">
        <v>2027</v>
      </c>
      <c r="D230" s="1356"/>
      <c r="E230" s="1357"/>
      <c r="F230" s="1357"/>
      <c r="G230" s="1355" t="s">
        <v>2301</v>
      </c>
      <c r="H230" s="1357" t="s">
        <v>1370</v>
      </c>
      <c r="I230" s="1358" t="s">
        <v>1370</v>
      </c>
      <c r="J230" s="1355">
        <v>9</v>
      </c>
      <c r="K230" s="1356" t="s">
        <v>2027</v>
      </c>
      <c r="L230" s="1356" t="s">
        <v>2027</v>
      </c>
      <c r="M230" s="607">
        <v>0</v>
      </c>
      <c r="N230" s="608">
        <v>0</v>
      </c>
      <c r="O230" s="1360">
        <v>247669</v>
      </c>
      <c r="P230" s="1360">
        <v>247669</v>
      </c>
      <c r="Q230" s="1361">
        <v>200000</v>
      </c>
      <c r="R230" s="1361">
        <v>200000</v>
      </c>
    </row>
    <row r="231" spans="1:18" ht="11.25" hidden="1" customHeight="1" x14ac:dyDescent="0.25">
      <c r="A231" s="1364" t="s">
        <v>2313</v>
      </c>
      <c r="B231" s="1372" t="s">
        <v>2313</v>
      </c>
      <c r="C231" s="1356" t="s">
        <v>2027</v>
      </c>
      <c r="D231" s="1356"/>
      <c r="E231" s="1357"/>
      <c r="F231" s="1357"/>
      <c r="G231" s="1355" t="s">
        <v>2301</v>
      </c>
      <c r="H231" s="1357" t="s">
        <v>1677</v>
      </c>
      <c r="I231" s="1358" t="s">
        <v>1677</v>
      </c>
      <c r="J231" s="1355">
        <v>24</v>
      </c>
      <c r="K231" s="1356" t="s">
        <v>2027</v>
      </c>
      <c r="L231" s="1356" t="s">
        <v>2027</v>
      </c>
      <c r="M231" s="607">
        <v>0</v>
      </c>
      <c r="N231" s="608">
        <v>0</v>
      </c>
      <c r="O231" s="1360">
        <v>0</v>
      </c>
      <c r="P231" s="1360">
        <v>0</v>
      </c>
      <c r="Q231" s="1361">
        <v>76003</v>
      </c>
      <c r="R231" s="1361">
        <v>76003</v>
      </c>
    </row>
    <row r="232" spans="1:18" ht="11.25" hidden="1" customHeight="1" x14ac:dyDescent="0.25">
      <c r="A232" s="1364" t="s">
        <v>2314</v>
      </c>
      <c r="B232" s="1372" t="s">
        <v>2314</v>
      </c>
      <c r="C232" s="1356" t="s">
        <v>2027</v>
      </c>
      <c r="D232" s="1356"/>
      <c r="E232" s="1357"/>
      <c r="F232" s="1357"/>
      <c r="G232" s="1355" t="s">
        <v>2301</v>
      </c>
      <c r="H232" s="1357" t="s">
        <v>1666</v>
      </c>
      <c r="I232" s="1358" t="s">
        <v>1666</v>
      </c>
      <c r="J232" s="1355">
        <v>24</v>
      </c>
      <c r="K232" s="1356" t="s">
        <v>2027</v>
      </c>
      <c r="L232" s="1356" t="s">
        <v>2027</v>
      </c>
      <c r="M232" s="607">
        <v>0</v>
      </c>
      <c r="N232" s="608">
        <v>0</v>
      </c>
      <c r="O232" s="1360">
        <v>0</v>
      </c>
      <c r="P232" s="1360">
        <v>0</v>
      </c>
      <c r="Q232" s="1361">
        <v>76003</v>
      </c>
      <c r="R232" s="1361">
        <v>76003</v>
      </c>
    </row>
    <row r="233" spans="1:18" ht="11.25" hidden="1" customHeight="1" x14ac:dyDescent="0.25">
      <c r="A233" s="1364" t="s">
        <v>2315</v>
      </c>
      <c r="B233" s="1372" t="s">
        <v>2315</v>
      </c>
      <c r="C233" s="1356" t="s">
        <v>2027</v>
      </c>
      <c r="D233" s="1356"/>
      <c r="E233" s="1357"/>
      <c r="F233" s="1357"/>
      <c r="G233" s="1355" t="s">
        <v>2301</v>
      </c>
      <c r="H233" s="1357" t="s">
        <v>1666</v>
      </c>
      <c r="I233" s="1358" t="s">
        <v>1370</v>
      </c>
      <c r="J233" s="1355" t="s">
        <v>2316</v>
      </c>
      <c r="K233" s="1356" t="s">
        <v>2027</v>
      </c>
      <c r="L233" s="1356" t="s">
        <v>2027</v>
      </c>
      <c r="M233" s="607">
        <v>0</v>
      </c>
      <c r="N233" s="608">
        <v>0</v>
      </c>
      <c r="O233" s="1360">
        <v>0</v>
      </c>
      <c r="P233" s="1360">
        <v>0</v>
      </c>
      <c r="Q233" s="1361">
        <v>0</v>
      </c>
      <c r="R233" s="1361">
        <v>0</v>
      </c>
    </row>
    <row r="234" spans="1:18" ht="11.25" hidden="1" customHeight="1" x14ac:dyDescent="0.25">
      <c r="A234" s="1364" t="s">
        <v>2317</v>
      </c>
      <c r="B234" s="1372" t="s">
        <v>2317</v>
      </c>
      <c r="C234" s="1356" t="s">
        <v>2027</v>
      </c>
      <c r="D234" s="1356"/>
      <c r="E234" s="1357"/>
      <c r="F234" s="1357"/>
      <c r="G234" s="1355" t="s">
        <v>2301</v>
      </c>
      <c r="H234" s="1357" t="s">
        <v>1370</v>
      </c>
      <c r="I234" s="1358" t="s">
        <v>1370</v>
      </c>
      <c r="J234" s="1355" t="s">
        <v>2091</v>
      </c>
      <c r="K234" s="1356" t="s">
        <v>2027</v>
      </c>
      <c r="L234" s="1356" t="s">
        <v>2027</v>
      </c>
      <c r="M234" s="607">
        <v>2000000</v>
      </c>
      <c r="N234" s="608">
        <f>2000000+3000000</f>
        <v>5000000</v>
      </c>
      <c r="O234" s="1360">
        <v>3000000</v>
      </c>
      <c r="P234" s="1360">
        <v>3000000</v>
      </c>
      <c r="Q234" s="1361">
        <v>3000000</v>
      </c>
      <c r="R234" s="1361">
        <v>3000000</v>
      </c>
    </row>
    <row r="235" spans="1:18" ht="11.25" hidden="1" customHeight="1" x14ac:dyDescent="0.25">
      <c r="A235" s="1364" t="s">
        <v>2318</v>
      </c>
      <c r="B235" s="1372" t="s">
        <v>2318</v>
      </c>
      <c r="C235" s="1356" t="s">
        <v>2027</v>
      </c>
      <c r="D235" s="1356"/>
      <c r="E235" s="1357"/>
      <c r="F235" s="1357"/>
      <c r="G235" s="1355" t="s">
        <v>2301</v>
      </c>
      <c r="H235" s="1357" t="s">
        <v>1370</v>
      </c>
      <c r="I235" s="1358" t="s">
        <v>1370</v>
      </c>
      <c r="J235" s="1355" t="s">
        <v>2091</v>
      </c>
      <c r="K235" s="1356" t="s">
        <v>2027</v>
      </c>
      <c r="L235" s="1356" t="s">
        <v>2027</v>
      </c>
      <c r="M235" s="607">
        <v>0</v>
      </c>
      <c r="N235" s="608">
        <v>0</v>
      </c>
      <c r="O235" s="1360">
        <v>481731</v>
      </c>
      <c r="P235" s="1360">
        <v>481731</v>
      </c>
      <c r="Q235" s="1361">
        <v>0</v>
      </c>
      <c r="R235" s="1361">
        <v>0</v>
      </c>
    </row>
    <row r="236" spans="1:18" ht="11.25" hidden="1" customHeight="1" x14ac:dyDescent="0.25">
      <c r="A236" s="1364" t="s">
        <v>2319</v>
      </c>
      <c r="B236" s="1372" t="s">
        <v>2319</v>
      </c>
      <c r="C236" s="1356" t="s">
        <v>2027</v>
      </c>
      <c r="D236" s="1356"/>
      <c r="E236" s="1357"/>
      <c r="F236" s="1357"/>
      <c r="G236" s="1355" t="s">
        <v>2301</v>
      </c>
      <c r="H236" s="1357" t="s">
        <v>1370</v>
      </c>
      <c r="I236" s="1358" t="s">
        <v>1370</v>
      </c>
      <c r="J236" s="1355" t="s">
        <v>2091</v>
      </c>
      <c r="K236" s="1356" t="s">
        <v>2027</v>
      </c>
      <c r="L236" s="1356" t="s">
        <v>2027</v>
      </c>
      <c r="M236" s="607">
        <v>1500000</v>
      </c>
      <c r="N236" s="608">
        <v>1500000</v>
      </c>
      <c r="O236" s="1360">
        <v>0</v>
      </c>
      <c r="P236" s="1360">
        <v>0</v>
      </c>
      <c r="Q236" s="1361">
        <v>0</v>
      </c>
      <c r="R236" s="1361">
        <v>0</v>
      </c>
    </row>
    <row r="237" spans="1:18" ht="11.25" hidden="1" customHeight="1" x14ac:dyDescent="0.25">
      <c r="A237" s="1364" t="s">
        <v>2320</v>
      </c>
      <c r="B237" s="1372" t="s">
        <v>2320</v>
      </c>
      <c r="C237" s="1356" t="s">
        <v>2027</v>
      </c>
      <c r="D237" s="1356"/>
      <c r="E237" s="1357"/>
      <c r="F237" s="1357"/>
      <c r="G237" s="1355" t="s">
        <v>2301</v>
      </c>
      <c r="H237" s="1357" t="s">
        <v>1370</v>
      </c>
      <c r="I237" s="1358" t="s">
        <v>1370</v>
      </c>
      <c r="J237" s="1355" t="s">
        <v>2091</v>
      </c>
      <c r="K237" s="1356" t="s">
        <v>2027</v>
      </c>
      <c r="L237" s="1356" t="s">
        <v>2027</v>
      </c>
      <c r="M237" s="607">
        <v>4000000</v>
      </c>
      <c r="N237" s="608">
        <v>4000000</v>
      </c>
      <c r="O237" s="1360">
        <v>0</v>
      </c>
      <c r="P237" s="1360">
        <v>0</v>
      </c>
      <c r="Q237" s="1361">
        <v>0</v>
      </c>
      <c r="R237" s="1361">
        <v>0</v>
      </c>
    </row>
    <row r="238" spans="1:18" ht="11.25" hidden="1" customHeight="1" x14ac:dyDescent="0.25">
      <c r="A238" s="1364" t="s">
        <v>2321</v>
      </c>
      <c r="B238" s="1372" t="s">
        <v>2321</v>
      </c>
      <c r="C238" s="1356" t="s">
        <v>2027</v>
      </c>
      <c r="D238" s="1356"/>
      <c r="E238" s="1357"/>
      <c r="F238" s="1357"/>
      <c r="G238" s="1355" t="s">
        <v>2301</v>
      </c>
      <c r="H238" s="1357" t="s">
        <v>1370</v>
      </c>
      <c r="I238" s="1358" t="s">
        <v>1370</v>
      </c>
      <c r="J238" s="1355" t="s">
        <v>2196</v>
      </c>
      <c r="K238" s="1356" t="s">
        <v>2027</v>
      </c>
      <c r="L238" s="1356" t="s">
        <v>2027</v>
      </c>
      <c r="M238" s="607">
        <v>100000</v>
      </c>
      <c r="N238" s="608">
        <v>100000</v>
      </c>
      <c r="O238" s="1360">
        <v>0</v>
      </c>
      <c r="P238" s="1360">
        <v>0</v>
      </c>
      <c r="Q238" s="1361">
        <v>0</v>
      </c>
      <c r="R238" s="1361">
        <v>0</v>
      </c>
    </row>
    <row r="239" spans="1:18" ht="11.25" hidden="1" customHeight="1" x14ac:dyDescent="0.25">
      <c r="A239" s="1364" t="s">
        <v>2322</v>
      </c>
      <c r="B239" s="1372" t="s">
        <v>2322</v>
      </c>
      <c r="C239" s="1356" t="s">
        <v>2027</v>
      </c>
      <c r="D239" s="1356"/>
      <c r="E239" s="1357"/>
      <c r="F239" s="1357"/>
      <c r="G239" s="1355" t="s">
        <v>2301</v>
      </c>
      <c r="H239" s="1357" t="s">
        <v>1370</v>
      </c>
      <c r="I239" s="1358" t="s">
        <v>1370</v>
      </c>
      <c r="J239" s="1355" t="s">
        <v>2199</v>
      </c>
      <c r="K239" s="1356" t="s">
        <v>2027</v>
      </c>
      <c r="L239" s="1356" t="s">
        <v>2027</v>
      </c>
      <c r="M239" s="607">
        <v>0</v>
      </c>
      <c r="N239" s="608">
        <v>0</v>
      </c>
      <c r="O239" s="1360">
        <v>0</v>
      </c>
      <c r="P239" s="1360">
        <v>0</v>
      </c>
      <c r="Q239" s="1361">
        <v>150000</v>
      </c>
      <c r="R239" s="1361">
        <v>150000</v>
      </c>
    </row>
    <row r="240" spans="1:18" ht="11.25" hidden="1" customHeight="1" x14ac:dyDescent="0.25">
      <c r="A240" s="1364" t="s">
        <v>2323</v>
      </c>
      <c r="B240" s="1372" t="s">
        <v>2323</v>
      </c>
      <c r="C240" s="1356" t="s">
        <v>2027</v>
      </c>
      <c r="D240" s="1356"/>
      <c r="E240" s="1357"/>
      <c r="F240" s="1357"/>
      <c r="G240" s="1355" t="s">
        <v>2301</v>
      </c>
      <c r="H240" s="1357" t="s">
        <v>1370</v>
      </c>
      <c r="I240" s="1358" t="s">
        <v>1370</v>
      </c>
      <c r="J240" s="1355" t="s">
        <v>2199</v>
      </c>
      <c r="K240" s="1356" t="s">
        <v>2027</v>
      </c>
      <c r="L240" s="1356" t="s">
        <v>2027</v>
      </c>
      <c r="M240" s="607">
        <v>0</v>
      </c>
      <c r="N240" s="608">
        <v>0</v>
      </c>
      <c r="O240" s="1360">
        <v>100000</v>
      </c>
      <c r="P240" s="1360">
        <v>100000</v>
      </c>
      <c r="Q240" s="1361">
        <v>0</v>
      </c>
      <c r="R240" s="1361">
        <v>0</v>
      </c>
    </row>
    <row r="241" spans="1:18" ht="11.25" hidden="1" customHeight="1" x14ac:dyDescent="0.25">
      <c r="A241" s="1364" t="s">
        <v>2324</v>
      </c>
      <c r="B241" s="1372" t="s">
        <v>2324</v>
      </c>
      <c r="C241" s="1356" t="s">
        <v>2027</v>
      </c>
      <c r="D241" s="1356"/>
      <c r="E241" s="1357"/>
      <c r="F241" s="1357"/>
      <c r="G241" s="1355" t="s">
        <v>2301</v>
      </c>
      <c r="H241" s="1357" t="s">
        <v>1370</v>
      </c>
      <c r="I241" s="1358" t="s">
        <v>1370</v>
      </c>
      <c r="J241" s="1355" t="s">
        <v>2185</v>
      </c>
      <c r="K241" s="1356" t="s">
        <v>2027</v>
      </c>
      <c r="L241" s="1356" t="s">
        <v>2027</v>
      </c>
      <c r="M241" s="607">
        <v>300000</v>
      </c>
      <c r="N241" s="608">
        <v>300000</v>
      </c>
      <c r="O241" s="1360">
        <v>0</v>
      </c>
      <c r="P241" s="1360">
        <v>0</v>
      </c>
      <c r="Q241" s="1361">
        <v>0</v>
      </c>
      <c r="R241" s="1361">
        <v>0</v>
      </c>
    </row>
    <row r="242" spans="1:18" ht="11.25" hidden="1" customHeight="1" x14ac:dyDescent="0.25">
      <c r="A242" s="1364" t="s">
        <v>2325</v>
      </c>
      <c r="B242" s="1372" t="s">
        <v>2325</v>
      </c>
      <c r="C242" s="1356" t="s">
        <v>2027</v>
      </c>
      <c r="D242" s="1356"/>
      <c r="E242" s="1357"/>
      <c r="F242" s="1357"/>
      <c r="G242" s="1355" t="s">
        <v>2301</v>
      </c>
      <c r="H242" s="1357" t="s">
        <v>1370</v>
      </c>
      <c r="I242" s="1358" t="s">
        <v>1370</v>
      </c>
      <c r="J242" s="1355">
        <v>8</v>
      </c>
      <c r="K242" s="1356" t="s">
        <v>2027</v>
      </c>
      <c r="L242" s="1356" t="s">
        <v>2027</v>
      </c>
      <c r="M242" s="607">
        <v>365350</v>
      </c>
      <c r="N242" s="608">
        <v>365350</v>
      </c>
      <c r="O242" s="1360">
        <v>0</v>
      </c>
      <c r="P242" s="1360">
        <v>0</v>
      </c>
      <c r="Q242" s="1361">
        <v>323562</v>
      </c>
      <c r="R242" s="1361">
        <v>323562</v>
      </c>
    </row>
    <row r="243" spans="1:18" ht="11.25" hidden="1" customHeight="1" x14ac:dyDescent="0.25">
      <c r="A243" s="1364" t="s">
        <v>2326</v>
      </c>
      <c r="B243" s="1372" t="s">
        <v>2326</v>
      </c>
      <c r="C243" s="1356" t="s">
        <v>2027</v>
      </c>
      <c r="D243" s="1356"/>
      <c r="E243" s="1357"/>
      <c r="F243" s="1357"/>
      <c r="G243" s="1355" t="s">
        <v>2301</v>
      </c>
      <c r="H243" s="1357" t="s">
        <v>1370</v>
      </c>
      <c r="I243" s="1358" t="s">
        <v>1370</v>
      </c>
      <c r="J243" s="1355">
        <v>23</v>
      </c>
      <c r="K243" s="1356" t="s">
        <v>2027</v>
      </c>
      <c r="L243" s="1356" t="s">
        <v>2027</v>
      </c>
      <c r="M243" s="607">
        <v>918948</v>
      </c>
      <c r="N243" s="608">
        <v>918948</v>
      </c>
      <c r="O243" s="1360">
        <v>0</v>
      </c>
      <c r="P243" s="1360">
        <v>0</v>
      </c>
      <c r="Q243" s="1361">
        <v>340212</v>
      </c>
      <c r="R243" s="1361">
        <v>340212</v>
      </c>
    </row>
    <row r="244" spans="1:18" ht="11.25" hidden="1" customHeight="1" x14ac:dyDescent="0.25">
      <c r="A244" s="1364" t="s">
        <v>2327</v>
      </c>
      <c r="B244" s="1372" t="s">
        <v>2327</v>
      </c>
      <c r="C244" s="1356" t="s">
        <v>2027</v>
      </c>
      <c r="D244" s="1356"/>
      <c r="E244" s="1357"/>
      <c r="F244" s="1357"/>
      <c r="G244" s="1355" t="s">
        <v>2301</v>
      </c>
      <c r="H244" s="1357" t="s">
        <v>1370</v>
      </c>
      <c r="I244" s="1358" t="s">
        <v>1370</v>
      </c>
      <c r="J244" s="1355">
        <v>8</v>
      </c>
      <c r="K244" s="1356" t="s">
        <v>2027</v>
      </c>
      <c r="L244" s="1356" t="s">
        <v>2027</v>
      </c>
      <c r="M244" s="607">
        <v>0</v>
      </c>
      <c r="N244" s="608">
        <v>0</v>
      </c>
      <c r="O244" s="1360">
        <v>880417</v>
      </c>
      <c r="P244" s="1360">
        <v>880417</v>
      </c>
      <c r="Q244" s="1361">
        <v>0</v>
      </c>
      <c r="R244" s="1361">
        <v>0</v>
      </c>
    </row>
    <row r="245" spans="1:18" ht="11.25" hidden="1" customHeight="1" x14ac:dyDescent="0.25">
      <c r="A245" s="1364" t="s">
        <v>2328</v>
      </c>
      <c r="B245" s="1372" t="s">
        <v>2328</v>
      </c>
      <c r="C245" s="1356" t="s">
        <v>2027</v>
      </c>
      <c r="D245" s="1356"/>
      <c r="E245" s="1357"/>
      <c r="F245" s="1357"/>
      <c r="G245" s="1355" t="s">
        <v>2288</v>
      </c>
      <c r="H245" s="1357" t="s">
        <v>1621</v>
      </c>
      <c r="I245" s="1358" t="s">
        <v>1640</v>
      </c>
      <c r="J245" s="1355" t="s">
        <v>2237</v>
      </c>
      <c r="K245" s="1356" t="s">
        <v>2027</v>
      </c>
      <c r="L245" s="1356" t="s">
        <v>2027</v>
      </c>
      <c r="M245" s="607">
        <v>0</v>
      </c>
      <c r="N245" s="608">
        <v>0</v>
      </c>
      <c r="O245" s="1360">
        <v>101071</v>
      </c>
      <c r="P245" s="1360">
        <v>101071</v>
      </c>
      <c r="Q245" s="1361">
        <v>600000</v>
      </c>
      <c r="R245" s="1361">
        <v>600000</v>
      </c>
    </row>
    <row r="246" spans="1:18" ht="11.25" hidden="1" customHeight="1" x14ac:dyDescent="0.25">
      <c r="A246" s="1364" t="s">
        <v>2329</v>
      </c>
      <c r="B246" s="1372" t="s">
        <v>2329</v>
      </c>
      <c r="C246" s="1356" t="s">
        <v>2027</v>
      </c>
      <c r="D246" s="1356"/>
      <c r="E246" s="1357"/>
      <c r="F246" s="1357"/>
      <c r="G246" s="1355" t="s">
        <v>2288</v>
      </c>
      <c r="H246" s="1357" t="s">
        <v>1621</v>
      </c>
      <c r="I246" s="1358" t="s">
        <v>1640</v>
      </c>
      <c r="J246" s="1355">
        <v>2</v>
      </c>
      <c r="K246" s="1356" t="s">
        <v>2027</v>
      </c>
      <c r="L246" s="1356" t="s">
        <v>2027</v>
      </c>
      <c r="M246" s="607">
        <v>5000000</v>
      </c>
      <c r="N246" s="608">
        <v>5000000</v>
      </c>
      <c r="O246" s="1360">
        <v>5000000</v>
      </c>
      <c r="P246" s="1360">
        <v>5000000</v>
      </c>
      <c r="Q246" s="1361">
        <v>9859450</v>
      </c>
      <c r="R246" s="1361">
        <v>9859450</v>
      </c>
    </row>
    <row r="247" spans="1:18" ht="11.25" hidden="1" customHeight="1" x14ac:dyDescent="0.25">
      <c r="A247" s="1364" t="s">
        <v>2330</v>
      </c>
      <c r="B247" s="1372" t="s">
        <v>2330</v>
      </c>
      <c r="C247" s="1356" t="s">
        <v>2027</v>
      </c>
      <c r="D247" s="1356"/>
      <c r="E247" s="1357"/>
      <c r="F247" s="1357"/>
      <c r="G247" s="1355" t="s">
        <v>2288</v>
      </c>
      <c r="H247" s="1357" t="s">
        <v>1621</v>
      </c>
      <c r="I247" s="1358" t="s">
        <v>1640</v>
      </c>
      <c r="J247" s="1355">
        <v>8</v>
      </c>
      <c r="K247" s="1356" t="s">
        <v>2027</v>
      </c>
      <c r="L247" s="1356" t="s">
        <v>2027</v>
      </c>
      <c r="M247" s="607">
        <v>6000000</v>
      </c>
      <c r="N247" s="608">
        <v>6000000</v>
      </c>
      <c r="O247" s="1360">
        <v>5407750</v>
      </c>
      <c r="P247" s="1360">
        <v>5407750</v>
      </c>
      <c r="Q247" s="1361">
        <v>15000000</v>
      </c>
      <c r="R247" s="1361">
        <v>15000000</v>
      </c>
    </row>
    <row r="248" spans="1:18" ht="11.25" hidden="1" customHeight="1" x14ac:dyDescent="0.25">
      <c r="A248" s="1364" t="s">
        <v>2331</v>
      </c>
      <c r="B248" s="1372" t="s">
        <v>2331</v>
      </c>
      <c r="C248" s="1356" t="s">
        <v>2027</v>
      </c>
      <c r="D248" s="1356"/>
      <c r="E248" s="1357"/>
      <c r="F248" s="1357"/>
      <c r="G248" s="1355" t="s">
        <v>2288</v>
      </c>
      <c r="H248" s="1357" t="s">
        <v>1621</v>
      </c>
      <c r="I248" s="1358" t="s">
        <v>1640</v>
      </c>
      <c r="J248" s="1355">
        <v>25</v>
      </c>
      <c r="K248" s="1356" t="s">
        <v>2027</v>
      </c>
      <c r="L248" s="1356" t="s">
        <v>2027</v>
      </c>
      <c r="M248" s="607">
        <v>4000000</v>
      </c>
      <c r="N248" s="608">
        <v>4000000</v>
      </c>
      <c r="O248" s="1360">
        <v>0</v>
      </c>
      <c r="P248" s="1360">
        <v>0</v>
      </c>
      <c r="Q248" s="1361">
        <v>0</v>
      </c>
      <c r="R248" s="1361">
        <v>0</v>
      </c>
    </row>
    <row r="249" spans="1:18" ht="11.25" hidden="1" customHeight="1" x14ac:dyDescent="0.25">
      <c r="A249" s="1364" t="s">
        <v>2332</v>
      </c>
      <c r="B249" s="1372" t="s">
        <v>2332</v>
      </c>
      <c r="C249" s="1356" t="s">
        <v>2027</v>
      </c>
      <c r="D249" s="1356"/>
      <c r="E249" s="1357"/>
      <c r="F249" s="1357"/>
      <c r="G249" s="1355" t="s">
        <v>2288</v>
      </c>
      <c r="H249" s="1357" t="s">
        <v>1621</v>
      </c>
      <c r="I249" s="1358" t="s">
        <v>1640</v>
      </c>
      <c r="J249" s="1355" t="s">
        <v>2333</v>
      </c>
      <c r="K249" s="1356" t="s">
        <v>2027</v>
      </c>
      <c r="L249" s="1356" t="s">
        <v>2027</v>
      </c>
      <c r="M249" s="607">
        <v>5000000</v>
      </c>
      <c r="N249" s="608">
        <v>5000000</v>
      </c>
      <c r="O249" s="1360">
        <v>0</v>
      </c>
      <c r="P249" s="1360">
        <v>0</v>
      </c>
      <c r="Q249" s="1361">
        <v>0</v>
      </c>
      <c r="R249" s="1361">
        <v>0</v>
      </c>
    </row>
    <row r="250" spans="1:18" ht="11.25" hidden="1" customHeight="1" x14ac:dyDescent="0.25">
      <c r="A250" s="1364" t="s">
        <v>2334</v>
      </c>
      <c r="B250" s="1372" t="s">
        <v>2334</v>
      </c>
      <c r="C250" s="1356" t="s">
        <v>2027</v>
      </c>
      <c r="D250" s="1356"/>
      <c r="E250" s="1357"/>
      <c r="F250" s="1357"/>
      <c r="G250" s="1355" t="s">
        <v>2288</v>
      </c>
      <c r="H250" s="1357" t="s">
        <v>1621</v>
      </c>
      <c r="I250" s="1358" t="s">
        <v>1640</v>
      </c>
      <c r="J250" s="1355">
        <v>44</v>
      </c>
      <c r="K250" s="1356" t="s">
        <v>2027</v>
      </c>
      <c r="L250" s="1356" t="s">
        <v>2027</v>
      </c>
      <c r="M250" s="607">
        <v>2000000</v>
      </c>
      <c r="N250" s="608">
        <v>2000000</v>
      </c>
      <c r="O250" s="1360">
        <v>5000000</v>
      </c>
      <c r="P250" s="1360">
        <v>5000000</v>
      </c>
      <c r="Q250" s="1361">
        <v>10000000</v>
      </c>
      <c r="R250" s="1361">
        <v>10000000</v>
      </c>
    </row>
    <row r="251" spans="1:18" ht="11.25" hidden="1" customHeight="1" x14ac:dyDescent="0.25">
      <c r="A251" s="1364" t="s">
        <v>2335</v>
      </c>
      <c r="B251" s="1372" t="s">
        <v>2335</v>
      </c>
      <c r="C251" s="1356" t="s">
        <v>2027</v>
      </c>
      <c r="D251" s="1356"/>
      <c r="E251" s="1357"/>
      <c r="F251" s="1357"/>
      <c r="G251" s="1355" t="s">
        <v>2288</v>
      </c>
      <c r="H251" s="1357" t="s">
        <v>1621</v>
      </c>
      <c r="I251" s="1358" t="s">
        <v>1640</v>
      </c>
      <c r="J251" s="1355" t="s">
        <v>2336</v>
      </c>
      <c r="K251" s="1356" t="s">
        <v>2027</v>
      </c>
      <c r="L251" s="1356" t="s">
        <v>2027</v>
      </c>
      <c r="M251" s="607">
        <v>30000000</v>
      </c>
      <c r="N251" s="608">
        <v>30000000</v>
      </c>
      <c r="O251" s="1360">
        <v>30000000</v>
      </c>
      <c r="P251" s="1360">
        <v>30000000</v>
      </c>
      <c r="Q251" s="1361">
        <v>0</v>
      </c>
      <c r="R251" s="1361">
        <v>0</v>
      </c>
    </row>
    <row r="252" spans="1:18" ht="11.25" hidden="1" customHeight="1" x14ac:dyDescent="0.25">
      <c r="A252" s="1364" t="s">
        <v>2337</v>
      </c>
      <c r="B252" s="1372" t="s">
        <v>2337</v>
      </c>
      <c r="C252" s="1356" t="s">
        <v>2027</v>
      </c>
      <c r="D252" s="1356"/>
      <c r="E252" s="1357"/>
      <c r="F252" s="1357"/>
      <c r="G252" s="1355" t="s">
        <v>2288</v>
      </c>
      <c r="H252" s="1357" t="s">
        <v>1621</v>
      </c>
      <c r="I252" s="1358" t="s">
        <v>1640</v>
      </c>
      <c r="J252" s="1355" t="s">
        <v>2338</v>
      </c>
      <c r="K252" s="1356" t="s">
        <v>2027</v>
      </c>
      <c r="L252" s="1356" t="s">
        <v>2027</v>
      </c>
      <c r="M252" s="607">
        <v>4000000</v>
      </c>
      <c r="N252" s="608">
        <v>4000000</v>
      </c>
      <c r="O252" s="1360">
        <v>0</v>
      </c>
      <c r="P252" s="1360">
        <v>0</v>
      </c>
      <c r="Q252" s="1361">
        <v>0</v>
      </c>
      <c r="R252" s="1361">
        <v>0</v>
      </c>
    </row>
    <row r="253" spans="1:18" ht="11.25" hidden="1" customHeight="1" x14ac:dyDescent="0.25">
      <c r="A253" s="1364" t="s">
        <v>2339</v>
      </c>
      <c r="B253" s="1372" t="s">
        <v>2339</v>
      </c>
      <c r="C253" s="1356" t="s">
        <v>2027</v>
      </c>
      <c r="D253" s="1356"/>
      <c r="E253" s="1357"/>
      <c r="F253" s="1357"/>
      <c r="G253" s="1355" t="s">
        <v>2288</v>
      </c>
      <c r="H253" s="1357" t="s">
        <v>1621</v>
      </c>
      <c r="I253" s="1358" t="s">
        <v>1622</v>
      </c>
      <c r="J253" s="1355" t="s">
        <v>2246</v>
      </c>
      <c r="K253" s="1356" t="s">
        <v>2027</v>
      </c>
      <c r="L253" s="1356" t="s">
        <v>2027</v>
      </c>
      <c r="M253" s="607">
        <v>100000</v>
      </c>
      <c r="N253" s="608">
        <v>100000</v>
      </c>
      <c r="O253" s="1360">
        <v>200000</v>
      </c>
      <c r="P253" s="1360">
        <v>200000</v>
      </c>
      <c r="Q253" s="1361">
        <v>400000</v>
      </c>
      <c r="R253" s="1361">
        <v>400000</v>
      </c>
    </row>
    <row r="254" spans="1:18" ht="11.25" hidden="1" customHeight="1" x14ac:dyDescent="0.25">
      <c r="A254" s="1364" t="s">
        <v>2340</v>
      </c>
      <c r="B254" s="1372" t="s">
        <v>2340</v>
      </c>
      <c r="C254" s="1356" t="s">
        <v>2027</v>
      </c>
      <c r="D254" s="1356"/>
      <c r="E254" s="1357"/>
      <c r="F254" s="1357"/>
      <c r="G254" s="1355" t="s">
        <v>2288</v>
      </c>
      <c r="H254" s="1357" t="s">
        <v>1621</v>
      </c>
      <c r="I254" s="1358" t="s">
        <v>1622</v>
      </c>
      <c r="J254" s="1355" t="s">
        <v>2237</v>
      </c>
      <c r="K254" s="1356" t="s">
        <v>2027</v>
      </c>
      <c r="L254" s="1356" t="s">
        <v>2027</v>
      </c>
      <c r="M254" s="607">
        <v>100000</v>
      </c>
      <c r="N254" s="608">
        <v>100000</v>
      </c>
      <c r="O254" s="1360">
        <v>100000</v>
      </c>
      <c r="P254" s="1360">
        <v>100000</v>
      </c>
      <c r="Q254" s="1361">
        <v>500000</v>
      </c>
      <c r="R254" s="1361">
        <v>500000</v>
      </c>
    </row>
    <row r="255" spans="1:18" ht="11.25" hidden="1" customHeight="1" x14ac:dyDescent="0.25">
      <c r="A255" s="1364" t="s">
        <v>2341</v>
      </c>
      <c r="B255" s="1372" t="s">
        <v>2341</v>
      </c>
      <c r="C255" s="1356" t="s">
        <v>2027</v>
      </c>
      <c r="D255" s="1356"/>
      <c r="E255" s="1357"/>
      <c r="F255" s="1357"/>
      <c r="G255" s="1355" t="s">
        <v>2288</v>
      </c>
      <c r="H255" s="1357" t="s">
        <v>1621</v>
      </c>
      <c r="I255" s="1358" t="s">
        <v>1622</v>
      </c>
      <c r="J255" s="1355" t="s">
        <v>2237</v>
      </c>
      <c r="K255" s="1356" t="s">
        <v>2027</v>
      </c>
      <c r="L255" s="1356" t="s">
        <v>2027</v>
      </c>
      <c r="M255" s="607">
        <v>56000</v>
      </c>
      <c r="N255" s="608">
        <v>56000</v>
      </c>
      <c r="O255" s="1360">
        <v>68386</v>
      </c>
      <c r="P255" s="1360">
        <v>68386</v>
      </c>
      <c r="Q255" s="1361">
        <v>200000</v>
      </c>
      <c r="R255" s="1361">
        <v>200000</v>
      </c>
    </row>
    <row r="256" spans="1:18" ht="11.25" hidden="1" customHeight="1" x14ac:dyDescent="0.25">
      <c r="A256" s="1364" t="s">
        <v>2342</v>
      </c>
      <c r="B256" s="1372" t="s">
        <v>2342</v>
      </c>
      <c r="C256" s="1356" t="s">
        <v>2027</v>
      </c>
      <c r="D256" s="1356"/>
      <c r="E256" s="1357"/>
      <c r="F256" s="1357"/>
      <c r="G256" s="1355" t="s">
        <v>2288</v>
      </c>
      <c r="H256" s="1357" t="s">
        <v>1621</v>
      </c>
      <c r="I256" s="1358" t="s">
        <v>1622</v>
      </c>
      <c r="J256" s="1355" t="s">
        <v>2237</v>
      </c>
      <c r="K256" s="1356" t="s">
        <v>2027</v>
      </c>
      <c r="L256" s="1356" t="s">
        <v>2027</v>
      </c>
      <c r="M256" s="607">
        <v>100000</v>
      </c>
      <c r="N256" s="608">
        <v>100000</v>
      </c>
      <c r="O256" s="1360">
        <v>0</v>
      </c>
      <c r="P256" s="1360">
        <v>0</v>
      </c>
      <c r="Q256" s="1361">
        <v>0</v>
      </c>
      <c r="R256" s="1361">
        <v>0</v>
      </c>
    </row>
    <row r="257" spans="1:18" ht="11.25" hidden="1" customHeight="1" x14ac:dyDescent="0.25">
      <c r="A257" s="1364" t="s">
        <v>2343</v>
      </c>
      <c r="B257" s="1372" t="s">
        <v>2343</v>
      </c>
      <c r="C257" s="1356" t="s">
        <v>2027</v>
      </c>
      <c r="D257" s="1356"/>
      <c r="E257" s="1357"/>
      <c r="F257" s="1357"/>
      <c r="G257" s="1355" t="s">
        <v>2288</v>
      </c>
      <c r="H257" s="1357" t="s">
        <v>1621</v>
      </c>
      <c r="I257" s="1358" t="s">
        <v>1622</v>
      </c>
      <c r="J257" s="1355" t="s">
        <v>2237</v>
      </c>
      <c r="K257" s="1356" t="s">
        <v>2027</v>
      </c>
      <c r="L257" s="1356" t="s">
        <v>2027</v>
      </c>
      <c r="M257" s="607">
        <v>50000</v>
      </c>
      <c r="N257" s="608">
        <v>50000</v>
      </c>
      <c r="O257" s="1360">
        <v>0</v>
      </c>
      <c r="P257" s="1360">
        <v>0</v>
      </c>
      <c r="Q257" s="1361">
        <v>25512</v>
      </c>
      <c r="R257" s="1361">
        <v>25512</v>
      </c>
    </row>
    <row r="258" spans="1:18" ht="11.25" hidden="1" customHeight="1" x14ac:dyDescent="0.25">
      <c r="A258" s="1364" t="s">
        <v>2344</v>
      </c>
      <c r="B258" s="1372" t="s">
        <v>2344</v>
      </c>
      <c r="C258" s="1356" t="s">
        <v>2027</v>
      </c>
      <c r="D258" s="1356"/>
      <c r="E258" s="1357"/>
      <c r="F258" s="1357"/>
      <c r="G258" s="1355" t="s">
        <v>2288</v>
      </c>
      <c r="H258" s="1357" t="s">
        <v>1621</v>
      </c>
      <c r="I258" s="1358" t="s">
        <v>1622</v>
      </c>
      <c r="J258" s="1355" t="s">
        <v>2237</v>
      </c>
      <c r="K258" s="1356" t="s">
        <v>2027</v>
      </c>
      <c r="L258" s="1356" t="s">
        <v>2027</v>
      </c>
      <c r="M258" s="607">
        <v>200978</v>
      </c>
      <c r="N258" s="608">
        <v>200978</v>
      </c>
      <c r="O258" s="1360">
        <v>0</v>
      </c>
      <c r="P258" s="1360">
        <v>0</v>
      </c>
      <c r="Q258" s="1361">
        <v>0</v>
      </c>
      <c r="R258" s="1361">
        <v>0</v>
      </c>
    </row>
    <row r="259" spans="1:18" ht="11.25" hidden="1" customHeight="1" x14ac:dyDescent="0.25">
      <c r="A259" s="1364" t="s">
        <v>2345</v>
      </c>
      <c r="B259" s="1372" t="s">
        <v>2345</v>
      </c>
      <c r="C259" s="1356" t="s">
        <v>2027</v>
      </c>
      <c r="D259" s="1356"/>
      <c r="E259" s="1357"/>
      <c r="F259" s="1357"/>
      <c r="G259" s="1355" t="s">
        <v>2028</v>
      </c>
      <c r="H259" s="1357" t="s">
        <v>1675</v>
      </c>
      <c r="I259" s="1358" t="s">
        <v>1675</v>
      </c>
      <c r="J259" s="1355" t="s">
        <v>2237</v>
      </c>
      <c r="K259" s="1356" t="s">
        <v>2027</v>
      </c>
      <c r="L259" s="1356" t="s">
        <v>2027</v>
      </c>
      <c r="M259" s="607">
        <v>2000000</v>
      </c>
      <c r="N259" s="608">
        <v>2000000</v>
      </c>
      <c r="O259" s="1360">
        <v>978240.72339524503</v>
      </c>
      <c r="P259" s="1360">
        <v>978240.72339524503</v>
      </c>
      <c r="Q259" s="1361">
        <v>1305850.3413729449</v>
      </c>
      <c r="R259" s="1361">
        <v>1305850.3413729449</v>
      </c>
    </row>
    <row r="260" spans="1:18" ht="11.25" hidden="1" customHeight="1" x14ac:dyDescent="0.25">
      <c r="A260" s="1364" t="s">
        <v>2346</v>
      </c>
      <c r="B260" s="1372" t="s">
        <v>2346</v>
      </c>
      <c r="C260" s="1356" t="s">
        <v>2027</v>
      </c>
      <c r="D260" s="1356"/>
      <c r="E260" s="1357"/>
      <c r="F260" s="1357"/>
      <c r="G260" s="1355" t="s">
        <v>2028</v>
      </c>
      <c r="H260" s="1357" t="s">
        <v>764</v>
      </c>
      <c r="I260" s="1358" t="s">
        <v>1617</v>
      </c>
      <c r="J260" s="1355" t="s">
        <v>2237</v>
      </c>
      <c r="K260" s="1356" t="s">
        <v>2027</v>
      </c>
      <c r="L260" s="1356" t="s">
        <v>2027</v>
      </c>
      <c r="M260" s="607">
        <v>1500000</v>
      </c>
      <c r="N260" s="608">
        <v>1500000</v>
      </c>
      <c r="O260" s="1360">
        <v>293472.21701857349</v>
      </c>
      <c r="P260" s="1360">
        <v>293472.21701857349</v>
      </c>
      <c r="Q260" s="1361">
        <v>652925.17068647244</v>
      </c>
      <c r="R260" s="1361">
        <v>652925.17068647244</v>
      </c>
    </row>
    <row r="261" spans="1:18" ht="11.25" hidden="1" customHeight="1" x14ac:dyDescent="0.25">
      <c r="A261" s="1364" t="s">
        <v>2347</v>
      </c>
      <c r="B261" s="1372" t="s">
        <v>2347</v>
      </c>
      <c r="C261" s="1356" t="s">
        <v>2027</v>
      </c>
      <c r="D261" s="1356"/>
      <c r="E261" s="1357"/>
      <c r="F261" s="1357"/>
      <c r="G261" s="1355" t="s">
        <v>2028</v>
      </c>
      <c r="H261" s="1357" t="s">
        <v>764</v>
      </c>
      <c r="I261" s="1358" t="s">
        <v>1617</v>
      </c>
      <c r="J261" s="1355" t="s">
        <v>2237</v>
      </c>
      <c r="K261" s="1356" t="s">
        <v>2027</v>
      </c>
      <c r="L261" s="1356" t="s">
        <v>2027</v>
      </c>
      <c r="M261" s="607">
        <v>0</v>
      </c>
      <c r="N261" s="608">
        <v>0</v>
      </c>
      <c r="O261" s="1360">
        <v>978240.72339524503</v>
      </c>
      <c r="P261" s="1360">
        <v>978240.72339524503</v>
      </c>
      <c r="Q261" s="1361">
        <v>1305850.3413729449</v>
      </c>
      <c r="R261" s="1361">
        <v>1305850.3413729449</v>
      </c>
    </row>
    <row r="262" spans="1:18" ht="11.25" hidden="1" customHeight="1" x14ac:dyDescent="0.25">
      <c r="A262" s="1364" t="s">
        <v>2348</v>
      </c>
      <c r="B262" s="1372" t="s">
        <v>2348</v>
      </c>
      <c r="C262" s="1356" t="s">
        <v>2027</v>
      </c>
      <c r="D262" s="1356"/>
      <c r="E262" s="1357"/>
      <c r="F262" s="1357"/>
      <c r="G262" s="1355" t="s">
        <v>2081</v>
      </c>
      <c r="H262" s="1357" t="s">
        <v>766</v>
      </c>
      <c r="I262" s="1358" t="s">
        <v>1648</v>
      </c>
      <c r="J262" s="1355">
        <v>1</v>
      </c>
      <c r="K262" s="1356" t="s">
        <v>2027</v>
      </c>
      <c r="L262" s="1356" t="s">
        <v>2027</v>
      </c>
      <c r="M262" s="607">
        <v>913573.1</v>
      </c>
      <c r="N262" s="608">
        <v>913573.1</v>
      </c>
      <c r="O262" s="1360">
        <v>0</v>
      </c>
      <c r="P262" s="1360">
        <v>0</v>
      </c>
      <c r="Q262" s="1361">
        <v>0</v>
      </c>
      <c r="R262" s="1361">
        <v>0</v>
      </c>
    </row>
    <row r="263" spans="1:18" ht="11.25" hidden="1" customHeight="1" x14ac:dyDescent="0.25">
      <c r="A263" s="1364" t="s">
        <v>2349</v>
      </c>
      <c r="B263" s="1372" t="s">
        <v>2349</v>
      </c>
      <c r="C263" s="1356" t="s">
        <v>2027</v>
      </c>
      <c r="D263" s="1356"/>
      <c r="E263" s="1357"/>
      <c r="F263" s="1357"/>
      <c r="G263" s="1355" t="s">
        <v>2081</v>
      </c>
      <c r="H263" s="1357" t="s">
        <v>766</v>
      </c>
      <c r="I263" s="1358" t="s">
        <v>1648</v>
      </c>
      <c r="J263" s="1355">
        <v>45</v>
      </c>
      <c r="K263" s="1356" t="s">
        <v>2027</v>
      </c>
      <c r="L263" s="1356" t="s">
        <v>2027</v>
      </c>
      <c r="M263" s="607">
        <v>0</v>
      </c>
      <c r="N263" s="608">
        <v>0</v>
      </c>
      <c r="O263" s="1360">
        <v>500000</v>
      </c>
      <c r="P263" s="1360">
        <v>500000</v>
      </c>
      <c r="Q263" s="1361">
        <v>500000</v>
      </c>
      <c r="R263" s="1361">
        <v>500000</v>
      </c>
    </row>
    <row r="264" spans="1:18" ht="11.25" hidden="1" customHeight="1" x14ac:dyDescent="0.25">
      <c r="A264" s="1364" t="s">
        <v>2350</v>
      </c>
      <c r="B264" s="1372" t="s">
        <v>2350</v>
      </c>
      <c r="C264" s="1356" t="s">
        <v>2027</v>
      </c>
      <c r="D264" s="1356"/>
      <c r="E264" s="1357"/>
      <c r="F264" s="1357"/>
      <c r="G264" s="1355" t="s">
        <v>2081</v>
      </c>
      <c r="H264" s="1357" t="s">
        <v>766</v>
      </c>
      <c r="I264" s="1358" t="s">
        <v>1648</v>
      </c>
      <c r="J264" s="1355">
        <v>8</v>
      </c>
      <c r="K264" s="1356" t="s">
        <v>2027</v>
      </c>
      <c r="L264" s="1356" t="s">
        <v>2027</v>
      </c>
      <c r="M264" s="607">
        <v>1000000</v>
      </c>
      <c r="N264" s="608">
        <v>1000000</v>
      </c>
      <c r="O264" s="1360">
        <v>950000</v>
      </c>
      <c r="P264" s="1360">
        <v>950000</v>
      </c>
      <c r="Q264" s="1361">
        <v>100000</v>
      </c>
      <c r="R264" s="1361">
        <v>100000</v>
      </c>
    </row>
    <row r="265" spans="1:18" ht="11.25" hidden="1" customHeight="1" x14ac:dyDescent="0.25">
      <c r="A265" s="1364" t="s">
        <v>2351</v>
      </c>
      <c r="B265" s="1372" t="s">
        <v>2351</v>
      </c>
      <c r="C265" s="1356" t="s">
        <v>2027</v>
      </c>
      <c r="D265" s="1356"/>
      <c r="E265" s="1357"/>
      <c r="F265" s="1357"/>
      <c r="G265" s="1355" t="s">
        <v>2081</v>
      </c>
      <c r="H265" s="1357" t="s">
        <v>766</v>
      </c>
      <c r="I265" s="1358" t="s">
        <v>1648</v>
      </c>
      <c r="J265" s="1355" t="s">
        <v>2237</v>
      </c>
      <c r="K265" s="1356" t="s">
        <v>2027</v>
      </c>
      <c r="L265" s="1356" t="s">
        <v>2027</v>
      </c>
      <c r="M265" s="607">
        <v>500000</v>
      </c>
      <c r="N265" s="608">
        <v>500000</v>
      </c>
      <c r="O265" s="1360">
        <v>200000</v>
      </c>
      <c r="P265" s="1360">
        <v>200000</v>
      </c>
      <c r="Q265" s="1361">
        <v>500000</v>
      </c>
      <c r="R265" s="1361">
        <v>500000</v>
      </c>
    </row>
    <row r="266" spans="1:18" ht="11.25" hidden="1" customHeight="1" x14ac:dyDescent="0.25">
      <c r="A266" s="1364" t="s">
        <v>2352</v>
      </c>
      <c r="B266" s="1372" t="s">
        <v>2352</v>
      </c>
      <c r="C266" s="1356" t="s">
        <v>2027</v>
      </c>
      <c r="D266" s="1356"/>
      <c r="E266" s="1357"/>
      <c r="F266" s="1357"/>
      <c r="G266" s="1355" t="s">
        <v>2081</v>
      </c>
      <c r="H266" s="1357" t="s">
        <v>766</v>
      </c>
      <c r="I266" s="1358" t="s">
        <v>1648</v>
      </c>
      <c r="J266" s="1355">
        <v>19</v>
      </c>
      <c r="K266" s="1356" t="s">
        <v>2027</v>
      </c>
      <c r="L266" s="1356" t="s">
        <v>2027</v>
      </c>
      <c r="M266" s="607">
        <v>600000</v>
      </c>
      <c r="N266" s="608">
        <v>600000</v>
      </c>
      <c r="O266" s="1360">
        <v>0</v>
      </c>
      <c r="P266" s="1360">
        <v>0</v>
      </c>
      <c r="Q266" s="1361">
        <v>0</v>
      </c>
      <c r="R266" s="1361">
        <v>0</v>
      </c>
    </row>
    <row r="267" spans="1:18" ht="11.25" hidden="1" customHeight="1" x14ac:dyDescent="0.25">
      <c r="A267" s="1364" t="s">
        <v>2353</v>
      </c>
      <c r="B267" s="1372" t="s">
        <v>2353</v>
      </c>
      <c r="C267" s="1356" t="s">
        <v>2027</v>
      </c>
      <c r="D267" s="1356"/>
      <c r="E267" s="1357"/>
      <c r="F267" s="1357"/>
      <c r="G267" s="1355" t="s">
        <v>2081</v>
      </c>
      <c r="H267" s="1357" t="s">
        <v>766</v>
      </c>
      <c r="I267" s="1358" t="s">
        <v>1648</v>
      </c>
      <c r="J267" s="1355" t="s">
        <v>2237</v>
      </c>
      <c r="K267" s="1356" t="s">
        <v>2027</v>
      </c>
      <c r="L267" s="1356" t="s">
        <v>2027</v>
      </c>
      <c r="M267" s="607">
        <v>500000</v>
      </c>
      <c r="N267" s="608">
        <v>500000</v>
      </c>
      <c r="O267" s="1360">
        <v>500000</v>
      </c>
      <c r="P267" s="1360">
        <v>500000</v>
      </c>
      <c r="Q267" s="1361">
        <v>500000</v>
      </c>
      <c r="R267" s="1361">
        <v>500000</v>
      </c>
    </row>
    <row r="268" spans="1:18" ht="11.25" hidden="1" customHeight="1" x14ac:dyDescent="0.25">
      <c r="A268" s="1364" t="s">
        <v>2354</v>
      </c>
      <c r="B268" s="1372" t="s">
        <v>2354</v>
      </c>
      <c r="C268" s="1356" t="s">
        <v>2027</v>
      </c>
      <c r="D268" s="1356"/>
      <c r="E268" s="1357"/>
      <c r="F268" s="1357"/>
      <c r="G268" s="1355" t="s">
        <v>2081</v>
      </c>
      <c r="H268" s="1357" t="s">
        <v>766</v>
      </c>
      <c r="I268" s="1358" t="s">
        <v>1648</v>
      </c>
      <c r="J268" s="1355">
        <v>20</v>
      </c>
      <c r="K268" s="1356" t="s">
        <v>2027</v>
      </c>
      <c r="L268" s="1356" t="s">
        <v>2027</v>
      </c>
      <c r="M268" s="607">
        <v>0</v>
      </c>
      <c r="N268" s="608">
        <v>0</v>
      </c>
      <c r="O268" s="1360">
        <v>1000000</v>
      </c>
      <c r="P268" s="1360">
        <v>1000000</v>
      </c>
      <c r="Q268" s="1361">
        <v>1000000</v>
      </c>
      <c r="R268" s="1361">
        <v>1000000</v>
      </c>
    </row>
    <row r="269" spans="1:18" ht="11.25" hidden="1" customHeight="1" x14ac:dyDescent="0.25">
      <c r="A269" s="1364" t="s">
        <v>2355</v>
      </c>
      <c r="B269" s="1372" t="s">
        <v>2355</v>
      </c>
      <c r="C269" s="1356" t="s">
        <v>2027</v>
      </c>
      <c r="D269" s="1356"/>
      <c r="E269" s="1357"/>
      <c r="F269" s="1357"/>
      <c r="G269" s="1355" t="s">
        <v>2081</v>
      </c>
      <c r="H269" s="1357" t="s">
        <v>766</v>
      </c>
      <c r="I269" s="1358" t="s">
        <v>1648</v>
      </c>
      <c r="J269" s="1355">
        <v>20</v>
      </c>
      <c r="K269" s="1356" t="s">
        <v>2027</v>
      </c>
      <c r="L269" s="1356" t="s">
        <v>2027</v>
      </c>
      <c r="M269" s="607">
        <v>1000000</v>
      </c>
      <c r="N269" s="608">
        <v>1000000</v>
      </c>
      <c r="O269" s="1360">
        <v>1000000</v>
      </c>
      <c r="P269" s="1360">
        <v>1000000</v>
      </c>
      <c r="Q269" s="1361">
        <v>800000</v>
      </c>
      <c r="R269" s="1361">
        <v>800000</v>
      </c>
    </row>
    <row r="270" spans="1:18" ht="11.25" hidden="1" customHeight="1" x14ac:dyDescent="0.25">
      <c r="A270" s="1364" t="s">
        <v>2356</v>
      </c>
      <c r="B270" s="1372" t="s">
        <v>2356</v>
      </c>
      <c r="C270" s="1356" t="s">
        <v>2027</v>
      </c>
      <c r="D270" s="1356"/>
      <c r="E270" s="1357"/>
      <c r="F270" s="1357"/>
      <c r="G270" s="1355" t="s">
        <v>2081</v>
      </c>
      <c r="H270" s="1357" t="s">
        <v>766</v>
      </c>
      <c r="I270" s="1358" t="s">
        <v>1648</v>
      </c>
      <c r="J270" s="1355">
        <v>6</v>
      </c>
      <c r="K270" s="1356" t="s">
        <v>2027</v>
      </c>
      <c r="L270" s="1356" t="s">
        <v>2027</v>
      </c>
      <c r="M270" s="607">
        <v>300000</v>
      </c>
      <c r="N270" s="608">
        <v>300000</v>
      </c>
      <c r="O270" s="1360">
        <v>957643</v>
      </c>
      <c r="P270" s="1360">
        <v>957643</v>
      </c>
      <c r="Q270" s="1361">
        <v>500000</v>
      </c>
      <c r="R270" s="1361">
        <v>500000</v>
      </c>
    </row>
    <row r="271" spans="1:18" ht="11.25" hidden="1" customHeight="1" x14ac:dyDescent="0.25">
      <c r="A271" s="1364" t="s">
        <v>2357</v>
      </c>
      <c r="B271" s="1372" t="s">
        <v>2357</v>
      </c>
      <c r="C271" s="1356" t="s">
        <v>2027</v>
      </c>
      <c r="D271" s="1356"/>
      <c r="E271" s="1357"/>
      <c r="F271" s="1357"/>
      <c r="G271" s="1355" t="s">
        <v>2081</v>
      </c>
      <c r="H271" s="1357" t="s">
        <v>766</v>
      </c>
      <c r="I271" s="1358" t="s">
        <v>1648</v>
      </c>
      <c r="J271" s="1355" t="s">
        <v>2237</v>
      </c>
      <c r="K271" s="1356" t="s">
        <v>2027</v>
      </c>
      <c r="L271" s="1356" t="s">
        <v>2027</v>
      </c>
      <c r="M271" s="607">
        <v>0</v>
      </c>
      <c r="N271" s="608">
        <v>0</v>
      </c>
      <c r="O271" s="1360">
        <v>2000000</v>
      </c>
      <c r="P271" s="1360">
        <v>2000000</v>
      </c>
      <c r="Q271" s="1361">
        <v>3000000</v>
      </c>
      <c r="R271" s="1361">
        <v>3000000</v>
      </c>
    </row>
    <row r="272" spans="1:18" ht="11.25" hidden="1" customHeight="1" x14ac:dyDescent="0.25">
      <c r="A272" s="1364" t="s">
        <v>2358</v>
      </c>
      <c r="B272" s="1372" t="s">
        <v>2358</v>
      </c>
      <c r="C272" s="1356" t="s">
        <v>2027</v>
      </c>
      <c r="D272" s="1356"/>
      <c r="E272" s="1357"/>
      <c r="F272" s="1357"/>
      <c r="G272" s="1355" t="s">
        <v>2081</v>
      </c>
      <c r="H272" s="1357" t="s">
        <v>766</v>
      </c>
      <c r="I272" s="1358" t="s">
        <v>1648</v>
      </c>
      <c r="J272" s="1355">
        <v>20</v>
      </c>
      <c r="K272" s="1356" t="s">
        <v>2027</v>
      </c>
      <c r="L272" s="1356" t="s">
        <v>2027</v>
      </c>
      <c r="M272" s="607">
        <v>303584</v>
      </c>
      <c r="N272" s="608">
        <v>303584</v>
      </c>
      <c r="O272" s="1360">
        <v>370753</v>
      </c>
      <c r="P272" s="1360">
        <v>370753</v>
      </c>
      <c r="Q272" s="1361">
        <v>257123</v>
      </c>
      <c r="R272" s="1361">
        <v>257123</v>
      </c>
    </row>
    <row r="273" spans="1:18" ht="11.25" hidden="1" customHeight="1" x14ac:dyDescent="0.25">
      <c r="A273" s="1364" t="s">
        <v>2359</v>
      </c>
      <c r="B273" s="1372" t="s">
        <v>2359</v>
      </c>
      <c r="C273" s="1356" t="s">
        <v>2027</v>
      </c>
      <c r="D273" s="1356"/>
      <c r="E273" s="1357"/>
      <c r="F273" s="1357"/>
      <c r="G273" s="1355" t="s">
        <v>2081</v>
      </c>
      <c r="H273" s="1357" t="s">
        <v>766</v>
      </c>
      <c r="I273" s="1358" t="s">
        <v>1648</v>
      </c>
      <c r="J273" s="1355" t="s">
        <v>2360</v>
      </c>
      <c r="K273" s="1356" t="s">
        <v>2027</v>
      </c>
      <c r="L273" s="1356" t="s">
        <v>2027</v>
      </c>
      <c r="M273" s="607">
        <v>688046</v>
      </c>
      <c r="N273" s="608">
        <v>688046</v>
      </c>
      <c r="O273" s="1360">
        <v>293472</v>
      </c>
      <c r="P273" s="1360">
        <v>293472</v>
      </c>
      <c r="Q273" s="1361">
        <v>500000</v>
      </c>
      <c r="R273" s="1361">
        <v>500000</v>
      </c>
    </row>
    <row r="274" spans="1:18" ht="11.25" hidden="1" customHeight="1" x14ac:dyDescent="0.25">
      <c r="A274" s="1364" t="s">
        <v>2361</v>
      </c>
      <c r="B274" s="1372" t="s">
        <v>2361</v>
      </c>
      <c r="C274" s="1356" t="s">
        <v>2027</v>
      </c>
      <c r="D274" s="1356"/>
      <c r="E274" s="1357"/>
      <c r="F274" s="1357"/>
      <c r="G274" s="1355" t="s">
        <v>2081</v>
      </c>
      <c r="H274" s="1357" t="s">
        <v>766</v>
      </c>
      <c r="I274" s="1358" t="s">
        <v>1648</v>
      </c>
      <c r="J274" s="1355" t="s">
        <v>2237</v>
      </c>
      <c r="K274" s="1356" t="s">
        <v>2027</v>
      </c>
      <c r="L274" s="1356" t="s">
        <v>2027</v>
      </c>
      <c r="M274" s="607">
        <v>1000225.502443686</v>
      </c>
      <c r="N274" s="608">
        <v>1000225.502443686</v>
      </c>
      <c r="O274" s="1360"/>
      <c r="P274" s="1360"/>
      <c r="Q274" s="1361"/>
      <c r="R274" s="1361"/>
    </row>
    <row r="275" spans="1:18" ht="11.25" hidden="1" customHeight="1" x14ac:dyDescent="0.25">
      <c r="A275" s="1364" t="s">
        <v>2362</v>
      </c>
      <c r="B275" s="1372" t="s">
        <v>2362</v>
      </c>
      <c r="C275" s="1356" t="s">
        <v>2027</v>
      </c>
      <c r="D275" s="1356"/>
      <c r="E275" s="1357"/>
      <c r="F275" s="1357"/>
      <c r="G275" s="1355" t="s">
        <v>2028</v>
      </c>
      <c r="H275" s="1357" t="s">
        <v>1370</v>
      </c>
      <c r="I275" s="1358" t="s">
        <v>1370</v>
      </c>
      <c r="J275" s="1355" t="s">
        <v>2237</v>
      </c>
      <c r="K275" s="1356" t="s">
        <v>2027</v>
      </c>
      <c r="L275" s="1356" t="s">
        <v>2027</v>
      </c>
      <c r="M275" s="607">
        <v>20000000</v>
      </c>
      <c r="N275" s="608">
        <v>20000000</v>
      </c>
      <c r="O275" s="1360">
        <v>15000000</v>
      </c>
      <c r="P275" s="1360">
        <v>15000000</v>
      </c>
      <c r="Q275" s="1361"/>
      <c r="R275" s="1361"/>
    </row>
    <row r="276" spans="1:18" ht="11.25" hidden="1" customHeight="1" x14ac:dyDescent="0.25">
      <c r="A276" s="1364" t="s">
        <v>2363</v>
      </c>
      <c r="B276" s="1372" t="s">
        <v>2363</v>
      </c>
      <c r="C276" s="1356" t="s">
        <v>2027</v>
      </c>
      <c r="D276" s="1356"/>
      <c r="E276" s="1357"/>
      <c r="F276" s="1357"/>
      <c r="G276" s="1355" t="s">
        <v>2028</v>
      </c>
      <c r="H276" s="1357" t="s">
        <v>1370</v>
      </c>
      <c r="I276" s="1358" t="s">
        <v>1370</v>
      </c>
      <c r="J276" s="1355" t="s">
        <v>2237</v>
      </c>
      <c r="K276" s="1356" t="s">
        <v>2027</v>
      </c>
      <c r="L276" s="1356" t="s">
        <v>2027</v>
      </c>
      <c r="M276" s="607">
        <v>273225.29116590181</v>
      </c>
      <c r="N276" s="608">
        <v>273225.29116590181</v>
      </c>
      <c r="O276" s="1360">
        <v>386260.12921106</v>
      </c>
      <c r="P276" s="1360">
        <v>386260.12921106</v>
      </c>
      <c r="Q276" s="1361">
        <v>522340.13654917799</v>
      </c>
      <c r="R276" s="1361">
        <v>522340.13654917799</v>
      </c>
    </row>
    <row r="277" spans="1:18" ht="11.25" hidden="1" customHeight="1" x14ac:dyDescent="0.25">
      <c r="A277" s="1364" t="s">
        <v>2364</v>
      </c>
      <c r="B277" s="1372" t="s">
        <v>2364</v>
      </c>
      <c r="C277" s="1356" t="s">
        <v>2027</v>
      </c>
      <c r="D277" s="1356"/>
      <c r="E277" s="1357"/>
      <c r="F277" s="1357"/>
      <c r="G277" s="1355" t="s">
        <v>2028</v>
      </c>
      <c r="H277" s="1357" t="s">
        <v>1370</v>
      </c>
      <c r="I277" s="1358" t="s">
        <v>1370</v>
      </c>
      <c r="J277" s="1355" t="s">
        <v>2237</v>
      </c>
      <c r="K277" s="1356" t="s">
        <v>2027</v>
      </c>
      <c r="L277" s="1356" t="s">
        <v>2027</v>
      </c>
      <c r="M277" s="607">
        <v>5000000</v>
      </c>
      <c r="N277" s="608">
        <v>10000000</v>
      </c>
      <c r="O277" s="1360"/>
      <c r="P277" s="1360"/>
      <c r="Q277" s="1361"/>
      <c r="R277" s="1361"/>
    </row>
    <row r="278" spans="1:18" ht="11.25" hidden="1" customHeight="1" x14ac:dyDescent="0.25">
      <c r="A278" s="1364" t="s">
        <v>2365</v>
      </c>
      <c r="B278" s="1372" t="s">
        <v>2365</v>
      </c>
      <c r="C278" s="1356" t="s">
        <v>2027</v>
      </c>
      <c r="D278" s="1356"/>
      <c r="E278" s="1357"/>
      <c r="F278" s="1357"/>
      <c r="G278" s="1355" t="s">
        <v>2081</v>
      </c>
      <c r="H278" s="1357" t="s">
        <v>1621</v>
      </c>
      <c r="I278" s="1358" t="s">
        <v>1622</v>
      </c>
      <c r="J278" s="1355" t="s">
        <v>2091</v>
      </c>
      <c r="K278" s="1356" t="s">
        <v>2027</v>
      </c>
      <c r="L278" s="1356" t="s">
        <v>2027</v>
      </c>
      <c r="M278" s="607">
        <v>11842000</v>
      </c>
      <c r="N278" s="608">
        <v>13546000</v>
      </c>
      <c r="O278" s="1360">
        <v>60000000</v>
      </c>
      <c r="P278" s="1360">
        <v>60000000</v>
      </c>
      <c r="Q278" s="1361">
        <v>71382000</v>
      </c>
      <c r="R278" s="1361">
        <v>71382000</v>
      </c>
    </row>
    <row r="279" spans="1:18" ht="11.25" hidden="1" customHeight="1" x14ac:dyDescent="0.25">
      <c r="A279" s="1364" t="s">
        <v>2366</v>
      </c>
      <c r="B279" s="1372" t="s">
        <v>2366</v>
      </c>
      <c r="C279" s="1356" t="s">
        <v>2027</v>
      </c>
      <c r="D279" s="1356"/>
      <c r="E279" s="1357"/>
      <c r="F279" s="1357"/>
      <c r="G279" s="1355" t="s">
        <v>2081</v>
      </c>
      <c r="H279" s="1357" t="s">
        <v>1621</v>
      </c>
      <c r="I279" s="1358" t="s">
        <v>1622</v>
      </c>
      <c r="J279" s="1355" t="s">
        <v>2091</v>
      </c>
      <c r="K279" s="1356" t="s">
        <v>2027</v>
      </c>
      <c r="L279" s="1356" t="s">
        <v>2027</v>
      </c>
      <c r="M279" s="607">
        <v>12000000</v>
      </c>
      <c r="N279" s="608">
        <v>22750000</v>
      </c>
      <c r="O279" s="1360">
        <v>0</v>
      </c>
      <c r="P279" s="1360">
        <v>0</v>
      </c>
      <c r="Q279" s="1361">
        <v>0</v>
      </c>
      <c r="R279" s="1361">
        <v>0</v>
      </c>
    </row>
    <row r="280" spans="1:18" ht="11.25" hidden="1" customHeight="1" x14ac:dyDescent="0.25">
      <c r="A280" s="1364" t="s">
        <v>2367</v>
      </c>
      <c r="B280" s="1372" t="s">
        <v>2367</v>
      </c>
      <c r="C280" s="1356" t="s">
        <v>2027</v>
      </c>
      <c r="D280" s="1356"/>
      <c r="E280" s="1357"/>
      <c r="F280" s="1357"/>
      <c r="G280" s="1355" t="s">
        <v>2081</v>
      </c>
      <c r="H280" s="1357" t="s">
        <v>1621</v>
      </c>
      <c r="I280" s="1358" t="s">
        <v>1622</v>
      </c>
      <c r="J280" s="1355" t="s">
        <v>2091</v>
      </c>
      <c r="K280" s="1356" t="s">
        <v>2027</v>
      </c>
      <c r="L280" s="1356" t="s">
        <v>2027</v>
      </c>
      <c r="M280" s="607">
        <v>26000000</v>
      </c>
      <c r="N280" s="608">
        <v>22600000</v>
      </c>
      <c r="O280" s="1360">
        <v>0</v>
      </c>
      <c r="P280" s="1360">
        <v>0</v>
      </c>
      <c r="Q280" s="1361">
        <v>0</v>
      </c>
      <c r="R280" s="1361">
        <v>0</v>
      </c>
    </row>
    <row r="281" spans="1:18" ht="11.25" hidden="1" customHeight="1" x14ac:dyDescent="0.25">
      <c r="A281" s="1364" t="s">
        <v>2368</v>
      </c>
      <c r="B281" s="1372" t="s">
        <v>2368</v>
      </c>
      <c r="C281" s="1356" t="s">
        <v>2027</v>
      </c>
      <c r="D281" s="1356"/>
      <c r="E281" s="1357"/>
      <c r="F281" s="1357"/>
      <c r="G281" s="1355" t="s">
        <v>2081</v>
      </c>
      <c r="H281" s="1357" t="s">
        <v>1621</v>
      </c>
      <c r="I281" s="1358" t="s">
        <v>1622</v>
      </c>
      <c r="J281" s="1355" t="s">
        <v>2091</v>
      </c>
      <c r="K281" s="1356" t="s">
        <v>2027</v>
      </c>
      <c r="L281" s="1356" t="s">
        <v>2027</v>
      </c>
      <c r="M281" s="607">
        <v>31000000</v>
      </c>
      <c r="N281" s="608">
        <v>0</v>
      </c>
      <c r="O281" s="1360">
        <v>15000000</v>
      </c>
      <c r="P281" s="1360">
        <v>15000000</v>
      </c>
      <c r="Q281" s="1361">
        <v>0</v>
      </c>
      <c r="R281" s="1361">
        <v>0</v>
      </c>
    </row>
    <row r="282" spans="1:18" ht="11.25" hidden="1" customHeight="1" x14ac:dyDescent="0.25">
      <c r="A282" s="1364" t="s">
        <v>2369</v>
      </c>
      <c r="B282" s="1372" t="s">
        <v>2369</v>
      </c>
      <c r="C282" s="1356" t="s">
        <v>2027</v>
      </c>
      <c r="D282" s="1356"/>
      <c r="E282" s="1357"/>
      <c r="F282" s="1357"/>
      <c r="G282" s="1355" t="s">
        <v>2081</v>
      </c>
      <c r="H282" s="1357" t="s">
        <v>1621</v>
      </c>
      <c r="I282" s="1358" t="s">
        <v>1622</v>
      </c>
      <c r="J282" s="1355" t="s">
        <v>2091</v>
      </c>
      <c r="K282" s="1356" t="s">
        <v>2027</v>
      </c>
      <c r="L282" s="1356" t="s">
        <v>2027</v>
      </c>
      <c r="M282" s="607">
        <v>1500000</v>
      </c>
      <c r="N282" s="608">
        <v>1500000</v>
      </c>
      <c r="O282" s="1360">
        <v>1500000</v>
      </c>
      <c r="P282" s="1360">
        <v>1500000</v>
      </c>
      <c r="Q282" s="1361">
        <v>1500000</v>
      </c>
      <c r="R282" s="1361">
        <v>1500000</v>
      </c>
    </row>
    <row r="283" spans="1:18" ht="11.25" hidden="1" customHeight="1" x14ac:dyDescent="0.25">
      <c r="A283" s="1364" t="s">
        <v>2370</v>
      </c>
      <c r="B283" s="1372" t="s">
        <v>2370</v>
      </c>
      <c r="C283" s="1356" t="s">
        <v>2027</v>
      </c>
      <c r="D283" s="1356"/>
      <c r="E283" s="1357"/>
      <c r="F283" s="1357"/>
      <c r="G283" s="1355" t="s">
        <v>2081</v>
      </c>
      <c r="H283" s="1357" t="s">
        <v>1621</v>
      </c>
      <c r="I283" s="1358" t="s">
        <v>1622</v>
      </c>
      <c r="J283" s="1355" t="s">
        <v>2091</v>
      </c>
      <c r="K283" s="1356" t="s">
        <v>2027</v>
      </c>
      <c r="L283" s="1356" t="s">
        <v>2027</v>
      </c>
      <c r="M283" s="607">
        <v>1500000</v>
      </c>
      <c r="N283" s="608">
        <v>1500000</v>
      </c>
      <c r="O283" s="1360">
        <v>1500000</v>
      </c>
      <c r="P283" s="1360">
        <v>1500000</v>
      </c>
      <c r="Q283" s="1361">
        <v>1500000</v>
      </c>
      <c r="R283" s="1361">
        <v>1500000</v>
      </c>
    </row>
    <row r="284" spans="1:18" ht="11.25" hidden="1" customHeight="1" x14ac:dyDescent="0.25">
      <c r="A284" s="1364" t="s">
        <v>2371</v>
      </c>
      <c r="B284" s="1372" t="s">
        <v>2371</v>
      </c>
      <c r="C284" s="1356" t="s">
        <v>2027</v>
      </c>
      <c r="D284" s="1356"/>
      <c r="E284" s="1357"/>
      <c r="F284" s="1357"/>
      <c r="G284" s="1355" t="s">
        <v>2081</v>
      </c>
      <c r="H284" s="1357" t="s">
        <v>1621</v>
      </c>
      <c r="I284" s="1358" t="s">
        <v>1622</v>
      </c>
      <c r="J284" s="1355" t="s">
        <v>2091</v>
      </c>
      <c r="K284" s="1356" t="s">
        <v>2027</v>
      </c>
      <c r="L284" s="1356" t="s">
        <v>2027</v>
      </c>
      <c r="M284" s="607">
        <v>0</v>
      </c>
      <c r="N284" s="608">
        <v>0</v>
      </c>
      <c r="O284" s="1360">
        <v>15000000</v>
      </c>
      <c r="P284" s="1360">
        <v>15000000</v>
      </c>
      <c r="Q284" s="1361">
        <v>15500000</v>
      </c>
      <c r="R284" s="1361">
        <v>15500000</v>
      </c>
    </row>
    <row r="285" spans="1:18" ht="11.25" hidden="1" customHeight="1" x14ac:dyDescent="0.25">
      <c r="A285" s="1364" t="s">
        <v>2372</v>
      </c>
      <c r="B285" s="1372" t="s">
        <v>2372</v>
      </c>
      <c r="C285" s="1356" t="s">
        <v>2027</v>
      </c>
      <c r="D285" s="1356"/>
      <c r="E285" s="1357"/>
      <c r="F285" s="1357"/>
      <c r="G285" s="1355" t="s">
        <v>2081</v>
      </c>
      <c r="H285" s="1357" t="s">
        <v>1621</v>
      </c>
      <c r="I285" s="1358" t="s">
        <v>1622</v>
      </c>
      <c r="J285" s="1355" t="s">
        <v>2091</v>
      </c>
      <c r="K285" s="1356" t="s">
        <v>2027</v>
      </c>
      <c r="L285" s="1356" t="s">
        <v>2027</v>
      </c>
      <c r="M285" s="607">
        <v>0</v>
      </c>
      <c r="N285" s="608">
        <v>0</v>
      </c>
      <c r="O285" s="1360">
        <v>15000000</v>
      </c>
      <c r="P285" s="1360">
        <v>15000000</v>
      </c>
      <c r="Q285" s="1361">
        <v>20000000</v>
      </c>
      <c r="R285" s="1361">
        <v>20000000</v>
      </c>
    </row>
    <row r="286" spans="1:18" ht="11.25" hidden="1" customHeight="1" x14ac:dyDescent="0.25">
      <c r="A286" s="1364" t="s">
        <v>2373</v>
      </c>
      <c r="B286" s="1372" t="s">
        <v>2373</v>
      </c>
      <c r="C286" s="1356" t="s">
        <v>2027</v>
      </c>
      <c r="D286" s="1356"/>
      <c r="E286" s="1357"/>
      <c r="F286" s="1357"/>
      <c r="G286" s="1355" t="s">
        <v>2081</v>
      </c>
      <c r="H286" s="1357" t="s">
        <v>1621</v>
      </c>
      <c r="I286" s="1358" t="s">
        <v>1622</v>
      </c>
      <c r="J286" s="1355" t="s">
        <v>2091</v>
      </c>
      <c r="K286" s="1356" t="s">
        <v>2027</v>
      </c>
      <c r="L286" s="1356" t="s">
        <v>2027</v>
      </c>
      <c r="M286" s="607">
        <v>2000000</v>
      </c>
      <c r="N286" s="608">
        <v>7850000</v>
      </c>
      <c r="O286" s="1360">
        <v>0</v>
      </c>
      <c r="P286" s="1360">
        <v>0</v>
      </c>
      <c r="Q286" s="1361">
        <v>0</v>
      </c>
      <c r="R286" s="1361">
        <v>0</v>
      </c>
    </row>
    <row r="287" spans="1:18" ht="11.25" hidden="1" customHeight="1" x14ac:dyDescent="0.25">
      <c r="A287" s="1364" t="s">
        <v>2374</v>
      </c>
      <c r="B287" s="1372" t="s">
        <v>2374</v>
      </c>
      <c r="C287" s="1356" t="s">
        <v>2027</v>
      </c>
      <c r="D287" s="1356"/>
      <c r="E287" s="1357"/>
      <c r="F287" s="1357"/>
      <c r="G287" s="1355" t="s">
        <v>2081</v>
      </c>
      <c r="H287" s="1357" t="s">
        <v>1621</v>
      </c>
      <c r="I287" s="1358" t="s">
        <v>1622</v>
      </c>
      <c r="J287" s="1355" t="s">
        <v>2091</v>
      </c>
      <c r="K287" s="1356" t="s">
        <v>2027</v>
      </c>
      <c r="L287" s="1356" t="s">
        <v>2027</v>
      </c>
      <c r="M287" s="607">
        <v>4950000</v>
      </c>
      <c r="N287" s="608">
        <v>12000000</v>
      </c>
      <c r="O287" s="1360">
        <v>4000000</v>
      </c>
      <c r="P287" s="1360">
        <v>4000000</v>
      </c>
      <c r="Q287" s="1361">
        <v>4000000</v>
      </c>
      <c r="R287" s="1361">
        <v>4000000</v>
      </c>
    </row>
    <row r="288" spans="1:18" ht="11.25" hidden="1" customHeight="1" x14ac:dyDescent="0.25">
      <c r="A288" s="1364" t="s">
        <v>2375</v>
      </c>
      <c r="B288" s="1372" t="s">
        <v>2375</v>
      </c>
      <c r="C288" s="1356" t="s">
        <v>2027</v>
      </c>
      <c r="D288" s="1356"/>
      <c r="E288" s="1357"/>
      <c r="F288" s="1357"/>
      <c r="G288" s="1355" t="s">
        <v>2081</v>
      </c>
      <c r="H288" s="1357" t="s">
        <v>1621</v>
      </c>
      <c r="I288" s="1358" t="s">
        <v>1622</v>
      </c>
      <c r="J288" s="1355" t="s">
        <v>2091</v>
      </c>
      <c r="K288" s="1356" t="s">
        <v>2027</v>
      </c>
      <c r="L288" s="1356" t="s">
        <v>2027</v>
      </c>
      <c r="M288" s="607">
        <v>0</v>
      </c>
      <c r="N288" s="608">
        <v>0</v>
      </c>
      <c r="O288" s="1360">
        <v>0</v>
      </c>
      <c r="P288" s="1360">
        <v>0</v>
      </c>
      <c r="Q288" s="1361">
        <v>5000000</v>
      </c>
      <c r="R288" s="1361">
        <v>5000000</v>
      </c>
    </row>
    <row r="289" spans="1:18" ht="11.25" hidden="1" customHeight="1" x14ac:dyDescent="0.25">
      <c r="A289" s="1364" t="s">
        <v>2376</v>
      </c>
      <c r="B289" s="1372" t="s">
        <v>2376</v>
      </c>
      <c r="C289" s="1356" t="s">
        <v>2027</v>
      </c>
      <c r="D289" s="1356"/>
      <c r="E289" s="1357"/>
      <c r="F289" s="1357"/>
      <c r="G289" s="1355" t="s">
        <v>2081</v>
      </c>
      <c r="H289" s="1357" t="s">
        <v>1621</v>
      </c>
      <c r="I289" s="1358" t="s">
        <v>1622</v>
      </c>
      <c r="J289" s="1355" t="s">
        <v>2091</v>
      </c>
      <c r="K289" s="1356" t="s">
        <v>2027</v>
      </c>
      <c r="L289" s="1356" t="s">
        <v>2027</v>
      </c>
      <c r="M289" s="607">
        <v>27000000</v>
      </c>
      <c r="N289" s="608">
        <v>0</v>
      </c>
      <c r="O289" s="1360">
        <v>10814000</v>
      </c>
      <c r="P289" s="1360">
        <v>10814000</v>
      </c>
      <c r="Q289" s="1361"/>
      <c r="R289" s="1361"/>
    </row>
    <row r="290" spans="1:18" ht="11.25" hidden="1" customHeight="1" x14ac:dyDescent="0.25">
      <c r="A290" s="1364" t="s">
        <v>2377</v>
      </c>
      <c r="B290" s="1372" t="s">
        <v>2377</v>
      </c>
      <c r="C290" s="1356" t="s">
        <v>2027</v>
      </c>
      <c r="D290" s="1356"/>
      <c r="E290" s="1357"/>
      <c r="F290" s="1357"/>
      <c r="G290" s="1355" t="s">
        <v>2081</v>
      </c>
      <c r="H290" s="1357" t="s">
        <v>1621</v>
      </c>
      <c r="I290" s="1358" t="s">
        <v>1622</v>
      </c>
      <c r="J290" s="1355" t="s">
        <v>2091</v>
      </c>
      <c r="K290" s="1356" t="s">
        <v>2027</v>
      </c>
      <c r="L290" s="1356" t="s">
        <v>2027</v>
      </c>
      <c r="M290" s="607">
        <v>2000000</v>
      </c>
      <c r="N290" s="608">
        <v>2000000</v>
      </c>
      <c r="O290" s="1360">
        <v>2000000</v>
      </c>
      <c r="P290" s="1360">
        <v>2000000</v>
      </c>
      <c r="Q290" s="1361">
        <v>2000000</v>
      </c>
      <c r="R290" s="1361">
        <v>2000000</v>
      </c>
    </row>
    <row r="291" spans="1:18" ht="11.25" hidden="1" customHeight="1" x14ac:dyDescent="0.25">
      <c r="A291" s="1364" t="s">
        <v>2378</v>
      </c>
      <c r="B291" s="1372" t="s">
        <v>2378</v>
      </c>
      <c r="C291" s="1356" t="s">
        <v>2027</v>
      </c>
      <c r="D291" s="1356"/>
      <c r="E291" s="1357"/>
      <c r="F291" s="1357"/>
      <c r="G291" s="1355" t="s">
        <v>2081</v>
      </c>
      <c r="H291" s="1357" t="s">
        <v>1621</v>
      </c>
      <c r="I291" s="1358" t="s">
        <v>1622</v>
      </c>
      <c r="J291" s="1355" t="s">
        <v>2091</v>
      </c>
      <c r="K291" s="1356" t="s">
        <v>2027</v>
      </c>
      <c r="L291" s="1356" t="s">
        <v>2027</v>
      </c>
      <c r="M291" s="607">
        <v>0</v>
      </c>
      <c r="N291" s="608">
        <v>0</v>
      </c>
      <c r="O291" s="1360">
        <v>0</v>
      </c>
      <c r="P291" s="1360">
        <v>0</v>
      </c>
      <c r="Q291" s="1361">
        <v>12500000</v>
      </c>
      <c r="R291" s="1361">
        <v>12500000</v>
      </c>
    </row>
    <row r="292" spans="1:18" ht="11.25" hidden="1" customHeight="1" x14ac:dyDescent="0.25">
      <c r="A292" s="1364" t="s">
        <v>2379</v>
      </c>
      <c r="B292" s="1359"/>
      <c r="C292" s="1363"/>
      <c r="D292" s="1356"/>
      <c r="E292" s="1357"/>
      <c r="F292" s="1357"/>
      <c r="G292" s="1355"/>
      <c r="H292" s="1357"/>
      <c r="I292" s="1358"/>
      <c r="J292" s="1355"/>
      <c r="K292" s="1356" t="s">
        <v>2027</v>
      </c>
      <c r="L292" s="1356" t="s">
        <v>2027</v>
      </c>
      <c r="M292" s="607">
        <v>0</v>
      </c>
      <c r="N292" s="608">
        <v>1500000</v>
      </c>
      <c r="O292" s="1360">
        <v>0</v>
      </c>
      <c r="P292" s="1360">
        <v>0</v>
      </c>
      <c r="Q292" s="1361">
        <v>0</v>
      </c>
      <c r="R292" s="1361">
        <v>0</v>
      </c>
    </row>
    <row r="293" spans="1:18" ht="11.25" hidden="1" customHeight="1" x14ac:dyDescent="0.25">
      <c r="A293" s="1364" t="s">
        <v>2380</v>
      </c>
      <c r="B293" s="1359"/>
      <c r="C293" s="1363"/>
      <c r="D293" s="1356"/>
      <c r="E293" s="1357"/>
      <c r="F293" s="1357"/>
      <c r="G293" s="1355"/>
      <c r="H293" s="1357"/>
      <c r="I293" s="1358"/>
      <c r="J293" s="1355"/>
      <c r="K293" s="1356" t="s">
        <v>2027</v>
      </c>
      <c r="L293" s="1356" t="s">
        <v>2027</v>
      </c>
      <c r="M293" s="607">
        <v>0</v>
      </c>
      <c r="N293" s="608">
        <v>10500000</v>
      </c>
      <c r="O293" s="1360">
        <v>0</v>
      </c>
      <c r="P293" s="1360">
        <v>0</v>
      </c>
      <c r="Q293" s="1361">
        <v>0</v>
      </c>
      <c r="R293" s="1361">
        <v>0</v>
      </c>
    </row>
    <row r="294" spans="1:18" ht="11.25" customHeight="1" x14ac:dyDescent="0.25">
      <c r="A294" s="1364"/>
      <c r="B294" s="1359"/>
      <c r="C294" s="1366"/>
      <c r="D294" s="1356"/>
      <c r="E294" s="1357"/>
      <c r="F294" s="1357"/>
      <c r="G294" s="1355"/>
      <c r="H294" s="1357"/>
      <c r="I294" s="1358"/>
      <c r="J294" s="1355"/>
      <c r="K294" s="1356" t="s">
        <v>2027</v>
      </c>
      <c r="L294" s="1356" t="s">
        <v>2027</v>
      </c>
      <c r="M294" s="607">
        <v>0</v>
      </c>
      <c r="N294" s="608">
        <v>500000</v>
      </c>
      <c r="O294" s="1360">
        <v>0</v>
      </c>
      <c r="P294" s="1360">
        <v>0</v>
      </c>
      <c r="Q294" s="1361">
        <v>0</v>
      </c>
      <c r="R294" s="1361">
        <v>0</v>
      </c>
    </row>
    <row r="295" spans="1:18" ht="11.25" customHeight="1" x14ac:dyDescent="0.25">
      <c r="A295" s="609" t="s">
        <v>2381</v>
      </c>
      <c r="B295" s="610"/>
      <c r="C295" s="611"/>
      <c r="D295" s="1299"/>
      <c r="E295" s="1300"/>
      <c r="F295" s="1300"/>
      <c r="G295" s="606"/>
      <c r="H295" s="1029"/>
      <c r="I295" s="1030"/>
      <c r="J295" s="1294"/>
      <c r="K295" s="1029"/>
      <c r="L295" s="1018"/>
      <c r="M295" s="607">
        <v>0</v>
      </c>
      <c r="N295" s="608">
        <v>9500000</v>
      </c>
      <c r="O295" s="1360">
        <v>0</v>
      </c>
      <c r="P295" s="1360">
        <v>0</v>
      </c>
      <c r="Q295" s="1361">
        <v>0</v>
      </c>
      <c r="R295" s="1361">
        <v>0</v>
      </c>
    </row>
    <row r="296" spans="1:18" ht="11.25" customHeight="1" x14ac:dyDescent="0.25">
      <c r="A296" s="609" t="s">
        <v>2382</v>
      </c>
      <c r="B296" s="610"/>
      <c r="C296" s="611"/>
      <c r="D296" s="1299"/>
      <c r="E296" s="1300"/>
      <c r="F296" s="1300"/>
      <c r="G296" s="606"/>
      <c r="H296" s="1029"/>
      <c r="I296" s="1030"/>
      <c r="J296" s="1294"/>
      <c r="K296" s="1029"/>
      <c r="L296" s="1018"/>
      <c r="M296" s="607">
        <v>0</v>
      </c>
      <c r="N296" s="608">
        <v>30000000</v>
      </c>
      <c r="O296" s="1360">
        <v>0</v>
      </c>
      <c r="P296" s="1360">
        <v>0</v>
      </c>
      <c r="Q296" s="1361">
        <v>0</v>
      </c>
      <c r="R296" s="1361">
        <v>0</v>
      </c>
    </row>
    <row r="297" spans="1:18" ht="11.25" customHeight="1" x14ac:dyDescent="0.25">
      <c r="A297" s="609" t="s">
        <v>2383</v>
      </c>
      <c r="B297" s="610"/>
      <c r="C297" s="611"/>
      <c r="D297" s="1299"/>
      <c r="E297" s="1300"/>
      <c r="F297" s="1300"/>
      <c r="G297" s="606"/>
      <c r="H297" s="1029"/>
      <c r="I297" s="1030"/>
      <c r="J297" s="1294"/>
      <c r="K297" s="1029"/>
      <c r="L297" s="1018"/>
      <c r="M297" s="607">
        <v>0</v>
      </c>
      <c r="N297" s="608">
        <v>4500000</v>
      </c>
      <c r="O297" s="1360">
        <v>0</v>
      </c>
      <c r="P297" s="1360">
        <v>0</v>
      </c>
      <c r="Q297" s="1361">
        <v>0</v>
      </c>
      <c r="R297" s="1361">
        <v>0</v>
      </c>
    </row>
    <row r="298" spans="1:18" ht="11.25" customHeight="1" x14ac:dyDescent="0.25">
      <c r="A298" s="609" t="s">
        <v>2384</v>
      </c>
      <c r="B298" s="610"/>
      <c r="C298" s="611"/>
      <c r="D298" s="1299"/>
      <c r="E298" s="1300"/>
      <c r="F298" s="1300"/>
      <c r="G298" s="606"/>
      <c r="H298" s="1029"/>
      <c r="I298" s="1030"/>
      <c r="J298" s="1294"/>
      <c r="K298" s="1029"/>
      <c r="L298" s="1018"/>
      <c r="M298" s="607">
        <v>0</v>
      </c>
      <c r="N298" s="608">
        <v>0</v>
      </c>
      <c r="O298" s="1360">
        <v>0</v>
      </c>
      <c r="P298" s="1360">
        <v>0</v>
      </c>
      <c r="Q298" s="1361">
        <v>0</v>
      </c>
      <c r="R298" s="1361">
        <v>0</v>
      </c>
    </row>
    <row r="299" spans="1:18" ht="13.5" customHeight="1" x14ac:dyDescent="0.25">
      <c r="A299" s="609"/>
      <c r="B299" s="610"/>
      <c r="C299" s="611"/>
      <c r="D299" s="1299"/>
      <c r="E299" s="1300"/>
      <c r="F299" s="1300"/>
      <c r="G299" s="606"/>
      <c r="H299" s="1029"/>
      <c r="I299" s="1030"/>
      <c r="J299" s="1294"/>
      <c r="K299" s="1029"/>
      <c r="L299" s="1018"/>
      <c r="M299" s="607">
        <v>0</v>
      </c>
      <c r="N299" s="608">
        <v>0</v>
      </c>
      <c r="O299" s="1360">
        <v>0</v>
      </c>
      <c r="P299" s="1360">
        <v>0</v>
      </c>
      <c r="Q299" s="1361">
        <v>0</v>
      </c>
      <c r="R299" s="1361">
        <v>0</v>
      </c>
    </row>
    <row r="300" spans="1:18" ht="11.25" customHeight="1" x14ac:dyDescent="0.25">
      <c r="A300" s="612"/>
      <c r="B300" s="613"/>
      <c r="C300" s="614"/>
      <c r="D300" s="1320"/>
      <c r="E300" s="1321"/>
      <c r="F300" s="1321"/>
      <c r="G300" s="1031"/>
      <c r="H300" s="1032"/>
      <c r="I300" s="1290"/>
      <c r="J300" s="1295"/>
      <c r="K300" s="1032"/>
      <c r="L300" s="1019"/>
      <c r="M300" s="482">
        <f t="shared" ref="M300:R300" si="0">SUM(M7:M299)</f>
        <v>1201498519.026556</v>
      </c>
      <c r="N300" s="615">
        <f t="shared" si="0"/>
        <v>1002905317.9040561</v>
      </c>
      <c r="O300" s="482">
        <f t="shared" si="0"/>
        <v>728151750.00000024</v>
      </c>
      <c r="P300" s="113">
        <f t="shared" si="0"/>
        <v>728151750.00000024</v>
      </c>
      <c r="Q300" s="143">
        <f t="shared" si="0"/>
        <v>641813444.00000024</v>
      </c>
      <c r="R300" s="113">
        <f t="shared" si="0"/>
        <v>641813444.00000024</v>
      </c>
    </row>
    <row r="301" spans="1:18" ht="11.25" customHeight="1" x14ac:dyDescent="0.25">
      <c r="A301" s="616" t="s">
        <v>516</v>
      </c>
      <c r="B301" s="617"/>
      <c r="C301" s="618"/>
      <c r="D301" s="618"/>
      <c r="E301" s="618"/>
      <c r="F301" s="618"/>
      <c r="G301" s="618"/>
      <c r="H301" s="617"/>
      <c r="I301" s="1011"/>
      <c r="J301" s="1296"/>
      <c r="K301" s="617"/>
      <c r="L301" s="1020"/>
      <c r="M301" s="619"/>
      <c r="N301" s="458"/>
      <c r="O301" s="619"/>
      <c r="P301" s="235"/>
      <c r="Q301" s="127"/>
      <c r="R301" s="235"/>
    </row>
    <row r="302" spans="1:18" s="1318" customFormat="1" ht="11.25" customHeight="1" x14ac:dyDescent="0.25">
      <c r="A302" s="1311" t="s">
        <v>1767</v>
      </c>
      <c r="B302" s="1312"/>
      <c r="C302" s="1313"/>
      <c r="D302" s="1313"/>
      <c r="E302" s="1302"/>
      <c r="F302" s="1302"/>
      <c r="G302" s="1313"/>
      <c r="H302" s="1303"/>
      <c r="I302" s="1304"/>
      <c r="J302" s="1306"/>
      <c r="K302" s="1303"/>
      <c r="L302" s="1305"/>
      <c r="M302" s="1314"/>
      <c r="N302" s="1315"/>
      <c r="O302" s="1314"/>
      <c r="P302" s="1316"/>
      <c r="Q302" s="1317"/>
      <c r="R302" s="1316"/>
    </row>
    <row r="303" spans="1:18" ht="11.25" customHeight="1" x14ac:dyDescent="0.25">
      <c r="A303" s="620"/>
      <c r="B303" s="610"/>
      <c r="C303" s="611"/>
      <c r="D303" s="1299"/>
      <c r="E303" s="1300"/>
      <c r="F303" s="1300"/>
      <c r="G303" s="606"/>
      <c r="H303" s="1029"/>
      <c r="I303" s="1030"/>
      <c r="J303" s="1294"/>
      <c r="K303" s="1029"/>
      <c r="L303" s="1018"/>
      <c r="M303" s="382">
        <v>0</v>
      </c>
      <c r="N303" s="381">
        <v>0</v>
      </c>
      <c r="O303" s="382">
        <v>0</v>
      </c>
      <c r="P303" s="110">
        <v>0</v>
      </c>
      <c r="Q303" s="130">
        <v>0</v>
      </c>
      <c r="R303" s="110">
        <v>0</v>
      </c>
    </row>
    <row r="304" spans="1:18" ht="11.25" customHeight="1" x14ac:dyDescent="0.25">
      <c r="A304" s="811" t="s">
        <v>517</v>
      </c>
      <c r="B304" s="610"/>
      <c r="C304" s="611"/>
      <c r="D304" s="1299"/>
      <c r="E304" s="1300"/>
      <c r="F304" s="1300"/>
      <c r="G304" s="606"/>
      <c r="H304" s="1029"/>
      <c r="I304" s="1030"/>
      <c r="J304" s="1294"/>
      <c r="K304" s="1029"/>
      <c r="L304" s="1018"/>
      <c r="M304" s="382">
        <v>0</v>
      </c>
      <c r="N304" s="381">
        <v>0</v>
      </c>
      <c r="O304" s="382">
        <v>0</v>
      </c>
      <c r="P304" s="110">
        <v>0</v>
      </c>
      <c r="Q304" s="130">
        <v>0</v>
      </c>
      <c r="R304" s="110">
        <v>0</v>
      </c>
    </row>
    <row r="305" spans="1:18" ht="11.25" customHeight="1" x14ac:dyDescent="0.25">
      <c r="A305" s="605" t="s">
        <v>518</v>
      </c>
      <c r="B305" s="610"/>
      <c r="C305" s="611"/>
      <c r="D305" s="1299"/>
      <c r="E305" s="1300"/>
      <c r="F305" s="1300"/>
      <c r="G305" s="606"/>
      <c r="H305" s="1029"/>
      <c r="I305" s="1030"/>
      <c r="J305" s="1294"/>
      <c r="K305" s="1029"/>
      <c r="L305" s="1018"/>
      <c r="M305" s="382">
        <v>0</v>
      </c>
      <c r="N305" s="381">
        <v>0</v>
      </c>
      <c r="O305" s="382">
        <v>0</v>
      </c>
      <c r="P305" s="110">
        <v>0</v>
      </c>
      <c r="Q305" s="130">
        <v>0</v>
      </c>
      <c r="R305" s="110">
        <v>0</v>
      </c>
    </row>
    <row r="306" spans="1:18" ht="11.25" customHeight="1" x14ac:dyDescent="0.25">
      <c r="A306" s="620"/>
      <c r="B306" s="610"/>
      <c r="C306" s="611"/>
      <c r="D306" s="1299"/>
      <c r="E306" s="1300"/>
      <c r="F306" s="1300"/>
      <c r="G306" s="606"/>
      <c r="H306" s="1029"/>
      <c r="I306" s="1030"/>
      <c r="J306" s="1294"/>
      <c r="K306" s="1029"/>
      <c r="L306" s="1018"/>
      <c r="M306" s="382">
        <v>0</v>
      </c>
      <c r="N306" s="381">
        <v>0</v>
      </c>
      <c r="O306" s="382">
        <v>0</v>
      </c>
      <c r="P306" s="110">
        <v>0</v>
      </c>
      <c r="Q306" s="130">
        <v>0</v>
      </c>
      <c r="R306" s="110">
        <v>0</v>
      </c>
    </row>
    <row r="307" spans="1:18" ht="11.25" customHeight="1" x14ac:dyDescent="0.25">
      <c r="A307" s="609"/>
      <c r="B307" s="610"/>
      <c r="C307" s="611"/>
      <c r="D307" s="1299"/>
      <c r="E307" s="1300"/>
      <c r="F307" s="1300"/>
      <c r="G307" s="606"/>
      <c r="H307" s="1029"/>
      <c r="I307" s="1030"/>
      <c r="J307" s="1294"/>
      <c r="K307" s="1029"/>
      <c r="L307" s="1018"/>
      <c r="M307" s="382">
        <v>0</v>
      </c>
      <c r="N307" s="381">
        <v>0</v>
      </c>
      <c r="O307" s="382">
        <v>0</v>
      </c>
      <c r="P307" s="110">
        <v>0</v>
      </c>
      <c r="Q307" s="130">
        <v>0</v>
      </c>
      <c r="R307" s="110">
        <v>0</v>
      </c>
    </row>
    <row r="308" spans="1:18" ht="11.25" customHeight="1" x14ac:dyDescent="0.25">
      <c r="A308" s="609"/>
      <c r="B308" s="610"/>
      <c r="C308" s="611"/>
      <c r="D308" s="1299"/>
      <c r="E308" s="1300"/>
      <c r="F308" s="1300"/>
      <c r="G308" s="606"/>
      <c r="H308" s="1029"/>
      <c r="I308" s="1030"/>
      <c r="J308" s="1294"/>
      <c r="K308" s="1029"/>
      <c r="L308" s="1018"/>
      <c r="M308" s="382">
        <v>0</v>
      </c>
      <c r="N308" s="381">
        <v>0</v>
      </c>
      <c r="O308" s="382">
        <v>0</v>
      </c>
      <c r="P308" s="110">
        <v>0</v>
      </c>
      <c r="Q308" s="130">
        <v>0</v>
      </c>
      <c r="R308" s="110">
        <v>0</v>
      </c>
    </row>
    <row r="309" spans="1:18" ht="11.25" customHeight="1" x14ac:dyDescent="0.25">
      <c r="A309" s="621"/>
      <c r="B309" s="622"/>
      <c r="C309" s="623"/>
      <c r="D309" s="1322"/>
      <c r="E309" s="1323"/>
      <c r="F309" s="1323"/>
      <c r="G309" s="1033"/>
      <c r="H309" s="1034"/>
      <c r="I309" s="1291"/>
      <c r="J309" s="1297"/>
      <c r="K309" s="1034"/>
      <c r="L309" s="1021"/>
      <c r="M309" s="308">
        <v>0</v>
      </c>
      <c r="N309" s="624">
        <v>0</v>
      </c>
      <c r="O309" s="308">
        <v>0</v>
      </c>
      <c r="P309" s="310">
        <v>0</v>
      </c>
      <c r="Q309" s="316">
        <v>0</v>
      </c>
      <c r="R309" s="310">
        <v>0</v>
      </c>
    </row>
    <row r="310" spans="1:18" ht="11.25" customHeight="1" x14ac:dyDescent="0.25">
      <c r="A310" s="625" t="s">
        <v>519</v>
      </c>
      <c r="H310" s="48"/>
      <c r="I310" s="48"/>
      <c r="J310" s="48"/>
      <c r="K310" s="48"/>
      <c r="L310" s="48"/>
    </row>
    <row r="311" spans="1:18" ht="11.25" customHeight="1" x14ac:dyDescent="0.25">
      <c r="A311" s="626" t="s">
        <v>1768</v>
      </c>
    </row>
    <row r="312" spans="1:18" ht="11.25" customHeight="1" x14ac:dyDescent="0.25">
      <c r="A312" s="626" t="s">
        <v>1769</v>
      </c>
    </row>
    <row r="313" spans="1:18" ht="11.25" customHeight="1" x14ac:dyDescent="0.25">
      <c r="A313" s="5" t="s">
        <v>1770</v>
      </c>
    </row>
    <row r="314" spans="1:18" ht="11.25" customHeight="1" x14ac:dyDescent="0.25">
      <c r="A314" s="5" t="s">
        <v>1773</v>
      </c>
    </row>
    <row r="315" spans="1:18" ht="11.25" customHeight="1" x14ac:dyDescent="0.25">
      <c r="A315" s="5" t="s">
        <v>1772</v>
      </c>
    </row>
    <row r="316" spans="1:18" ht="11.25" customHeight="1" x14ac:dyDescent="0.25">
      <c r="A316" s="5" t="s">
        <v>1771</v>
      </c>
    </row>
    <row r="317" spans="1:18" ht="11.25" customHeight="1" x14ac:dyDescent="0.25"/>
    <row r="318" spans="1:18" ht="11.25" customHeight="1" x14ac:dyDescent="0.25"/>
    <row r="319" spans="1:18" ht="11.25" customHeight="1" x14ac:dyDescent="0.25"/>
    <row r="320" spans="1:18" ht="11.25" customHeight="1" x14ac:dyDescent="0.25"/>
    <row r="321" ht="11.25" customHeight="1" x14ac:dyDescent="0.25"/>
    <row r="322" ht="11.25" customHeight="1" x14ac:dyDescent="0.25"/>
    <row r="323" ht="11.25" customHeight="1" x14ac:dyDescent="0.25"/>
    <row r="326" ht="11.25" customHeight="1" x14ac:dyDescent="0.25"/>
    <row r="329" ht="11.25" customHeight="1" x14ac:dyDescent="0.25"/>
    <row r="330" ht="11.25" customHeight="1" x14ac:dyDescent="0.25"/>
    <row r="331" ht="11.25" customHeight="1" x14ac:dyDescent="0.25"/>
    <row r="332" ht="11.25" customHeight="1" x14ac:dyDescent="0.25"/>
    <row r="333" ht="11.25" customHeight="1" x14ac:dyDescent="0.25"/>
    <row r="334" ht="11.25" customHeight="1" x14ac:dyDescent="0.25"/>
    <row r="335" ht="11.25" customHeight="1" x14ac:dyDescent="0.25"/>
    <row r="336" ht="11.25" customHeight="1" x14ac:dyDescent="0.25"/>
    <row r="337" spans="2:2" ht="11.25" customHeight="1" x14ac:dyDescent="0.25"/>
    <row r="338" spans="2:2" ht="11.25" customHeight="1" x14ac:dyDescent="0.25"/>
    <row r="339" spans="2:2" ht="11.25" customHeight="1" x14ac:dyDescent="0.25"/>
    <row r="340" spans="2:2" ht="11.25" customHeight="1" x14ac:dyDescent="0.25"/>
    <row r="341" spans="2:2" ht="11.25" customHeight="1" x14ac:dyDescent="0.25">
      <c r="B341" s="128"/>
    </row>
    <row r="342" spans="2:2" ht="11.25" customHeight="1" x14ac:dyDescent="0.25"/>
    <row r="343" spans="2:2" ht="11.25" customHeight="1" x14ac:dyDescent="0.25"/>
    <row r="344" spans="2:2" ht="11.25" customHeight="1" x14ac:dyDescent="0.25"/>
    <row r="345" spans="2:2" ht="11.25" customHeight="1" x14ac:dyDescent="0.25"/>
    <row r="346" spans="2:2" ht="11.25" customHeight="1" x14ac:dyDescent="0.25"/>
    <row r="347" spans="2:2" ht="11.25" customHeight="1" x14ac:dyDescent="0.25"/>
    <row r="348" spans="2:2" ht="11.25" customHeight="1" x14ac:dyDescent="0.25"/>
    <row r="349" spans="2:2" ht="11.25" customHeight="1" x14ac:dyDescent="0.25"/>
    <row r="350" spans="2:2" ht="11.25" customHeight="1" x14ac:dyDescent="0.25"/>
    <row r="351" spans="2:2" ht="11.25" customHeight="1" x14ac:dyDescent="0.25"/>
    <row r="352" spans="2:2" ht="11.25" customHeight="1" x14ac:dyDescent="0.25"/>
    <row r="353" ht="11.25" customHeight="1" x14ac:dyDescent="0.25"/>
    <row r="354" ht="11.25" customHeight="1" x14ac:dyDescent="0.25"/>
    <row r="355" ht="11.25" customHeight="1" x14ac:dyDescent="0.25"/>
    <row r="356" ht="11.25" customHeight="1" x14ac:dyDescent="0.25"/>
    <row r="357" ht="11.25" customHeight="1" x14ac:dyDescent="0.25"/>
    <row r="358" ht="11.25" customHeight="1" x14ac:dyDescent="0.25"/>
    <row r="359" ht="11.25" customHeight="1" x14ac:dyDescent="0.25"/>
    <row r="360" ht="11.25" customHeight="1" x14ac:dyDescent="0.25"/>
    <row r="361" ht="11.25" customHeight="1" x14ac:dyDescent="0.25"/>
    <row r="362" ht="11.25" customHeight="1" x14ac:dyDescent="0.25"/>
    <row r="363" ht="11.25" customHeight="1" x14ac:dyDescent="0.25"/>
    <row r="364" ht="11.25" customHeight="1" x14ac:dyDescent="0.25"/>
    <row r="365" ht="11.25" customHeight="1" x14ac:dyDescent="0.25"/>
  </sheetData>
  <autoFilter ref="A4:R293">
    <filterColumn colId="8">
      <filters>
        <filter val="Electrical Infrastructure"/>
      </filters>
    </filterColumn>
  </autoFilter>
  <dataConsolidate/>
  <mergeCells count="4">
    <mergeCell ref="M2:R2"/>
    <mergeCell ref="M3:N3"/>
    <mergeCell ref="O3:P3"/>
    <mergeCell ref="Q3:R3"/>
  </mergeCells>
  <phoneticPr fontId="4" type="noConversion"/>
  <dataValidations count="6">
    <dataValidation type="list" allowBlank="1" showInputMessage="1" showErrorMessage="1" promptTitle="Y/N" prompt="Please select" sqref="E6:F6 E302:F302">
      <formula1>Y_N</formula1>
    </dataValidation>
    <dataValidation type="list" allowBlank="1" showInputMessage="1" showErrorMessage="1" promptTitle="Asset Class" prompt="Please select" sqref="H302:H309 H6:H300">
      <formula1>Asset_Class</formula1>
    </dataValidation>
    <dataValidation type="list" allowBlank="1" showInputMessage="1" showErrorMessage="1" promptTitle="Asset Sub-Class" prompt="Please select" sqref="I302:I309 I6:I300">
      <formula1>Asset_sub_class</formula1>
    </dataValidation>
    <dataValidation type="list" allowBlank="1" showInputMessage="1" showErrorMessage="1" promptTitle="Select MTSF Service Outcome" prompt="Select MTSF from list" sqref="E303:E309 E7:E300">
      <formula1>MTSF</formula1>
    </dataValidation>
    <dataValidation type="list" allowBlank="1" showInputMessage="1" showErrorMessage="1" promptTitle="Select IUDF" prompt="Select IUDF from list" sqref="F303:F309 F7:F300">
      <formula1>IUDF</formula1>
    </dataValidation>
    <dataValidation type="list" allowBlank="1" showInputMessage="1" showErrorMessage="1" sqref="D303:D309 D7:D300">
      <formula1>"New,Renewal,Upgrading"</formula1>
    </dataValidation>
  </dataValidations>
  <printOptions horizontalCentered="1"/>
  <pageMargins left="0.35433070866141736" right="0.15748031496062992" top="0.78740157480314965" bottom="0.59055118110236227" header="0.51181102362204722" footer="0.51181102362204722"/>
  <pageSetup paperSize="9" scale="48" orientation="landscape" r:id="rId1"/>
  <headerFooter alignWithMargins="0"/>
  <legacy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7">
    <tabColor indexed="42"/>
    <pageSetUpPr fitToPage="1"/>
  </sheetPr>
  <dimension ref="A1:M88"/>
  <sheetViews>
    <sheetView showGridLines="0" zoomScaleNormal="100" workbookViewId="0">
      <pane xSplit="2" ySplit="5" topLeftCell="C6" activePane="bottomRight" state="frozen"/>
      <selection activeCell="C6" sqref="C6"/>
      <selection pane="topRight" activeCell="C6" sqref="C6"/>
      <selection pane="bottomLeft" activeCell="C6" sqref="C6"/>
      <selection pane="bottomRight" activeCell="K65" sqref="K65"/>
    </sheetView>
  </sheetViews>
  <sheetFormatPr defaultColWidth="9.140625" defaultRowHeight="12.75" x14ac:dyDescent="0.25"/>
  <cols>
    <col min="1" max="1" width="35.7109375" style="5" customWidth="1"/>
    <col min="2" max="2" width="3.140625" style="58" customWidth="1"/>
    <col min="3" max="13" width="8.7109375" style="5" customWidth="1"/>
    <col min="14" max="14" width="9.85546875" style="5" customWidth="1"/>
    <col min="15" max="15" width="9.5703125" style="5" customWidth="1"/>
    <col min="16" max="16" width="9.85546875" style="5" customWidth="1"/>
    <col min="17" max="19" width="9.5703125" style="5" customWidth="1"/>
    <col min="20" max="20" width="9.85546875" style="5" customWidth="1"/>
    <col min="21" max="23" width="9.5703125" style="5" customWidth="1"/>
    <col min="24" max="25" width="9.85546875" style="5" customWidth="1"/>
    <col min="26" max="16384" width="9.140625" style="5"/>
  </cols>
  <sheetData>
    <row r="1" spans="1:13" ht="13.5" x14ac:dyDescent="0.25">
      <c r="A1" s="1458" t="str">
        <f>muni&amp;" - "&amp;ADJB20&amp;" - "&amp;Date</f>
        <v>LIM354 Polokwane - Supporting Table SB20 Not required - 2020</v>
      </c>
      <c r="B1" s="1458"/>
      <c r="C1" s="1458"/>
      <c r="D1" s="1458"/>
      <c r="E1" s="1458"/>
      <c r="F1" s="1458"/>
      <c r="G1" s="1458"/>
      <c r="H1" s="1458"/>
      <c r="I1" s="1458"/>
      <c r="J1" s="1458"/>
      <c r="K1" s="1458"/>
      <c r="L1" s="1458"/>
      <c r="M1" s="1458"/>
    </row>
    <row r="2" spans="1:13" ht="38.25" x14ac:dyDescent="0.25">
      <c r="A2" s="1406" t="str">
        <f>desc</f>
        <v>Description</v>
      </c>
      <c r="B2" s="1406" t="str">
        <f>head27</f>
        <v>Ref</v>
      </c>
      <c r="C2" s="1403" t="str">
        <f>Head2</f>
        <v>Budget Year 2020/21</v>
      </c>
      <c r="D2" s="1404"/>
      <c r="E2" s="1404"/>
      <c r="F2" s="1404"/>
      <c r="G2" s="1404"/>
      <c r="H2" s="1404"/>
      <c r="I2" s="1404"/>
      <c r="J2" s="1404"/>
      <c r="K2" s="1404"/>
      <c r="L2" s="103" t="str">
        <f>Head10</f>
        <v>Budget Year +1 2021/22</v>
      </c>
      <c r="M2" s="61" t="str">
        <f>Head11</f>
        <v>Budget Year +2 2022/23</v>
      </c>
    </row>
    <row r="3" spans="1:13" ht="25.5" x14ac:dyDescent="0.25">
      <c r="A3" s="1407"/>
      <c r="B3" s="1407"/>
      <c r="C3" s="9"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2" t="str">
        <f>Head56</f>
        <v>Total Adjusts.</v>
      </c>
      <c r="K3" s="12" t="str">
        <f>Head7</f>
        <v>Adjusted Budget</v>
      </c>
      <c r="L3" s="627" t="str">
        <f>Head7</f>
        <v>Adjusted Budget</v>
      </c>
      <c r="M3" s="628" t="str">
        <f>Head7</f>
        <v>Adjusted Budget</v>
      </c>
    </row>
    <row r="4" spans="1:13" x14ac:dyDescent="0.25">
      <c r="A4" s="1407"/>
      <c r="B4" s="1407"/>
      <c r="C4" s="14"/>
      <c r="D4" s="15">
        <v>3</v>
      </c>
      <c r="E4" s="15">
        <v>4</v>
      </c>
      <c r="F4" s="15">
        <v>5</v>
      </c>
      <c r="G4" s="15">
        <v>6</v>
      </c>
      <c r="H4" s="15">
        <v>8</v>
      </c>
      <c r="I4" s="15">
        <v>9</v>
      </c>
      <c r="J4" s="16">
        <v>10</v>
      </c>
      <c r="K4" s="16">
        <v>11</v>
      </c>
      <c r="L4" s="16"/>
      <c r="M4" s="17"/>
    </row>
    <row r="5" spans="1:13" x14ac:dyDescent="0.25">
      <c r="A5" s="66" t="s">
        <v>603</v>
      </c>
      <c r="B5" s="154"/>
      <c r="C5" s="475" t="s">
        <v>547</v>
      </c>
      <c r="D5" s="68" t="s">
        <v>548</v>
      </c>
      <c r="E5" s="68" t="s">
        <v>549</v>
      </c>
      <c r="F5" s="69" t="s">
        <v>550</v>
      </c>
      <c r="G5" s="69" t="s">
        <v>551</v>
      </c>
      <c r="H5" s="69" t="s">
        <v>552</v>
      </c>
      <c r="I5" s="70" t="s">
        <v>553</v>
      </c>
      <c r="J5" s="505" t="s">
        <v>554</v>
      </c>
      <c r="K5" s="505" t="s">
        <v>555</v>
      </c>
      <c r="L5" s="505"/>
      <c r="M5" s="71"/>
    </row>
    <row r="6" spans="1:13" ht="12.75" customHeight="1" x14ac:dyDescent="0.25">
      <c r="A6" s="126" t="s">
        <v>520</v>
      </c>
      <c r="B6" s="73"/>
      <c r="C6" s="74"/>
      <c r="D6" s="75"/>
      <c r="E6" s="75"/>
      <c r="F6" s="75"/>
      <c r="G6" s="75"/>
      <c r="H6" s="75"/>
      <c r="I6" s="75"/>
      <c r="J6" s="508"/>
      <c r="K6" s="508"/>
      <c r="L6" s="508"/>
      <c r="M6" s="76"/>
    </row>
    <row r="7" spans="1:13" ht="12.75" customHeight="1" x14ac:dyDescent="0.25">
      <c r="A7" s="477" t="s">
        <v>521</v>
      </c>
      <c r="B7" s="73"/>
      <c r="C7" s="130">
        <v>0</v>
      </c>
      <c r="D7" s="109">
        <v>0</v>
      </c>
      <c r="E7" s="109">
        <v>0</v>
      </c>
      <c r="F7" s="109">
        <v>0</v>
      </c>
      <c r="G7" s="109">
        <v>0</v>
      </c>
      <c r="H7" s="109">
        <v>0</v>
      </c>
      <c r="I7" s="109">
        <v>0</v>
      </c>
      <c r="J7" s="508">
        <f t="shared" ref="J7:J16" si="0">SUM(E7:I7)</f>
        <v>0</v>
      </c>
      <c r="K7" s="508">
        <f t="shared" ref="K7:K16" si="1">IF(D7=0,C7+J7,D7+J7)</f>
        <v>0</v>
      </c>
      <c r="L7" s="381">
        <v>0</v>
      </c>
      <c r="M7" s="110">
        <v>0</v>
      </c>
    </row>
    <row r="8" spans="1:13" ht="12.75" customHeight="1" x14ac:dyDescent="0.25">
      <c r="A8" s="477" t="s">
        <v>522</v>
      </c>
      <c r="B8" s="73"/>
      <c r="C8" s="130">
        <v>0</v>
      </c>
      <c r="D8" s="109">
        <v>0</v>
      </c>
      <c r="E8" s="109">
        <v>0</v>
      </c>
      <c r="F8" s="109">
        <v>0</v>
      </c>
      <c r="G8" s="109">
        <v>0</v>
      </c>
      <c r="H8" s="109">
        <v>0</v>
      </c>
      <c r="I8" s="109">
        <v>0</v>
      </c>
      <c r="J8" s="508">
        <f t="shared" si="0"/>
        <v>0</v>
      </c>
      <c r="K8" s="508">
        <f t="shared" si="1"/>
        <v>0</v>
      </c>
      <c r="L8" s="381">
        <v>0</v>
      </c>
      <c r="M8" s="110">
        <v>0</v>
      </c>
    </row>
    <row r="9" spans="1:13" ht="12.75" customHeight="1" x14ac:dyDescent="0.25">
      <c r="A9" s="477" t="s">
        <v>523</v>
      </c>
      <c r="B9" s="73"/>
      <c r="C9" s="130">
        <v>0</v>
      </c>
      <c r="D9" s="109">
        <v>0</v>
      </c>
      <c r="E9" s="109">
        <v>0</v>
      </c>
      <c r="F9" s="109">
        <v>0</v>
      </c>
      <c r="G9" s="109">
        <v>0</v>
      </c>
      <c r="H9" s="109">
        <v>0</v>
      </c>
      <c r="I9" s="109">
        <v>0</v>
      </c>
      <c r="J9" s="508">
        <f t="shared" si="0"/>
        <v>0</v>
      </c>
      <c r="K9" s="508">
        <f t="shared" si="1"/>
        <v>0</v>
      </c>
      <c r="L9" s="381">
        <v>0</v>
      </c>
      <c r="M9" s="110">
        <v>0</v>
      </c>
    </row>
    <row r="10" spans="1:13" ht="12.75" customHeight="1" x14ac:dyDescent="0.25">
      <c r="A10" s="477"/>
      <c r="B10" s="73"/>
      <c r="C10" s="130">
        <v>0</v>
      </c>
      <c r="D10" s="109">
        <v>0</v>
      </c>
      <c r="E10" s="109">
        <v>0</v>
      </c>
      <c r="F10" s="109">
        <v>0</v>
      </c>
      <c r="G10" s="109">
        <v>0</v>
      </c>
      <c r="H10" s="109">
        <v>0</v>
      </c>
      <c r="I10" s="109">
        <v>0</v>
      </c>
      <c r="J10" s="508">
        <f t="shared" si="0"/>
        <v>0</v>
      </c>
      <c r="K10" s="508">
        <f t="shared" si="1"/>
        <v>0</v>
      </c>
      <c r="L10" s="381">
        <v>0</v>
      </c>
      <c r="M10" s="110">
        <v>0</v>
      </c>
    </row>
    <row r="11" spans="1:13" ht="12.75" customHeight="1" x14ac:dyDescent="0.25">
      <c r="A11" s="477"/>
      <c r="B11" s="73"/>
      <c r="C11" s="130">
        <v>0</v>
      </c>
      <c r="D11" s="109">
        <v>0</v>
      </c>
      <c r="E11" s="109">
        <v>0</v>
      </c>
      <c r="F11" s="109">
        <v>0</v>
      </c>
      <c r="G11" s="109">
        <v>0</v>
      </c>
      <c r="H11" s="109">
        <v>0</v>
      </c>
      <c r="I11" s="109">
        <v>0</v>
      </c>
      <c r="J11" s="508">
        <f t="shared" si="0"/>
        <v>0</v>
      </c>
      <c r="K11" s="508">
        <f t="shared" si="1"/>
        <v>0</v>
      </c>
      <c r="L11" s="381">
        <v>0</v>
      </c>
      <c r="M11" s="110">
        <v>0</v>
      </c>
    </row>
    <row r="12" spans="1:13" ht="12.75" customHeight="1" x14ac:dyDescent="0.25">
      <c r="A12" s="477"/>
      <c r="B12" s="73"/>
      <c r="C12" s="130">
        <v>0</v>
      </c>
      <c r="D12" s="109">
        <v>0</v>
      </c>
      <c r="E12" s="109">
        <v>0</v>
      </c>
      <c r="F12" s="109">
        <v>0</v>
      </c>
      <c r="G12" s="109">
        <v>0</v>
      </c>
      <c r="H12" s="109">
        <v>0</v>
      </c>
      <c r="I12" s="109">
        <v>0</v>
      </c>
      <c r="J12" s="508">
        <f t="shared" si="0"/>
        <v>0</v>
      </c>
      <c r="K12" s="508">
        <f t="shared" si="1"/>
        <v>0</v>
      </c>
      <c r="L12" s="381">
        <v>0</v>
      </c>
      <c r="M12" s="110">
        <v>0</v>
      </c>
    </row>
    <row r="13" spans="1:13" ht="12.75" customHeight="1" x14ac:dyDescent="0.25">
      <c r="A13" s="477"/>
      <c r="B13" s="73"/>
      <c r="C13" s="130">
        <v>0</v>
      </c>
      <c r="D13" s="109">
        <v>0</v>
      </c>
      <c r="E13" s="109">
        <v>0</v>
      </c>
      <c r="F13" s="109">
        <v>0</v>
      </c>
      <c r="G13" s="109">
        <v>0</v>
      </c>
      <c r="H13" s="109">
        <v>0</v>
      </c>
      <c r="I13" s="109">
        <v>0</v>
      </c>
      <c r="J13" s="508">
        <f t="shared" si="0"/>
        <v>0</v>
      </c>
      <c r="K13" s="508">
        <f t="shared" si="1"/>
        <v>0</v>
      </c>
      <c r="L13" s="381">
        <v>0</v>
      </c>
      <c r="M13" s="110">
        <v>0</v>
      </c>
    </row>
    <row r="14" spans="1:13" ht="12.75" customHeight="1" x14ac:dyDescent="0.25">
      <c r="A14" s="477"/>
      <c r="B14" s="73"/>
      <c r="C14" s="130">
        <v>0</v>
      </c>
      <c r="D14" s="109">
        <v>0</v>
      </c>
      <c r="E14" s="109">
        <v>0</v>
      </c>
      <c r="F14" s="109">
        <v>0</v>
      </c>
      <c r="G14" s="109">
        <v>0</v>
      </c>
      <c r="H14" s="109">
        <v>0</v>
      </c>
      <c r="I14" s="109">
        <v>0</v>
      </c>
      <c r="J14" s="508">
        <f t="shared" si="0"/>
        <v>0</v>
      </c>
      <c r="K14" s="508">
        <f t="shared" si="1"/>
        <v>0</v>
      </c>
      <c r="L14" s="381">
        <v>0</v>
      </c>
      <c r="M14" s="110">
        <v>0</v>
      </c>
    </row>
    <row r="15" spans="1:13" ht="12.75" customHeight="1" x14ac:dyDescent="0.25">
      <c r="A15" s="477"/>
      <c r="B15" s="73"/>
      <c r="C15" s="130">
        <v>0</v>
      </c>
      <c r="D15" s="109">
        <v>0</v>
      </c>
      <c r="E15" s="109">
        <v>0</v>
      </c>
      <c r="F15" s="109">
        <v>0</v>
      </c>
      <c r="G15" s="109">
        <v>0</v>
      </c>
      <c r="H15" s="109">
        <v>0</v>
      </c>
      <c r="I15" s="109">
        <v>0</v>
      </c>
      <c r="J15" s="508">
        <f t="shared" si="0"/>
        <v>0</v>
      </c>
      <c r="K15" s="508">
        <f t="shared" si="1"/>
        <v>0</v>
      </c>
      <c r="L15" s="381">
        <v>0</v>
      </c>
      <c r="M15" s="110">
        <v>0</v>
      </c>
    </row>
    <row r="16" spans="1:13" ht="12.75" customHeight="1" x14ac:dyDescent="0.25">
      <c r="A16" s="477"/>
      <c r="B16" s="73"/>
      <c r="C16" s="130">
        <v>0</v>
      </c>
      <c r="D16" s="109">
        <v>0</v>
      </c>
      <c r="E16" s="109">
        <v>0</v>
      </c>
      <c r="F16" s="109">
        <v>0</v>
      </c>
      <c r="G16" s="109">
        <v>0</v>
      </c>
      <c r="H16" s="109">
        <v>0</v>
      </c>
      <c r="I16" s="109">
        <v>0</v>
      </c>
      <c r="J16" s="508">
        <f t="shared" si="0"/>
        <v>0</v>
      </c>
      <c r="K16" s="508">
        <f t="shared" si="1"/>
        <v>0</v>
      </c>
      <c r="L16" s="381">
        <v>0</v>
      </c>
      <c r="M16" s="110">
        <v>0</v>
      </c>
    </row>
    <row r="17" spans="1:13" ht="12.75" customHeight="1" x14ac:dyDescent="0.25">
      <c r="A17" s="162" t="s">
        <v>524</v>
      </c>
      <c r="B17" s="79">
        <v>1</v>
      </c>
      <c r="C17" s="80">
        <f t="shared" ref="C17:M17" si="2">SUM(C7:C16)</f>
        <v>0</v>
      </c>
      <c r="D17" s="81">
        <f t="shared" si="2"/>
        <v>0</v>
      </c>
      <c r="E17" s="81">
        <f t="shared" si="2"/>
        <v>0</v>
      </c>
      <c r="F17" s="81">
        <f t="shared" si="2"/>
        <v>0</v>
      </c>
      <c r="G17" s="81">
        <f t="shared" si="2"/>
        <v>0</v>
      </c>
      <c r="H17" s="81">
        <f t="shared" si="2"/>
        <v>0</v>
      </c>
      <c r="I17" s="81">
        <f t="shared" si="2"/>
        <v>0</v>
      </c>
      <c r="J17" s="519">
        <f t="shared" si="2"/>
        <v>0</v>
      </c>
      <c r="K17" s="519">
        <f t="shared" si="2"/>
        <v>0</v>
      </c>
      <c r="L17" s="519">
        <f t="shared" si="2"/>
        <v>0</v>
      </c>
      <c r="M17" s="82">
        <f t="shared" si="2"/>
        <v>0</v>
      </c>
    </row>
    <row r="18" spans="1:13" ht="5.0999999999999996" customHeight="1" x14ac:dyDescent="0.25">
      <c r="A18" s="136"/>
      <c r="B18" s="73"/>
      <c r="C18" s="74"/>
      <c r="D18" s="75"/>
      <c r="E18" s="75"/>
      <c r="F18" s="75"/>
      <c r="G18" s="75"/>
      <c r="H18" s="75"/>
      <c r="I18" s="75"/>
      <c r="J18" s="508"/>
      <c r="K18" s="508"/>
      <c r="L18" s="508"/>
      <c r="M18" s="76"/>
    </row>
    <row r="19" spans="1:13" ht="12.75" customHeight="1" x14ac:dyDescent="0.25">
      <c r="A19" s="126" t="s">
        <v>525</v>
      </c>
      <c r="B19" s="115"/>
      <c r="C19" s="74"/>
      <c r="D19" s="75"/>
      <c r="E19" s="75"/>
      <c r="F19" s="75"/>
      <c r="G19" s="75"/>
      <c r="H19" s="75"/>
      <c r="I19" s="75"/>
      <c r="J19" s="508"/>
      <c r="K19" s="508"/>
      <c r="L19" s="508"/>
      <c r="M19" s="76"/>
    </row>
    <row r="20" spans="1:13" ht="12.75" customHeight="1" x14ac:dyDescent="0.25">
      <c r="A20" s="477" t="s">
        <v>526</v>
      </c>
      <c r="B20" s="629"/>
      <c r="C20" s="130">
        <v>0</v>
      </c>
      <c r="D20" s="109">
        <v>0</v>
      </c>
      <c r="E20" s="109">
        <v>0</v>
      </c>
      <c r="F20" s="109">
        <v>0</v>
      </c>
      <c r="G20" s="109">
        <v>0</v>
      </c>
      <c r="H20" s="109">
        <v>0</v>
      </c>
      <c r="I20" s="109">
        <v>0</v>
      </c>
      <c r="J20" s="508">
        <f t="shared" ref="J20:J29" si="3">SUM(E20:I20)</f>
        <v>0</v>
      </c>
      <c r="K20" s="508">
        <f t="shared" ref="K20:K29" si="4">IF(D20=0,C20+J20,D20+J20)</f>
        <v>0</v>
      </c>
      <c r="L20" s="381">
        <v>0</v>
      </c>
      <c r="M20" s="110">
        <v>0</v>
      </c>
    </row>
    <row r="21" spans="1:13" ht="12.75" customHeight="1" x14ac:dyDescent="0.25">
      <c r="A21" s="477" t="s">
        <v>527</v>
      </c>
      <c r="B21" s="629"/>
      <c r="C21" s="130">
        <v>0</v>
      </c>
      <c r="D21" s="109">
        <v>0</v>
      </c>
      <c r="E21" s="109">
        <v>0</v>
      </c>
      <c r="F21" s="109">
        <v>0</v>
      </c>
      <c r="G21" s="109">
        <v>0</v>
      </c>
      <c r="H21" s="109">
        <v>0</v>
      </c>
      <c r="I21" s="109">
        <v>0</v>
      </c>
      <c r="J21" s="508">
        <f t="shared" si="3"/>
        <v>0</v>
      </c>
      <c r="K21" s="508">
        <f t="shared" si="4"/>
        <v>0</v>
      </c>
      <c r="L21" s="381">
        <v>0</v>
      </c>
      <c r="M21" s="110">
        <v>0</v>
      </c>
    </row>
    <row r="22" spans="1:13" ht="12.75" customHeight="1" x14ac:dyDescent="0.25">
      <c r="A22" s="477" t="s">
        <v>528</v>
      </c>
      <c r="B22" s="629"/>
      <c r="C22" s="130">
        <v>0</v>
      </c>
      <c r="D22" s="109">
        <v>0</v>
      </c>
      <c r="E22" s="109">
        <v>0</v>
      </c>
      <c r="F22" s="109">
        <v>0</v>
      </c>
      <c r="G22" s="109">
        <v>0</v>
      </c>
      <c r="H22" s="109">
        <v>0</v>
      </c>
      <c r="I22" s="109">
        <v>0</v>
      </c>
      <c r="J22" s="508">
        <f t="shared" si="3"/>
        <v>0</v>
      </c>
      <c r="K22" s="508">
        <f t="shared" si="4"/>
        <v>0</v>
      </c>
      <c r="L22" s="381">
        <v>0</v>
      </c>
      <c r="M22" s="110">
        <v>0</v>
      </c>
    </row>
    <row r="23" spans="1:13" ht="12.75" customHeight="1" x14ac:dyDescent="0.25">
      <c r="A23" s="477"/>
      <c r="B23" s="629"/>
      <c r="C23" s="130">
        <v>0</v>
      </c>
      <c r="D23" s="109">
        <v>0</v>
      </c>
      <c r="E23" s="109">
        <v>0</v>
      </c>
      <c r="F23" s="109">
        <v>0</v>
      </c>
      <c r="G23" s="109">
        <v>0</v>
      </c>
      <c r="H23" s="109">
        <v>0</v>
      </c>
      <c r="I23" s="109">
        <v>0</v>
      </c>
      <c r="J23" s="508">
        <f t="shared" si="3"/>
        <v>0</v>
      </c>
      <c r="K23" s="508">
        <f t="shared" si="4"/>
        <v>0</v>
      </c>
      <c r="L23" s="381">
        <v>0</v>
      </c>
      <c r="M23" s="110">
        <v>0</v>
      </c>
    </row>
    <row r="24" spans="1:13" ht="12.75" customHeight="1" x14ac:dyDescent="0.25">
      <c r="A24" s="477"/>
      <c r="B24" s="629"/>
      <c r="C24" s="130">
        <v>0</v>
      </c>
      <c r="D24" s="109">
        <v>0</v>
      </c>
      <c r="E24" s="109">
        <v>0</v>
      </c>
      <c r="F24" s="109">
        <v>0</v>
      </c>
      <c r="G24" s="109">
        <v>0</v>
      </c>
      <c r="H24" s="109">
        <v>0</v>
      </c>
      <c r="I24" s="109">
        <v>0</v>
      </c>
      <c r="J24" s="508">
        <f t="shared" si="3"/>
        <v>0</v>
      </c>
      <c r="K24" s="508">
        <f t="shared" si="4"/>
        <v>0</v>
      </c>
      <c r="L24" s="381">
        <v>0</v>
      </c>
      <c r="M24" s="110">
        <v>0</v>
      </c>
    </row>
    <row r="25" spans="1:13" ht="12.75" customHeight="1" x14ac:dyDescent="0.25">
      <c r="A25" s="477"/>
      <c r="B25" s="629"/>
      <c r="C25" s="130">
        <v>0</v>
      </c>
      <c r="D25" s="109">
        <v>0</v>
      </c>
      <c r="E25" s="109">
        <v>0</v>
      </c>
      <c r="F25" s="109">
        <v>0</v>
      </c>
      <c r="G25" s="109">
        <v>0</v>
      </c>
      <c r="H25" s="109">
        <v>0</v>
      </c>
      <c r="I25" s="109">
        <v>0</v>
      </c>
      <c r="J25" s="508">
        <f t="shared" si="3"/>
        <v>0</v>
      </c>
      <c r="K25" s="508">
        <f t="shared" si="4"/>
        <v>0</v>
      </c>
      <c r="L25" s="381">
        <v>0</v>
      </c>
      <c r="M25" s="110">
        <v>0</v>
      </c>
    </row>
    <row r="26" spans="1:13" ht="12.75" customHeight="1" x14ac:dyDescent="0.25">
      <c r="A26" s="477"/>
      <c r="B26" s="629"/>
      <c r="C26" s="130">
        <v>0</v>
      </c>
      <c r="D26" s="109">
        <v>0</v>
      </c>
      <c r="E26" s="109">
        <v>0</v>
      </c>
      <c r="F26" s="109">
        <v>0</v>
      </c>
      <c r="G26" s="109">
        <v>0</v>
      </c>
      <c r="H26" s="109">
        <v>0</v>
      </c>
      <c r="I26" s="109">
        <v>0</v>
      </c>
      <c r="J26" s="508">
        <f t="shared" si="3"/>
        <v>0</v>
      </c>
      <c r="K26" s="508">
        <f t="shared" si="4"/>
        <v>0</v>
      </c>
      <c r="L26" s="381">
        <v>0</v>
      </c>
      <c r="M26" s="110">
        <v>0</v>
      </c>
    </row>
    <row r="27" spans="1:13" ht="12.75" customHeight="1" x14ac:dyDescent="0.25">
      <c r="A27" s="477"/>
      <c r="B27" s="629"/>
      <c r="C27" s="130">
        <v>0</v>
      </c>
      <c r="D27" s="109">
        <v>0</v>
      </c>
      <c r="E27" s="109">
        <v>0</v>
      </c>
      <c r="F27" s="109">
        <v>0</v>
      </c>
      <c r="G27" s="109">
        <v>0</v>
      </c>
      <c r="H27" s="109">
        <v>0</v>
      </c>
      <c r="I27" s="109">
        <v>0</v>
      </c>
      <c r="J27" s="508">
        <f t="shared" si="3"/>
        <v>0</v>
      </c>
      <c r="K27" s="508">
        <f t="shared" si="4"/>
        <v>0</v>
      </c>
      <c r="L27" s="381">
        <v>0</v>
      </c>
      <c r="M27" s="110">
        <v>0</v>
      </c>
    </row>
    <row r="28" spans="1:13" ht="12.75" customHeight="1" x14ac:dyDescent="0.25">
      <c r="A28" s="477"/>
      <c r="B28" s="629"/>
      <c r="C28" s="130">
        <v>0</v>
      </c>
      <c r="D28" s="109">
        <v>0</v>
      </c>
      <c r="E28" s="109">
        <v>0</v>
      </c>
      <c r="F28" s="109">
        <v>0</v>
      </c>
      <c r="G28" s="109">
        <v>0</v>
      </c>
      <c r="H28" s="109">
        <v>0</v>
      </c>
      <c r="I28" s="109">
        <v>0</v>
      </c>
      <c r="J28" s="508">
        <f t="shared" si="3"/>
        <v>0</v>
      </c>
      <c r="K28" s="508">
        <f t="shared" si="4"/>
        <v>0</v>
      </c>
      <c r="L28" s="381">
        <v>0</v>
      </c>
      <c r="M28" s="110">
        <v>0</v>
      </c>
    </row>
    <row r="29" spans="1:13" ht="12.75" customHeight="1" x14ac:dyDescent="0.25">
      <c r="A29" s="477"/>
      <c r="B29" s="629"/>
      <c r="C29" s="130">
        <v>0</v>
      </c>
      <c r="D29" s="109">
        <v>0</v>
      </c>
      <c r="E29" s="109">
        <v>0</v>
      </c>
      <c r="F29" s="109">
        <v>0</v>
      </c>
      <c r="G29" s="109">
        <v>0</v>
      </c>
      <c r="H29" s="109">
        <v>0</v>
      </c>
      <c r="I29" s="109">
        <v>0</v>
      </c>
      <c r="J29" s="508">
        <f t="shared" si="3"/>
        <v>0</v>
      </c>
      <c r="K29" s="508">
        <f t="shared" si="4"/>
        <v>0</v>
      </c>
      <c r="L29" s="381">
        <v>0</v>
      </c>
      <c r="M29" s="110">
        <v>0</v>
      </c>
    </row>
    <row r="30" spans="1:13" ht="12.75" customHeight="1" x14ac:dyDescent="0.25">
      <c r="A30" s="162" t="s">
        <v>529</v>
      </c>
      <c r="B30" s="79">
        <v>2</v>
      </c>
      <c r="C30" s="80">
        <f t="shared" ref="C30:M30" si="5">SUM(C20:C29)</f>
        <v>0</v>
      </c>
      <c r="D30" s="81">
        <f t="shared" si="5"/>
        <v>0</v>
      </c>
      <c r="E30" s="81">
        <f t="shared" si="5"/>
        <v>0</v>
      </c>
      <c r="F30" s="81">
        <f t="shared" si="5"/>
        <v>0</v>
      </c>
      <c r="G30" s="81">
        <f t="shared" si="5"/>
        <v>0</v>
      </c>
      <c r="H30" s="81">
        <f t="shared" si="5"/>
        <v>0</v>
      </c>
      <c r="I30" s="81">
        <f t="shared" si="5"/>
        <v>0</v>
      </c>
      <c r="J30" s="519">
        <f t="shared" si="5"/>
        <v>0</v>
      </c>
      <c r="K30" s="519">
        <f t="shared" si="5"/>
        <v>0</v>
      </c>
      <c r="L30" s="519">
        <f t="shared" si="5"/>
        <v>0</v>
      </c>
      <c r="M30" s="82">
        <f t="shared" si="5"/>
        <v>0</v>
      </c>
    </row>
    <row r="31" spans="1:13" ht="5.0999999999999996" customHeight="1" x14ac:dyDescent="0.25">
      <c r="A31" s="136"/>
      <c r="B31" s="73"/>
      <c r="C31" s="74"/>
      <c r="D31" s="75"/>
      <c r="E31" s="75"/>
      <c r="F31" s="75"/>
      <c r="G31" s="75"/>
      <c r="H31" s="75"/>
      <c r="I31" s="75"/>
      <c r="J31" s="508"/>
      <c r="K31" s="508"/>
      <c r="L31" s="508"/>
      <c r="M31" s="76"/>
    </row>
    <row r="32" spans="1:13" ht="12.75" customHeight="1" x14ac:dyDescent="0.25">
      <c r="A32" s="126" t="s">
        <v>530</v>
      </c>
      <c r="B32" s="137"/>
      <c r="C32" s="74"/>
      <c r="D32" s="75"/>
      <c r="E32" s="75"/>
      <c r="F32" s="75"/>
      <c r="G32" s="75"/>
      <c r="H32" s="75"/>
      <c r="I32" s="75"/>
      <c r="J32" s="508"/>
      <c r="K32" s="508"/>
      <c r="L32" s="508"/>
      <c r="M32" s="76"/>
    </row>
    <row r="33" spans="1:13" ht="12.75" customHeight="1" x14ac:dyDescent="0.25">
      <c r="A33" s="477" t="s">
        <v>531</v>
      </c>
      <c r="B33" s="137"/>
      <c r="C33" s="130">
        <v>0</v>
      </c>
      <c r="D33" s="130">
        <v>0</v>
      </c>
      <c r="E33" s="109">
        <v>0</v>
      </c>
      <c r="F33" s="109">
        <v>0</v>
      </c>
      <c r="G33" s="109">
        <v>0</v>
      </c>
      <c r="H33" s="109">
        <v>0</v>
      </c>
      <c r="I33" s="109">
        <v>0</v>
      </c>
      <c r="J33" s="508">
        <f t="shared" ref="J33:J42" si="6">SUM(E33:I33)</f>
        <v>0</v>
      </c>
      <c r="K33" s="508">
        <f t="shared" ref="K33:K42" si="7">IF(D33=0,C33+J33,D33+J33)</f>
        <v>0</v>
      </c>
      <c r="L33" s="381">
        <v>0</v>
      </c>
      <c r="M33" s="110">
        <v>0</v>
      </c>
    </row>
    <row r="34" spans="1:13" ht="12.75" customHeight="1" x14ac:dyDescent="0.25">
      <c r="A34" s="477" t="s">
        <v>532</v>
      </c>
      <c r="B34" s="137"/>
      <c r="C34" s="130">
        <v>0</v>
      </c>
      <c r="D34" s="130">
        <v>0</v>
      </c>
      <c r="E34" s="109">
        <v>0</v>
      </c>
      <c r="F34" s="109">
        <v>0</v>
      </c>
      <c r="G34" s="109">
        <v>0</v>
      </c>
      <c r="H34" s="109">
        <v>0</v>
      </c>
      <c r="I34" s="109">
        <v>0</v>
      </c>
      <c r="J34" s="508">
        <f t="shared" si="6"/>
        <v>0</v>
      </c>
      <c r="K34" s="508">
        <f t="shared" si="7"/>
        <v>0</v>
      </c>
      <c r="L34" s="381">
        <v>0</v>
      </c>
      <c r="M34" s="110">
        <v>0</v>
      </c>
    </row>
    <row r="35" spans="1:13" ht="12.75" customHeight="1" x14ac:dyDescent="0.25">
      <c r="A35" s="477" t="s">
        <v>533</v>
      </c>
      <c r="B35" s="137"/>
      <c r="C35" s="130">
        <v>0</v>
      </c>
      <c r="D35" s="130">
        <v>0</v>
      </c>
      <c r="E35" s="109">
        <v>0</v>
      </c>
      <c r="F35" s="109">
        <v>0</v>
      </c>
      <c r="G35" s="109">
        <v>0</v>
      </c>
      <c r="H35" s="109">
        <v>0</v>
      </c>
      <c r="I35" s="109">
        <v>0</v>
      </c>
      <c r="J35" s="508">
        <f t="shared" si="6"/>
        <v>0</v>
      </c>
      <c r="K35" s="508">
        <f t="shared" si="7"/>
        <v>0</v>
      </c>
      <c r="L35" s="381">
        <v>0</v>
      </c>
      <c r="M35" s="110">
        <v>0</v>
      </c>
    </row>
    <row r="36" spans="1:13" ht="12.75" customHeight="1" x14ac:dyDescent="0.25">
      <c r="A36" s="477"/>
      <c r="B36" s="137"/>
      <c r="C36" s="130">
        <v>0</v>
      </c>
      <c r="D36" s="130">
        <v>0</v>
      </c>
      <c r="E36" s="109">
        <v>0</v>
      </c>
      <c r="F36" s="109">
        <v>0</v>
      </c>
      <c r="G36" s="109">
        <v>0</v>
      </c>
      <c r="H36" s="109">
        <v>0</v>
      </c>
      <c r="I36" s="109">
        <v>0</v>
      </c>
      <c r="J36" s="508">
        <f t="shared" si="6"/>
        <v>0</v>
      </c>
      <c r="K36" s="508">
        <f t="shared" si="7"/>
        <v>0</v>
      </c>
      <c r="L36" s="381">
        <v>0</v>
      </c>
      <c r="M36" s="110">
        <v>0</v>
      </c>
    </row>
    <row r="37" spans="1:13" ht="12.75" customHeight="1" x14ac:dyDescent="0.25">
      <c r="A37" s="477"/>
      <c r="B37" s="137"/>
      <c r="C37" s="130">
        <v>0</v>
      </c>
      <c r="D37" s="130">
        <v>0</v>
      </c>
      <c r="E37" s="109">
        <v>0</v>
      </c>
      <c r="F37" s="109">
        <v>0</v>
      </c>
      <c r="G37" s="109">
        <v>0</v>
      </c>
      <c r="H37" s="109">
        <v>0</v>
      </c>
      <c r="I37" s="109">
        <v>0</v>
      </c>
      <c r="J37" s="508">
        <f t="shared" si="6"/>
        <v>0</v>
      </c>
      <c r="K37" s="508">
        <f t="shared" si="7"/>
        <v>0</v>
      </c>
      <c r="L37" s="381">
        <v>0</v>
      </c>
      <c r="M37" s="110">
        <v>0</v>
      </c>
    </row>
    <row r="38" spans="1:13" ht="12.75" customHeight="1" x14ac:dyDescent="0.25">
      <c r="A38" s="477"/>
      <c r="B38" s="137"/>
      <c r="C38" s="130">
        <v>0</v>
      </c>
      <c r="D38" s="130">
        <v>0</v>
      </c>
      <c r="E38" s="109">
        <v>0</v>
      </c>
      <c r="F38" s="109">
        <v>0</v>
      </c>
      <c r="G38" s="109">
        <v>0</v>
      </c>
      <c r="H38" s="109">
        <v>0</v>
      </c>
      <c r="I38" s="109">
        <v>0</v>
      </c>
      <c r="J38" s="508">
        <f t="shared" si="6"/>
        <v>0</v>
      </c>
      <c r="K38" s="508">
        <f t="shared" si="7"/>
        <v>0</v>
      </c>
      <c r="L38" s="381">
        <v>0</v>
      </c>
      <c r="M38" s="110">
        <v>0</v>
      </c>
    </row>
    <row r="39" spans="1:13" ht="12.75" customHeight="1" x14ac:dyDescent="0.25">
      <c r="A39" s="477"/>
      <c r="B39" s="137"/>
      <c r="C39" s="130">
        <v>0</v>
      </c>
      <c r="D39" s="130">
        <v>0</v>
      </c>
      <c r="E39" s="109">
        <v>0</v>
      </c>
      <c r="F39" s="109">
        <v>0</v>
      </c>
      <c r="G39" s="109">
        <v>0</v>
      </c>
      <c r="H39" s="109">
        <v>0</v>
      </c>
      <c r="I39" s="109">
        <v>0</v>
      </c>
      <c r="J39" s="508">
        <f t="shared" si="6"/>
        <v>0</v>
      </c>
      <c r="K39" s="508">
        <f t="shared" si="7"/>
        <v>0</v>
      </c>
      <c r="L39" s="381">
        <v>0</v>
      </c>
      <c r="M39" s="110">
        <v>0</v>
      </c>
    </row>
    <row r="40" spans="1:13" ht="12.75" customHeight="1" x14ac:dyDescent="0.25">
      <c r="A40" s="477"/>
      <c r="B40" s="137"/>
      <c r="C40" s="130">
        <v>0</v>
      </c>
      <c r="D40" s="130">
        <v>0</v>
      </c>
      <c r="E40" s="109">
        <v>0</v>
      </c>
      <c r="F40" s="109">
        <v>0</v>
      </c>
      <c r="G40" s="109">
        <v>0</v>
      </c>
      <c r="H40" s="109">
        <v>0</v>
      </c>
      <c r="I40" s="109">
        <v>0</v>
      </c>
      <c r="J40" s="508">
        <f t="shared" si="6"/>
        <v>0</v>
      </c>
      <c r="K40" s="508">
        <f t="shared" si="7"/>
        <v>0</v>
      </c>
      <c r="L40" s="381">
        <v>0</v>
      </c>
      <c r="M40" s="110">
        <v>0</v>
      </c>
    </row>
    <row r="41" spans="1:13" ht="12.75" customHeight="1" x14ac:dyDescent="0.25">
      <c r="A41" s="477"/>
      <c r="B41" s="137"/>
      <c r="C41" s="130">
        <v>0</v>
      </c>
      <c r="D41" s="130">
        <v>0</v>
      </c>
      <c r="E41" s="109">
        <v>0</v>
      </c>
      <c r="F41" s="109">
        <v>0</v>
      </c>
      <c r="G41" s="109">
        <v>0</v>
      </c>
      <c r="H41" s="109">
        <v>0</v>
      </c>
      <c r="I41" s="109">
        <v>0</v>
      </c>
      <c r="J41" s="508">
        <f t="shared" si="6"/>
        <v>0</v>
      </c>
      <c r="K41" s="508">
        <f t="shared" si="7"/>
        <v>0</v>
      </c>
      <c r="L41" s="381">
        <v>0</v>
      </c>
      <c r="M41" s="110">
        <v>0</v>
      </c>
    </row>
    <row r="42" spans="1:13" ht="12.75" customHeight="1" x14ac:dyDescent="0.25">
      <c r="A42" s="477"/>
      <c r="B42" s="137"/>
      <c r="C42" s="130">
        <v>0</v>
      </c>
      <c r="D42" s="109">
        <v>0</v>
      </c>
      <c r="E42" s="109">
        <v>0</v>
      </c>
      <c r="F42" s="109">
        <v>0</v>
      </c>
      <c r="G42" s="109">
        <v>0</v>
      </c>
      <c r="H42" s="109">
        <v>0</v>
      </c>
      <c r="I42" s="109">
        <v>0</v>
      </c>
      <c r="J42" s="508">
        <f t="shared" si="6"/>
        <v>0</v>
      </c>
      <c r="K42" s="508">
        <f t="shared" si="7"/>
        <v>0</v>
      </c>
      <c r="L42" s="381">
        <v>0</v>
      </c>
      <c r="M42" s="110">
        <v>0</v>
      </c>
    </row>
    <row r="43" spans="1:13" ht="12.75" customHeight="1" x14ac:dyDescent="0.25">
      <c r="A43" s="155" t="s">
        <v>474</v>
      </c>
      <c r="B43" s="156">
        <v>2</v>
      </c>
      <c r="C43" s="157">
        <f t="shared" ref="C43:M43" si="8">SUM(C32:C42)</f>
        <v>0</v>
      </c>
      <c r="D43" s="117">
        <f t="shared" si="8"/>
        <v>0</v>
      </c>
      <c r="E43" s="117">
        <f t="shared" si="8"/>
        <v>0</v>
      </c>
      <c r="F43" s="117">
        <f t="shared" si="8"/>
        <v>0</v>
      </c>
      <c r="G43" s="117">
        <f t="shared" si="8"/>
        <v>0</v>
      </c>
      <c r="H43" s="117">
        <f t="shared" si="8"/>
        <v>0</v>
      </c>
      <c r="I43" s="117">
        <f t="shared" si="8"/>
        <v>0</v>
      </c>
      <c r="J43" s="522">
        <f t="shared" si="8"/>
        <v>0</v>
      </c>
      <c r="K43" s="522">
        <f t="shared" si="8"/>
        <v>0</v>
      </c>
      <c r="L43" s="522">
        <f t="shared" si="8"/>
        <v>0</v>
      </c>
      <c r="M43" s="118">
        <f t="shared" si="8"/>
        <v>0</v>
      </c>
    </row>
    <row r="44" spans="1:13" ht="12.75" customHeight="1" x14ac:dyDescent="0.25">
      <c r="A44" s="158" t="str">
        <f>head27a</f>
        <v>References</v>
      </c>
      <c r="B44" s="121"/>
      <c r="C44" s="501"/>
      <c r="D44" s="501"/>
      <c r="E44" s="501"/>
      <c r="F44" s="501"/>
      <c r="G44" s="501"/>
      <c r="H44" s="501"/>
      <c r="I44" s="501"/>
      <c r="J44" s="501"/>
      <c r="K44" s="501"/>
      <c r="L44" s="501"/>
      <c r="M44" s="501"/>
    </row>
    <row r="45" spans="1:13" ht="12.75" customHeight="1" x14ac:dyDescent="0.25">
      <c r="A45" s="99" t="s">
        <v>534</v>
      </c>
      <c r="B45" s="93"/>
      <c r="C45" s="96"/>
      <c r="D45" s="96"/>
      <c r="E45" s="96"/>
      <c r="F45" s="96"/>
      <c r="G45" s="96"/>
      <c r="H45" s="96"/>
      <c r="I45" s="96"/>
      <c r="J45" s="96"/>
      <c r="K45" s="96"/>
      <c r="L45" s="96"/>
      <c r="M45" s="96"/>
    </row>
    <row r="46" spans="1:13" ht="12.75" customHeight="1" x14ac:dyDescent="0.25">
      <c r="A46" s="99" t="s">
        <v>535</v>
      </c>
      <c r="B46" s="93"/>
      <c r="C46" s="96"/>
      <c r="D46" s="96"/>
      <c r="E46" s="96"/>
      <c r="F46" s="96"/>
      <c r="G46" s="96"/>
      <c r="H46" s="96"/>
      <c r="I46" s="96"/>
      <c r="J46" s="96"/>
      <c r="K46" s="96"/>
      <c r="L46" s="96"/>
      <c r="M46" s="96"/>
    </row>
    <row r="47" spans="1:13" ht="12.75" customHeight="1" x14ac:dyDescent="0.25">
      <c r="A47" s="1402" t="s">
        <v>986</v>
      </c>
      <c r="B47" s="1402"/>
      <c r="C47" s="1402"/>
      <c r="D47" s="1402"/>
      <c r="E47" s="1402"/>
      <c r="F47" s="1402"/>
      <c r="G47" s="1402"/>
      <c r="H47" s="1402"/>
      <c r="I47" s="1402"/>
      <c r="J47" s="1402"/>
      <c r="K47" s="1402"/>
      <c r="L47" s="1402"/>
      <c r="M47" s="1402"/>
    </row>
    <row r="48" spans="1:13" ht="12.75" customHeight="1" x14ac:dyDescent="0.25">
      <c r="A48" s="1402" t="s">
        <v>536</v>
      </c>
      <c r="B48" s="1402"/>
      <c r="C48" s="1402"/>
      <c r="D48" s="1402"/>
      <c r="E48" s="1402"/>
      <c r="F48" s="1402"/>
      <c r="G48" s="1402"/>
      <c r="H48" s="1402"/>
      <c r="I48" s="1402"/>
      <c r="J48" s="1402"/>
      <c r="K48" s="1402"/>
      <c r="L48" s="1402"/>
      <c r="M48" s="1402"/>
    </row>
    <row r="49" spans="1:13" ht="12.75" customHeight="1" x14ac:dyDescent="0.25">
      <c r="A49" s="1402" t="s">
        <v>537</v>
      </c>
      <c r="B49" s="1402"/>
      <c r="C49" s="1402"/>
      <c r="D49" s="1402"/>
      <c r="E49" s="1402"/>
      <c r="F49" s="1402"/>
      <c r="G49" s="1402"/>
      <c r="H49" s="1402"/>
      <c r="I49" s="1402"/>
      <c r="J49" s="1402"/>
      <c r="K49" s="1402"/>
      <c r="L49" s="1402"/>
      <c r="M49" s="1402"/>
    </row>
    <row r="50" spans="1:13" ht="12.75" customHeight="1" x14ac:dyDescent="0.25">
      <c r="A50" s="1402" t="s">
        <v>538</v>
      </c>
      <c r="B50" s="1402"/>
      <c r="C50" s="1402"/>
      <c r="D50" s="1402"/>
      <c r="E50" s="1402"/>
      <c r="F50" s="1402"/>
      <c r="G50" s="1402"/>
      <c r="H50" s="1402"/>
      <c r="I50" s="1402"/>
      <c r="J50" s="1402"/>
      <c r="K50" s="1402"/>
      <c r="L50" s="1402"/>
      <c r="M50" s="1402"/>
    </row>
    <row r="51" spans="1:13" ht="12.75" customHeight="1" x14ac:dyDescent="0.25">
      <c r="A51" s="95" t="s">
        <v>539</v>
      </c>
      <c r="B51" s="93"/>
      <c r="C51" s="96"/>
      <c r="D51" s="96"/>
      <c r="E51" s="96"/>
      <c r="F51" s="96"/>
      <c r="G51" s="96"/>
      <c r="H51" s="96"/>
      <c r="I51" s="96"/>
      <c r="J51" s="96"/>
      <c r="K51" s="96"/>
      <c r="L51" s="96"/>
      <c r="M51" s="96"/>
    </row>
    <row r="52" spans="1:13" ht="12.75" customHeight="1" x14ac:dyDescent="0.25">
      <c r="A52" s="99" t="s">
        <v>540</v>
      </c>
      <c r="B52" s="93"/>
      <c r="C52" s="96"/>
      <c r="D52" s="96"/>
      <c r="E52" s="96"/>
      <c r="F52" s="96"/>
      <c r="G52" s="96"/>
      <c r="H52" s="96"/>
      <c r="I52" s="96"/>
      <c r="J52" s="96"/>
      <c r="K52" s="96"/>
      <c r="L52" s="96"/>
      <c r="M52" s="96"/>
    </row>
    <row r="53" spans="1:13" ht="12.75" customHeight="1" x14ac:dyDescent="0.25">
      <c r="A53" s="1402" t="s">
        <v>541</v>
      </c>
      <c r="B53" s="1402"/>
      <c r="C53" s="1402"/>
      <c r="D53" s="1402"/>
      <c r="E53" s="1402"/>
      <c r="F53" s="1402"/>
      <c r="G53" s="1402"/>
      <c r="H53" s="1402"/>
      <c r="I53" s="1402"/>
      <c r="J53" s="1402"/>
      <c r="K53" s="1402"/>
      <c r="L53" s="1402"/>
      <c r="M53" s="1402"/>
    </row>
    <row r="54" spans="1:13" ht="12.75" customHeight="1" x14ac:dyDescent="0.25">
      <c r="A54" s="99" t="s">
        <v>542</v>
      </c>
      <c r="B54" s="93"/>
      <c r="C54" s="96"/>
      <c r="D54" s="96"/>
      <c r="E54" s="96"/>
      <c r="F54" s="96"/>
      <c r="G54" s="96"/>
      <c r="H54" s="96"/>
      <c r="I54" s="96"/>
      <c r="J54" s="96"/>
      <c r="K54" s="96"/>
      <c r="L54" s="96"/>
      <c r="M54" s="96"/>
    </row>
    <row r="55" spans="1:13" ht="12.75" customHeight="1" x14ac:dyDescent="0.25">
      <c r="A55" s="100" t="s">
        <v>543</v>
      </c>
      <c r="B55" s="100"/>
      <c r="C55" s="100"/>
      <c r="D55" s="100"/>
      <c r="E55" s="100"/>
      <c r="F55" s="100"/>
      <c r="G55" s="100"/>
      <c r="H55" s="100"/>
      <c r="I55" s="100"/>
      <c r="J55" s="100"/>
      <c r="K55" s="100"/>
      <c r="L55" s="100"/>
      <c r="M55" s="100"/>
    </row>
    <row r="56" spans="1:13" ht="11.25" customHeight="1" x14ac:dyDescent="0.25">
      <c r="B56" s="128"/>
    </row>
    <row r="57" spans="1:13" x14ac:dyDescent="0.25">
      <c r="B57" s="5"/>
    </row>
    <row r="58" spans="1:13" ht="11.25" customHeight="1" x14ac:dyDescent="0.25">
      <c r="B58" s="5"/>
    </row>
    <row r="59" spans="1:13" ht="11.25" customHeight="1" x14ac:dyDescent="0.25">
      <c r="B59" s="5"/>
    </row>
    <row r="60" spans="1:13" x14ac:dyDescent="0.25">
      <c r="B60" s="5"/>
    </row>
    <row r="61" spans="1:13" ht="11.25" customHeight="1" x14ac:dyDescent="0.25">
      <c r="B61" s="5"/>
    </row>
    <row r="62" spans="1:13" ht="11.25" customHeight="1" x14ac:dyDescent="0.25">
      <c r="B62" s="5"/>
    </row>
    <row r="63" spans="1:13" ht="11.25" customHeight="1" x14ac:dyDescent="0.25">
      <c r="B63" s="5"/>
    </row>
    <row r="64" spans="1:13" ht="11.25" customHeight="1" x14ac:dyDescent="0.25">
      <c r="B64" s="5"/>
    </row>
    <row r="65" spans="2:2" ht="11.25" customHeight="1" x14ac:dyDescent="0.25">
      <c r="B65" s="5"/>
    </row>
    <row r="66" spans="2:2" ht="11.25" customHeight="1" x14ac:dyDescent="0.25">
      <c r="B66" s="5"/>
    </row>
    <row r="67" spans="2:2" ht="11.25" customHeight="1" x14ac:dyDescent="0.25">
      <c r="B67" s="5"/>
    </row>
    <row r="68" spans="2:2" ht="11.25" customHeight="1" x14ac:dyDescent="0.25">
      <c r="B68" s="5"/>
    </row>
    <row r="69" spans="2:2" ht="11.25" customHeight="1" x14ac:dyDescent="0.25">
      <c r="B69" s="5"/>
    </row>
    <row r="70" spans="2:2" ht="11.25" customHeight="1" x14ac:dyDescent="0.25">
      <c r="B70" s="5"/>
    </row>
    <row r="71" spans="2:2" ht="11.25" customHeight="1" x14ac:dyDescent="0.25">
      <c r="B71" s="5"/>
    </row>
    <row r="72" spans="2:2" ht="11.25" customHeight="1" x14ac:dyDescent="0.25">
      <c r="B72" s="5"/>
    </row>
    <row r="73" spans="2:2" ht="11.25" customHeight="1" x14ac:dyDescent="0.25">
      <c r="B73" s="5"/>
    </row>
    <row r="74" spans="2:2" ht="11.25" customHeight="1" x14ac:dyDescent="0.25">
      <c r="B74" s="5"/>
    </row>
    <row r="75" spans="2:2" ht="11.25" customHeight="1" x14ac:dyDescent="0.25">
      <c r="B75" s="5"/>
    </row>
    <row r="76" spans="2:2" ht="11.25" customHeight="1" x14ac:dyDescent="0.25">
      <c r="B76" s="5"/>
    </row>
    <row r="77" spans="2:2" ht="11.25" customHeight="1" x14ac:dyDescent="0.25">
      <c r="B77" s="5"/>
    </row>
    <row r="78" spans="2:2" ht="11.25" customHeight="1" x14ac:dyDescent="0.25">
      <c r="B78" s="5"/>
    </row>
    <row r="79" spans="2:2" ht="11.25" customHeight="1" x14ac:dyDescent="0.25">
      <c r="B79" s="5"/>
    </row>
    <row r="80" spans="2:2" ht="11.25" customHeight="1" x14ac:dyDescent="0.25">
      <c r="B80" s="5"/>
    </row>
    <row r="81" spans="2:2" ht="11.25" customHeight="1" x14ac:dyDescent="0.25">
      <c r="B81" s="5"/>
    </row>
    <row r="82" spans="2:2" ht="11.25" customHeight="1" x14ac:dyDescent="0.25">
      <c r="B82" s="5"/>
    </row>
    <row r="83" spans="2:2" ht="11.25" customHeight="1" x14ac:dyDescent="0.25">
      <c r="B83" s="5"/>
    </row>
    <row r="84" spans="2:2" ht="11.25" customHeight="1" x14ac:dyDescent="0.25">
      <c r="B84" s="5"/>
    </row>
    <row r="85" spans="2:2" ht="11.25" customHeight="1" x14ac:dyDescent="0.25">
      <c r="B85" s="5"/>
    </row>
    <row r="86" spans="2:2" ht="11.25" customHeight="1" x14ac:dyDescent="0.25">
      <c r="B86" s="5"/>
    </row>
    <row r="87" spans="2:2" ht="11.25" customHeight="1" x14ac:dyDescent="0.25"/>
    <row r="88" spans="2:2" ht="11.25" customHeight="1" x14ac:dyDescent="0.25"/>
  </sheetData>
  <sheetProtection sheet="1" objects="1" scenarios="1"/>
  <mergeCells count="9">
    <mergeCell ref="A1:M1"/>
    <mergeCell ref="A2:A4"/>
    <mergeCell ref="B2:B4"/>
    <mergeCell ref="C2:K2"/>
    <mergeCell ref="A53:M53"/>
    <mergeCell ref="A49:M49"/>
    <mergeCell ref="A50:M50"/>
    <mergeCell ref="A47:M47"/>
    <mergeCell ref="A48:M48"/>
  </mergeCells>
  <phoneticPr fontId="4" type="noConversion"/>
  <pageMargins left="0.36" right="0.17" top="0.79" bottom="0.57999999999999996" header="0.51181102362204722" footer="0.41"/>
  <pageSetup paperSize="9" scale="7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indexed="44"/>
  </sheetPr>
  <dimension ref="A1:E184"/>
  <sheetViews>
    <sheetView showGridLines="0" topLeftCell="A19" zoomScaleNormal="100" workbookViewId="0">
      <selection activeCell="A68" sqref="A68"/>
    </sheetView>
  </sheetViews>
  <sheetFormatPr defaultColWidth="9.140625" defaultRowHeight="11.25" x14ac:dyDescent="0.2"/>
  <cols>
    <col min="1" max="1" width="37.5703125" style="915" customWidth="1"/>
    <col min="2" max="2" width="7.7109375" style="923" customWidth="1"/>
    <col min="3" max="3" width="47.85546875" style="924" customWidth="1"/>
    <col min="4" max="4" width="20" style="915" hidden="1" customWidth="1"/>
    <col min="5" max="5" width="43.42578125" style="915" customWidth="1"/>
    <col min="6" max="16384" width="9.140625" style="915"/>
  </cols>
  <sheetData>
    <row r="1" spans="1:5" ht="35.25" customHeight="1" x14ac:dyDescent="0.2">
      <c r="A1" s="912" t="s">
        <v>1294</v>
      </c>
      <c r="B1" s="913"/>
      <c r="C1" s="914" t="s">
        <v>1295</v>
      </c>
      <c r="E1" s="912" t="s">
        <v>1296</v>
      </c>
    </row>
    <row r="2" spans="1:5" x14ac:dyDescent="0.2">
      <c r="A2" s="915" t="str">
        <f>B2&amp;" - "&amp;C2</f>
        <v>Vote 1 - CHIEF OPERATION OFFICE</v>
      </c>
      <c r="B2" s="916" t="s">
        <v>674</v>
      </c>
      <c r="C2" s="917" t="s">
        <v>1823</v>
      </c>
      <c r="E2" s="918"/>
    </row>
    <row r="3" spans="1:5" x14ac:dyDescent="0.2">
      <c r="A3" s="915" t="str">
        <f>B13&amp;" - "&amp; C13</f>
        <v>Vote 2 - MUNICIPAL MANAGER'S OFFICE</v>
      </c>
      <c r="B3" s="919">
        <v>1.1000000000000001</v>
      </c>
      <c r="C3" s="920" t="s">
        <v>1814</v>
      </c>
      <c r="D3" s="915" t="str">
        <f t="shared" ref="D3:D12" si="0">CONCATENATE(B3, " - ", C3)</f>
        <v>1.1 - CHIEF OPERATIONS OFFICE(ADMINISTRATION)</v>
      </c>
      <c r="E3" s="921" t="s">
        <v>1298</v>
      </c>
    </row>
    <row r="4" spans="1:5" x14ac:dyDescent="0.2">
      <c r="A4" s="915" t="str">
        <f>B24&amp;" - "&amp;C24</f>
        <v>Vote 3 - WATER AND SANITATION</v>
      </c>
      <c r="B4" s="919">
        <v>1.2</v>
      </c>
      <c r="C4" s="920" t="s">
        <v>1815</v>
      </c>
      <c r="D4" s="915" t="str">
        <f t="shared" si="0"/>
        <v>1.2 - LEGISLATIVE SUPPORT</v>
      </c>
      <c r="E4" s="921"/>
    </row>
    <row r="5" spans="1:5" x14ac:dyDescent="0.2">
      <c r="A5" s="915" t="str">
        <f>B35&amp;" - "&amp;C35</f>
        <v>Vote 4 - ENERGY</v>
      </c>
      <c r="B5" s="919">
        <v>1.3</v>
      </c>
      <c r="C5" s="920" t="s">
        <v>1816</v>
      </c>
      <c r="D5" s="915" t="str">
        <f t="shared" si="0"/>
        <v>1.3 - LEGAL SERVICES</v>
      </c>
      <c r="E5" s="921"/>
    </row>
    <row r="6" spans="1:5" x14ac:dyDescent="0.2">
      <c r="A6" s="915" t="str">
        <f>B46&amp;" - "&amp;C46</f>
        <v>Vote 5 - COMMUNITY SERVICES</v>
      </c>
      <c r="B6" s="919">
        <v>1.4</v>
      </c>
      <c r="C6" s="920" t="s">
        <v>1817</v>
      </c>
      <c r="D6" s="915" t="str">
        <f t="shared" si="0"/>
        <v xml:space="preserve">1.4 - INTERGRATED DEVELOPMENT PLAN </v>
      </c>
      <c r="E6" s="921"/>
    </row>
    <row r="7" spans="1:5" x14ac:dyDescent="0.2">
      <c r="A7" s="915" t="str">
        <f>B64&amp;" - "&amp;C64</f>
        <v>Vote 6 - PUBLIC SAFETY(ADMINISTRATION)</v>
      </c>
      <c r="B7" s="919">
        <v>1.5</v>
      </c>
      <c r="C7" s="920" t="s">
        <v>1818</v>
      </c>
      <c r="D7" s="915" t="str">
        <f t="shared" si="0"/>
        <v>1.5 - COMMUNICATIONS AND MARKETING</v>
      </c>
      <c r="E7" s="921"/>
    </row>
    <row r="8" spans="1:5" x14ac:dyDescent="0.2">
      <c r="A8" s="915" t="str">
        <f>B80&amp;" - "&amp;C80</f>
        <v>Vote 7 - CORPORATE AND SHARED SERVICES</v>
      </c>
      <c r="B8" s="919">
        <v>1.6</v>
      </c>
      <c r="C8" s="920" t="s">
        <v>1819</v>
      </c>
      <c r="D8" s="915" t="str">
        <f t="shared" si="0"/>
        <v>1.6 - PROJECT MANAGEMENT UNIT</v>
      </c>
      <c r="E8" s="921"/>
    </row>
    <row r="9" spans="1:5" x14ac:dyDescent="0.2">
      <c r="A9" s="915" t="str">
        <f>B97&amp;" - "&amp;C97</f>
        <v>Vote 8 - PLANNING AND ECONOMIC  DEVELOPMENT</v>
      </c>
      <c r="B9" s="919">
        <v>1.7</v>
      </c>
      <c r="C9" s="920" t="s">
        <v>1820</v>
      </c>
      <c r="D9" s="915" t="str">
        <f t="shared" si="0"/>
        <v>1.7 - PERFORMANCE MANAGEMENT</v>
      </c>
      <c r="E9" s="921"/>
    </row>
    <row r="10" spans="1:5" x14ac:dyDescent="0.2">
      <c r="A10" s="915" t="str">
        <f>B108&amp;" - "&amp;C108</f>
        <v>Vote 9 - BUDGET AND TREASURY OFFICE)</v>
      </c>
      <c r="B10" s="919">
        <v>1.8</v>
      </c>
      <c r="C10" s="920" t="s">
        <v>1821</v>
      </c>
      <c r="D10" s="915" t="str">
        <f t="shared" si="0"/>
        <v>1.8 - CLUSTER</v>
      </c>
      <c r="E10" s="921"/>
    </row>
    <row r="11" spans="1:5" x14ac:dyDescent="0.2">
      <c r="A11" s="915" t="str">
        <f>B119&amp;" - "&amp;C119</f>
        <v>Vote 10 - TRANSPORT SERVICES</v>
      </c>
      <c r="B11" s="919">
        <v>1.9</v>
      </c>
      <c r="C11" s="920" t="s">
        <v>1822</v>
      </c>
      <c r="D11" s="915" t="str">
        <f t="shared" si="0"/>
        <v>1.9 - EXECUTIVE SUPPORT</v>
      </c>
      <c r="E11" s="921"/>
    </row>
    <row r="12" spans="1:5" x14ac:dyDescent="0.2">
      <c r="A12" s="915" t="str">
        <f>B130&amp;" - "&amp;C130</f>
        <v>Vote 11 - HUMAN SETTLEMENT</v>
      </c>
      <c r="B12" s="919" t="s">
        <v>1299</v>
      </c>
      <c r="C12" s="920" t="s">
        <v>1297</v>
      </c>
      <c r="D12" s="915" t="str">
        <f t="shared" si="0"/>
        <v>1.10 - [Name of sub-vote]</v>
      </c>
      <c r="E12" s="921"/>
    </row>
    <row r="13" spans="1:5" x14ac:dyDescent="0.2">
      <c r="A13" s="915" t="str">
        <f>B141&amp;" - "&amp;C141</f>
        <v>Vote 12 - [NAME OF VOTE 12]</v>
      </c>
      <c r="B13" s="916" t="s">
        <v>675</v>
      </c>
      <c r="C13" s="917" t="s">
        <v>1824</v>
      </c>
      <c r="E13" s="918"/>
    </row>
    <row r="14" spans="1:5" x14ac:dyDescent="0.2">
      <c r="A14" s="915" t="str">
        <f>B152&amp;" - "&amp;C152</f>
        <v>Vote 13 - [NAME OF VOTE 13]</v>
      </c>
      <c r="B14" s="919">
        <v>2.1</v>
      </c>
      <c r="C14" s="920" t="s">
        <v>1825</v>
      </c>
      <c r="D14" s="915" t="str">
        <f t="shared" ref="D14:D23" si="1">CONCATENATE(B14, " - ", C14)</f>
        <v>2.1 - COUNCILLORS</v>
      </c>
      <c r="E14" s="921" t="s">
        <v>1300</v>
      </c>
    </row>
    <row r="15" spans="1:5" x14ac:dyDescent="0.2">
      <c r="A15" s="915" t="str">
        <f>B163&amp;" - "&amp;C163</f>
        <v>Vote 14 - [NAME OF VOTE 14]</v>
      </c>
      <c r="B15" s="919">
        <v>2.2000000000000002</v>
      </c>
      <c r="C15" s="920" t="s">
        <v>1826</v>
      </c>
      <c r="D15" s="915" t="str">
        <f t="shared" si="1"/>
        <v>2.2 - MUNICIPAL MANAGER</v>
      </c>
      <c r="E15" s="921"/>
    </row>
    <row r="16" spans="1:5" x14ac:dyDescent="0.2">
      <c r="A16" s="915" t="str">
        <f>B174&amp;" - "&amp;C174</f>
        <v>Vote 15 - [NAME OF VOTE 15]</v>
      </c>
      <c r="B16" s="919">
        <v>2.2999999999999998</v>
      </c>
      <c r="C16" s="920" t="s">
        <v>1827</v>
      </c>
      <c r="D16" s="915" t="str">
        <f t="shared" si="1"/>
        <v>2.3 - RISK MANAGEMENT</v>
      </c>
      <c r="E16" s="921"/>
    </row>
    <row r="17" spans="1:5" x14ac:dyDescent="0.2">
      <c r="B17" s="919">
        <v>2.4</v>
      </c>
      <c r="C17" s="920" t="s">
        <v>1828</v>
      </c>
      <c r="D17" s="915" t="str">
        <f t="shared" si="1"/>
        <v xml:space="preserve">2.4 - INTERNAL AUDIT </v>
      </c>
      <c r="E17" s="921"/>
    </row>
    <row r="18" spans="1:5" x14ac:dyDescent="0.2">
      <c r="B18" s="919">
        <v>2.5</v>
      </c>
      <c r="C18" s="920" t="s">
        <v>1297</v>
      </c>
      <c r="D18" s="915" t="str">
        <f t="shared" si="1"/>
        <v>2.5 - [Name of sub-vote]</v>
      </c>
      <c r="E18" s="921"/>
    </row>
    <row r="19" spans="1:5" x14ac:dyDescent="0.2">
      <c r="B19" s="919">
        <v>2.6</v>
      </c>
      <c r="C19" s="920" t="s">
        <v>1297</v>
      </c>
      <c r="D19" s="915" t="str">
        <f t="shared" si="1"/>
        <v>2.6 - [Name of sub-vote]</v>
      </c>
      <c r="E19" s="921"/>
    </row>
    <row r="20" spans="1:5" x14ac:dyDescent="0.2">
      <c r="B20" s="919">
        <v>2.7</v>
      </c>
      <c r="C20" s="920" t="s">
        <v>1297</v>
      </c>
      <c r="D20" s="915" t="str">
        <f t="shared" si="1"/>
        <v>2.7 - [Name of sub-vote]</v>
      </c>
      <c r="E20" s="921"/>
    </row>
    <row r="21" spans="1:5" x14ac:dyDescent="0.2">
      <c r="A21" s="918"/>
      <c r="B21" s="919">
        <v>2.8</v>
      </c>
      <c r="C21" s="920" t="s">
        <v>1297</v>
      </c>
      <c r="D21" s="915" t="str">
        <f t="shared" si="1"/>
        <v>2.8 - [Name of sub-vote]</v>
      </c>
      <c r="E21" s="921"/>
    </row>
    <row r="22" spans="1:5" x14ac:dyDescent="0.2">
      <c r="B22" s="919">
        <v>2.9</v>
      </c>
      <c r="C22" s="920" t="s">
        <v>1297</v>
      </c>
      <c r="D22" s="915" t="str">
        <f t="shared" si="1"/>
        <v>2.9 - [Name of sub-vote]</v>
      </c>
      <c r="E22" s="921"/>
    </row>
    <row r="23" spans="1:5" x14ac:dyDescent="0.2">
      <c r="B23" s="919" t="s">
        <v>1301</v>
      </c>
      <c r="C23" s="920" t="s">
        <v>1297</v>
      </c>
      <c r="D23" s="915" t="str">
        <f t="shared" si="1"/>
        <v>2.10 - [Name of sub-vote]</v>
      </c>
      <c r="E23" s="921"/>
    </row>
    <row r="24" spans="1:5" x14ac:dyDescent="0.2">
      <c r="B24" s="916" t="s">
        <v>676</v>
      </c>
      <c r="C24" s="917" t="s">
        <v>1829</v>
      </c>
      <c r="E24" s="921"/>
    </row>
    <row r="25" spans="1:5" x14ac:dyDescent="0.2">
      <c r="B25" s="919">
        <v>3.1</v>
      </c>
      <c r="C25" s="920" t="s">
        <v>1830</v>
      </c>
      <c r="D25" s="915" t="str">
        <f t="shared" ref="D25:D34" si="2">CONCATENATE(B25, " - ", C25)</f>
        <v>3.1 - WATER AND SANITATION ADMIN</v>
      </c>
      <c r="E25" s="921" t="s">
        <v>1302</v>
      </c>
    </row>
    <row r="26" spans="1:5" x14ac:dyDescent="0.2">
      <c r="B26" s="919">
        <v>3.2</v>
      </c>
      <c r="C26" s="920" t="s">
        <v>1831</v>
      </c>
      <c r="D26" s="915" t="str">
        <f t="shared" si="2"/>
        <v>3.2 - RETICULATION, DISTRIBUTIION AND MAITENANCE, WATER DEMAND AND COSERVATION</v>
      </c>
      <c r="E26" s="921"/>
    </row>
    <row r="27" spans="1:5" x14ac:dyDescent="0.2">
      <c r="B27" s="919">
        <v>3.3</v>
      </c>
      <c r="C27" s="920" t="s">
        <v>1832</v>
      </c>
      <c r="D27" s="915" t="str">
        <f t="shared" si="2"/>
        <v>3.3 - OPERATIONS, WATER AND WASTE WATER, QUALITY MANAGEMENT AND LABORATORY SERVICES</v>
      </c>
      <c r="E27" s="921"/>
    </row>
    <row r="28" spans="1:5" x14ac:dyDescent="0.2">
      <c r="B28" s="919">
        <v>3.4</v>
      </c>
      <c r="C28" s="920" t="s">
        <v>1833</v>
      </c>
      <c r="D28" s="915" t="str">
        <f t="shared" si="2"/>
        <v>3.4 - QUALITY MONITORING SERVICES</v>
      </c>
      <c r="E28" s="921"/>
    </row>
    <row r="29" spans="1:5" x14ac:dyDescent="0.2">
      <c r="B29" s="919">
        <v>3.5</v>
      </c>
      <c r="C29" s="920" t="s">
        <v>1831</v>
      </c>
      <c r="D29" s="915" t="str">
        <f t="shared" si="2"/>
        <v>3.5 - RETICULATION, DISTRIBUTIION AND MAITENANCE, WATER DEMAND AND COSERVATION</v>
      </c>
      <c r="E29" s="921"/>
    </row>
    <row r="30" spans="1:5" x14ac:dyDescent="0.2">
      <c r="B30" s="919">
        <v>3.6</v>
      </c>
      <c r="C30" s="920" t="s">
        <v>1831</v>
      </c>
      <c r="D30" s="915" t="str">
        <f t="shared" si="2"/>
        <v>3.6 - RETICULATION, DISTRIBUTIION AND MAITENANCE, WATER DEMAND AND COSERVATION</v>
      </c>
      <c r="E30" s="921"/>
    </row>
    <row r="31" spans="1:5" x14ac:dyDescent="0.2">
      <c r="B31" s="919">
        <v>3.7</v>
      </c>
      <c r="C31" s="920" t="s">
        <v>1834</v>
      </c>
      <c r="D31" s="915" t="str">
        <f t="shared" si="2"/>
        <v>3.7 - INFRASTRUCTURE DEVELOPMENT, PLANNING AND RETICULATION DESIGN</v>
      </c>
      <c r="E31" s="921"/>
    </row>
    <row r="32" spans="1:5" x14ac:dyDescent="0.2">
      <c r="B32" s="919">
        <v>3.8</v>
      </c>
      <c r="C32" s="920" t="s">
        <v>1297</v>
      </c>
      <c r="D32" s="915" t="str">
        <f t="shared" si="2"/>
        <v>3.8 - [Name of sub-vote]</v>
      </c>
      <c r="E32" s="921"/>
    </row>
    <row r="33" spans="2:5" x14ac:dyDescent="0.2">
      <c r="B33" s="919">
        <v>3.9</v>
      </c>
      <c r="C33" s="920" t="s">
        <v>1297</v>
      </c>
      <c r="D33" s="915" t="str">
        <f t="shared" si="2"/>
        <v>3.9 - [Name of sub-vote]</v>
      </c>
      <c r="E33" s="921"/>
    </row>
    <row r="34" spans="2:5" x14ac:dyDescent="0.2">
      <c r="B34" s="919" t="s">
        <v>1303</v>
      </c>
      <c r="C34" s="920" t="s">
        <v>1297</v>
      </c>
      <c r="D34" s="915" t="str">
        <f t="shared" si="2"/>
        <v>3.10 - [Name of sub-vote]</v>
      </c>
      <c r="E34" s="921"/>
    </row>
    <row r="35" spans="2:5" x14ac:dyDescent="0.2">
      <c r="B35" s="916" t="s">
        <v>677</v>
      </c>
      <c r="C35" s="917" t="s">
        <v>1835</v>
      </c>
      <c r="E35" s="921"/>
    </row>
    <row r="36" spans="2:5" x14ac:dyDescent="0.2">
      <c r="B36" s="919">
        <v>4.0999999999999996</v>
      </c>
      <c r="C36" s="920" t="s">
        <v>1836</v>
      </c>
      <c r="D36" s="915" t="str">
        <f t="shared" ref="D36:D45" si="3">CONCATENATE(B36, " - ", C36)</f>
        <v>4.1 - ENERGY SERVICES ADMIN</v>
      </c>
      <c r="E36" s="921" t="s">
        <v>1304</v>
      </c>
    </row>
    <row r="37" spans="2:5" x14ac:dyDescent="0.2">
      <c r="B37" s="919">
        <v>4.2</v>
      </c>
      <c r="C37" s="920" t="s">
        <v>1837</v>
      </c>
      <c r="D37" s="915" t="str">
        <f t="shared" si="3"/>
        <v>4.2 - ENERGY OPERATIONS AND MAITENANCE ADMINISTRATION</v>
      </c>
      <c r="E37" s="921"/>
    </row>
    <row r="38" spans="2:5" x14ac:dyDescent="0.2">
      <c r="B38" s="919">
        <v>4.3</v>
      </c>
      <c r="C38" s="920" t="s">
        <v>1838</v>
      </c>
      <c r="D38" s="915" t="str">
        <f t="shared" si="3"/>
        <v>4.3 - ENERGY SERVICES: 66KV OPERATIONS, MAITENANCE. SCADA AND PROTECTION</v>
      </c>
      <c r="E38" s="921"/>
    </row>
    <row r="39" spans="2:5" x14ac:dyDescent="0.2">
      <c r="B39" s="919">
        <v>4.4000000000000004</v>
      </c>
      <c r="C39" s="920" t="s">
        <v>1839</v>
      </c>
      <c r="D39" s="915" t="str">
        <f t="shared" si="3"/>
        <v>4.4 - ENERGY SERVICES: 11KV OPERATIONS, MAITENANCE. AND CONSTRUCTION</v>
      </c>
      <c r="E39" s="921"/>
    </row>
    <row r="40" spans="2:5" x14ac:dyDescent="0.2">
      <c r="B40" s="919">
        <v>4.5</v>
      </c>
      <c r="C40" s="920" t="s">
        <v>1840</v>
      </c>
      <c r="D40" s="915" t="str">
        <f t="shared" si="3"/>
        <v>4.5 - ENERGY SERVICES : PLANNING AND DEVELOPMENT</v>
      </c>
      <c r="E40" s="921"/>
    </row>
    <row r="41" spans="2:5" x14ac:dyDescent="0.2">
      <c r="B41" s="919">
        <v>4.5999999999999996</v>
      </c>
      <c r="C41" s="920" t="s">
        <v>1297</v>
      </c>
      <c r="D41" s="915" t="str">
        <f t="shared" si="3"/>
        <v>4.6 - [Name of sub-vote]</v>
      </c>
      <c r="E41" s="921"/>
    </row>
    <row r="42" spans="2:5" x14ac:dyDescent="0.2">
      <c r="B42" s="919">
        <v>4.7</v>
      </c>
      <c r="C42" s="920" t="s">
        <v>1297</v>
      </c>
      <c r="D42" s="915" t="str">
        <f t="shared" si="3"/>
        <v>4.7 - [Name of sub-vote]</v>
      </c>
      <c r="E42" s="921"/>
    </row>
    <row r="43" spans="2:5" x14ac:dyDescent="0.2">
      <c r="B43" s="919">
        <v>4.8</v>
      </c>
      <c r="C43" s="920" t="s">
        <v>1297</v>
      </c>
      <c r="D43" s="915" t="str">
        <f t="shared" si="3"/>
        <v>4.8 - [Name of sub-vote]</v>
      </c>
      <c r="E43" s="921"/>
    </row>
    <row r="44" spans="2:5" x14ac:dyDescent="0.2">
      <c r="B44" s="919">
        <v>4.9000000000000004</v>
      </c>
      <c r="C44" s="920" t="s">
        <v>1297</v>
      </c>
      <c r="D44" s="915" t="str">
        <f t="shared" si="3"/>
        <v>4.9 - [Name of sub-vote]</v>
      </c>
      <c r="E44" s="921"/>
    </row>
    <row r="45" spans="2:5" x14ac:dyDescent="0.2">
      <c r="B45" s="919" t="s">
        <v>1305</v>
      </c>
      <c r="C45" s="920" t="s">
        <v>1297</v>
      </c>
      <c r="D45" s="915" t="str">
        <f t="shared" si="3"/>
        <v>4.10 - [Name of sub-vote]</v>
      </c>
      <c r="E45" s="921"/>
    </row>
    <row r="46" spans="2:5" x14ac:dyDescent="0.2">
      <c r="B46" s="916" t="s">
        <v>678</v>
      </c>
      <c r="C46" s="917" t="s">
        <v>2020</v>
      </c>
      <c r="E46" s="921"/>
    </row>
    <row r="47" spans="2:5" x14ac:dyDescent="0.2">
      <c r="B47" s="919">
        <v>5.0999999999999996</v>
      </c>
      <c r="C47" s="920" t="s">
        <v>1841</v>
      </c>
      <c r="D47" s="915" t="str">
        <f t="shared" ref="D47:D56" si="4">CONCATENATE(B47, " - ", C47)</f>
        <v>5.1 - DIRECTORATE COMMUNITY SERVICES</v>
      </c>
      <c r="E47" s="921" t="s">
        <v>1306</v>
      </c>
    </row>
    <row r="48" spans="2:5" x14ac:dyDescent="0.2">
      <c r="B48" s="919">
        <v>5.2</v>
      </c>
      <c r="C48" s="920" t="s">
        <v>1842</v>
      </c>
      <c r="D48" s="915" t="str">
        <f t="shared" si="4"/>
        <v>5.2 - SPORT AND RECREATION (ADMINISTRATION)</v>
      </c>
      <c r="E48" s="921"/>
    </row>
    <row r="49" spans="2:5" x14ac:dyDescent="0.2">
      <c r="B49" s="919">
        <v>5.3</v>
      </c>
      <c r="C49" s="920" t="s">
        <v>1843</v>
      </c>
      <c r="D49" s="915" t="str">
        <f t="shared" si="4"/>
        <v>5.3 - SPORTS FACILITIES MAINTENANCE(NEW)</v>
      </c>
      <c r="E49" s="921"/>
    </row>
    <row r="50" spans="2:5" x14ac:dyDescent="0.2">
      <c r="B50" s="919">
        <v>5.4</v>
      </c>
      <c r="C50" s="920" t="s">
        <v>1844</v>
      </c>
      <c r="D50" s="915" t="str">
        <f t="shared" si="4"/>
        <v>5.4 - RECREATION SERVICES (SWIMMING POOLS)</v>
      </c>
      <c r="E50" s="921"/>
    </row>
    <row r="51" spans="2:5" x14ac:dyDescent="0.2">
      <c r="B51" s="919">
        <v>5.5</v>
      </c>
      <c r="C51" s="920" t="s">
        <v>1845</v>
      </c>
      <c r="D51" s="915" t="str">
        <f t="shared" si="4"/>
        <v>5.5 - SPORTS FACILITIES MAINTENANCE(HORTICULTURAL SERVICES)</v>
      </c>
      <c r="E51" s="921"/>
    </row>
    <row r="52" spans="2:5" x14ac:dyDescent="0.2">
      <c r="B52" s="919">
        <v>5.6</v>
      </c>
      <c r="C52" s="920" t="s">
        <v>1846</v>
      </c>
      <c r="D52" s="915" t="str">
        <f t="shared" si="4"/>
        <v>5.6 - CULTURAL SERVICES (ADMINISTRATION)</v>
      </c>
      <c r="E52" s="921"/>
    </row>
    <row r="53" spans="2:5" x14ac:dyDescent="0.2">
      <c r="B53" s="919">
        <v>5.7</v>
      </c>
      <c r="C53" s="920" t="s">
        <v>1847</v>
      </c>
      <c r="D53" s="915" t="str">
        <f t="shared" si="4"/>
        <v>5.7 - CULTURAL SERVICES (ART GALLERY)</v>
      </c>
      <c r="E53" s="921"/>
    </row>
    <row r="54" spans="2:5" x14ac:dyDescent="0.2">
      <c r="B54" s="919">
        <v>5.8</v>
      </c>
      <c r="C54" s="920" t="s">
        <v>1848</v>
      </c>
      <c r="D54" s="915" t="str">
        <f t="shared" si="4"/>
        <v>5.8 - CULTURAL SERVICES (LIBRARIES)</v>
      </c>
      <c r="E54" s="921"/>
    </row>
    <row r="55" spans="2:5" x14ac:dyDescent="0.2">
      <c r="B55" s="919">
        <v>5.9</v>
      </c>
      <c r="C55" s="920" t="s">
        <v>1849</v>
      </c>
      <c r="D55" s="915" t="str">
        <f t="shared" si="4"/>
        <v>5.9 - CULTURAL SERVICES (MUSEUMS)</v>
      </c>
      <c r="E55" s="921"/>
    </row>
    <row r="56" spans="2:5" x14ac:dyDescent="0.2">
      <c r="B56" s="919" t="s">
        <v>1307</v>
      </c>
      <c r="C56" s="920" t="s">
        <v>1850</v>
      </c>
      <c r="D56" s="915" t="str">
        <f t="shared" si="4"/>
        <v>5.10 - CULTURAL SERVICES : CULTURAL DESK</v>
      </c>
      <c r="E56" s="921"/>
    </row>
    <row r="57" spans="2:5" x14ac:dyDescent="0.2">
      <c r="B57" s="919"/>
      <c r="C57" s="920" t="s">
        <v>1851</v>
      </c>
      <c r="E57" s="921"/>
    </row>
    <row r="58" spans="2:5" x14ac:dyDescent="0.2">
      <c r="B58" s="919"/>
      <c r="C58" s="920" t="s">
        <v>1852</v>
      </c>
      <c r="E58" s="921"/>
    </row>
    <row r="59" spans="2:5" x14ac:dyDescent="0.2">
      <c r="B59" s="919"/>
      <c r="C59" s="920" t="s">
        <v>1853</v>
      </c>
      <c r="E59" s="921"/>
    </row>
    <row r="60" spans="2:5" x14ac:dyDescent="0.2">
      <c r="B60" s="919"/>
      <c r="C60" s="920" t="s">
        <v>1854</v>
      </c>
      <c r="E60" s="921"/>
    </row>
    <row r="61" spans="2:5" x14ac:dyDescent="0.2">
      <c r="B61" s="919"/>
      <c r="C61" s="920" t="s">
        <v>1855</v>
      </c>
      <c r="E61" s="921"/>
    </row>
    <row r="62" spans="2:5" x14ac:dyDescent="0.2">
      <c r="B62" s="919"/>
      <c r="C62" s="920" t="s">
        <v>1856</v>
      </c>
      <c r="E62" s="921"/>
    </row>
    <row r="63" spans="2:5" x14ac:dyDescent="0.2">
      <c r="B63" s="919"/>
      <c r="C63" s="920"/>
      <c r="E63" s="921"/>
    </row>
    <row r="64" spans="2:5" x14ac:dyDescent="0.2">
      <c r="B64" s="916" t="s">
        <v>679</v>
      </c>
      <c r="C64" s="917" t="s">
        <v>1857</v>
      </c>
      <c r="E64" s="921"/>
    </row>
    <row r="65" spans="2:5" x14ac:dyDescent="0.2">
      <c r="B65" s="919">
        <v>6.1</v>
      </c>
      <c r="C65" s="920" t="s">
        <v>1857</v>
      </c>
      <c r="D65" s="915" t="str">
        <f t="shared" ref="D65:D74" si="5">CONCATENATE(B65, " - ", C65)</f>
        <v>6.1 - PUBLIC SAFETY(ADMINISTRATION)</v>
      </c>
      <c r="E65" s="921" t="s">
        <v>1308</v>
      </c>
    </row>
    <row r="66" spans="2:5" x14ac:dyDescent="0.2">
      <c r="B66" s="919">
        <v>6.2</v>
      </c>
      <c r="C66" s="920" t="s">
        <v>1858</v>
      </c>
      <c r="D66" s="915" t="str">
        <f t="shared" si="5"/>
        <v>6.2 - TRAFFIC AND LICENSING (ADMINISTRATION)</v>
      </c>
      <c r="E66" s="921"/>
    </row>
    <row r="67" spans="2:5" x14ac:dyDescent="0.2">
      <c r="B67" s="919">
        <v>6.3</v>
      </c>
      <c r="C67" s="920" t="s">
        <v>1859</v>
      </c>
      <c r="D67" s="915" t="str">
        <f t="shared" si="5"/>
        <v>6.3 - TRAFFIC AND LICENCES (LICENSING)</v>
      </c>
      <c r="E67" s="921"/>
    </row>
    <row r="68" spans="2:5" x14ac:dyDescent="0.2">
      <c r="B68" s="919">
        <v>6.4</v>
      </c>
      <c r="C68" s="920" t="s">
        <v>1860</v>
      </c>
      <c r="D68" s="915" t="str">
        <f t="shared" si="5"/>
        <v>6.4 - TRAFFIC AND LICENSING(VEHICLE TESTING AND DRIVERS LICENSE TESTING)</v>
      </c>
      <c r="E68" s="921"/>
    </row>
    <row r="69" spans="2:5" x14ac:dyDescent="0.2">
      <c r="B69" s="919">
        <v>6.5</v>
      </c>
      <c r="C69" s="920" t="s">
        <v>1861</v>
      </c>
      <c r="D69" s="915" t="str">
        <f t="shared" si="5"/>
        <v>6.5 - TRAFFIC AND LICENSING (TRAFFIC SERVICES)</v>
      </c>
      <c r="E69" s="921"/>
    </row>
    <row r="70" spans="2:5" x14ac:dyDescent="0.2">
      <c r="B70" s="919">
        <v>6.6</v>
      </c>
      <c r="C70" s="920" t="s">
        <v>1862</v>
      </c>
      <c r="D70" s="915" t="str">
        <f t="shared" si="5"/>
        <v>6.6 - DISASTER MANAGEMENT ADMINISTRATION</v>
      </c>
      <c r="E70" s="921"/>
    </row>
    <row r="71" spans="2:5" x14ac:dyDescent="0.2">
      <c r="B71" s="919">
        <v>6.7</v>
      </c>
      <c r="C71" s="920" t="s">
        <v>1863</v>
      </c>
      <c r="D71" s="915" t="str">
        <f t="shared" si="5"/>
        <v>6.7 - DISASTER MANAGEMENT (FIRE FIGHTING)</v>
      </c>
      <c r="E71" s="921"/>
    </row>
    <row r="72" spans="2:5" x14ac:dyDescent="0.2">
      <c r="B72" s="919">
        <v>6.8</v>
      </c>
      <c r="C72" s="920" t="s">
        <v>1864</v>
      </c>
      <c r="D72" s="915" t="str">
        <f t="shared" si="5"/>
        <v>6.8 - BY-LAW ENFORCEMENT AND SECURITY(ADMINISTRATION)</v>
      </c>
      <c r="E72" s="921"/>
    </row>
    <row r="73" spans="2:5" x14ac:dyDescent="0.2">
      <c r="B73" s="919">
        <v>6.9</v>
      </c>
      <c r="C73" s="920" t="s">
        <v>1865</v>
      </c>
      <c r="D73" s="915" t="str">
        <f t="shared" si="5"/>
        <v>6.9 - SECURITY SERVICES</v>
      </c>
      <c r="E73" s="921"/>
    </row>
    <row r="74" spans="2:5" x14ac:dyDescent="0.2">
      <c r="B74" s="919" t="s">
        <v>1309</v>
      </c>
      <c r="C74" s="920" t="s">
        <v>1866</v>
      </c>
      <c r="D74" s="915" t="str">
        <f t="shared" si="5"/>
        <v>6.10 - MUNICIPAL CONTROL CENTRE</v>
      </c>
      <c r="E74" s="921"/>
    </row>
    <row r="75" spans="2:5" x14ac:dyDescent="0.2">
      <c r="B75" s="919"/>
      <c r="C75" s="920" t="s">
        <v>1867</v>
      </c>
      <c r="E75" s="921"/>
    </row>
    <row r="76" spans="2:5" x14ac:dyDescent="0.2">
      <c r="B76" s="919"/>
      <c r="C76" s="920" t="s">
        <v>1868</v>
      </c>
      <c r="E76" s="921"/>
    </row>
    <row r="77" spans="2:5" x14ac:dyDescent="0.2">
      <c r="B77" s="919"/>
      <c r="C77" s="920" t="s">
        <v>1869</v>
      </c>
      <c r="E77" s="921"/>
    </row>
    <row r="78" spans="2:5" x14ac:dyDescent="0.2">
      <c r="B78" s="919"/>
      <c r="C78" s="920"/>
      <c r="E78" s="921"/>
    </row>
    <row r="79" spans="2:5" x14ac:dyDescent="0.2">
      <c r="B79" s="919"/>
      <c r="C79" s="920"/>
      <c r="E79" s="921"/>
    </row>
    <row r="80" spans="2:5" x14ac:dyDescent="0.2">
      <c r="B80" s="922" t="s">
        <v>680</v>
      </c>
      <c r="C80" s="917" t="s">
        <v>1870</v>
      </c>
      <c r="E80" s="921"/>
    </row>
    <row r="81" spans="2:5" x14ac:dyDescent="0.2">
      <c r="B81" s="919">
        <v>7.1</v>
      </c>
      <c r="C81" s="920" t="s">
        <v>1870</v>
      </c>
      <c r="D81" s="915" t="str">
        <f t="shared" ref="D81:D90" si="6">CONCATENATE(B81, " - ", C81)</f>
        <v>7.1 - CORPORATE AND SHARED SERVICES</v>
      </c>
      <c r="E81" s="921" t="s">
        <v>1310</v>
      </c>
    </row>
    <row r="82" spans="2:5" x14ac:dyDescent="0.2">
      <c r="B82" s="919">
        <v>7.2</v>
      </c>
      <c r="C82" s="920" t="s">
        <v>1871</v>
      </c>
      <c r="D82" s="915" t="str">
        <f t="shared" si="6"/>
        <v>7.2 - CORPORATE SERVICES - INFORMATION COMMUNICATION TECHNOLOGY</v>
      </c>
      <c r="E82" s="921"/>
    </row>
    <row r="83" spans="2:5" x14ac:dyDescent="0.2">
      <c r="B83" s="919">
        <v>7.3</v>
      </c>
      <c r="C83" s="920" t="s">
        <v>1872</v>
      </c>
      <c r="D83" s="915" t="str">
        <f t="shared" si="6"/>
        <v>7.3 - HUMAN RESOURCE DEVELOPMENT (ADMINISTRATION)</v>
      </c>
      <c r="E83" s="921"/>
    </row>
    <row r="84" spans="2:5" x14ac:dyDescent="0.2">
      <c r="B84" s="919">
        <v>7.4</v>
      </c>
      <c r="C84" s="920" t="s">
        <v>1873</v>
      </c>
      <c r="D84" s="915" t="str">
        <f t="shared" si="6"/>
        <v>7.4 - HUMAN RESOURCES DEVELOPMENT (ORGANISATION DEVELOPMENT)</v>
      </c>
      <c r="E84" s="921"/>
    </row>
    <row r="85" spans="2:5" x14ac:dyDescent="0.2">
      <c r="B85" s="919">
        <v>7.5</v>
      </c>
      <c r="C85" s="920" t="s">
        <v>1874</v>
      </c>
      <c r="D85" s="915" t="str">
        <f t="shared" si="6"/>
        <v>7.5 - HUMAN RESOURCES DEVELOPMENT (LEARNING AND DEVELOPMENT)</v>
      </c>
      <c r="E85" s="921"/>
    </row>
    <row r="86" spans="2:5" x14ac:dyDescent="0.2">
      <c r="B86" s="919">
        <v>7.6</v>
      </c>
      <c r="C86" s="920" t="s">
        <v>1875</v>
      </c>
      <c r="D86" s="915" t="str">
        <f t="shared" si="6"/>
        <v>7.6 - HUMAN RESOURCES DEVELOPMENT (EAP)</v>
      </c>
      <c r="E86" s="921"/>
    </row>
    <row r="87" spans="2:5" x14ac:dyDescent="0.2">
      <c r="B87" s="919">
        <v>7.7</v>
      </c>
      <c r="C87" s="920" t="s">
        <v>1876</v>
      </c>
      <c r="D87" s="915" t="str">
        <f t="shared" si="6"/>
        <v>7.7 - HUMAN RESOURCES (ADMINISTRATION)</v>
      </c>
      <c r="E87" s="921"/>
    </row>
    <row r="88" spans="2:5" x14ac:dyDescent="0.2">
      <c r="B88" s="919">
        <v>7.8</v>
      </c>
      <c r="C88" s="920" t="s">
        <v>1877</v>
      </c>
      <c r="D88" s="915" t="str">
        <f t="shared" si="6"/>
        <v>7.8 - HUMAN RESOURCES (PERSONNEL ADMINISTRATION)</v>
      </c>
      <c r="E88" s="921"/>
    </row>
    <row r="89" spans="2:5" x14ac:dyDescent="0.2">
      <c r="B89" s="919">
        <v>7.9</v>
      </c>
      <c r="C89" s="920" t="s">
        <v>1878</v>
      </c>
      <c r="D89" s="915" t="str">
        <f t="shared" si="6"/>
        <v>7.9 - HUMAN RESOURCES MANAGEMENT (LABOUR RELATIONS )</v>
      </c>
      <c r="E89" s="921"/>
    </row>
    <row r="90" spans="2:5" x14ac:dyDescent="0.2">
      <c r="B90" s="919" t="s">
        <v>1311</v>
      </c>
      <c r="C90" s="920" t="s">
        <v>1877</v>
      </c>
      <c r="D90" s="915" t="str">
        <f t="shared" si="6"/>
        <v>7.10 - HUMAN RESOURCES (PERSONNEL ADMINISTRATION)</v>
      </c>
      <c r="E90" s="921"/>
    </row>
    <row r="91" spans="2:5" x14ac:dyDescent="0.2">
      <c r="B91" s="919"/>
      <c r="C91" s="920" t="s">
        <v>1879</v>
      </c>
      <c r="E91" s="921"/>
    </row>
    <row r="92" spans="2:5" x14ac:dyDescent="0.2">
      <c r="B92" s="919"/>
      <c r="C92" s="920" t="s">
        <v>1880</v>
      </c>
      <c r="E92" s="921"/>
    </row>
    <row r="93" spans="2:5" x14ac:dyDescent="0.2">
      <c r="B93" s="919"/>
      <c r="C93" s="920" t="s">
        <v>1881</v>
      </c>
      <c r="E93" s="921"/>
    </row>
    <row r="94" spans="2:5" x14ac:dyDescent="0.2">
      <c r="B94" s="919"/>
      <c r="C94" s="920" t="s">
        <v>1882</v>
      </c>
      <c r="E94" s="921"/>
    </row>
    <row r="95" spans="2:5" x14ac:dyDescent="0.2">
      <c r="B95" s="919"/>
      <c r="C95" s="920" t="s">
        <v>1883</v>
      </c>
      <c r="E95" s="921"/>
    </row>
    <row r="96" spans="2:5" x14ac:dyDescent="0.2">
      <c r="B96" s="919"/>
      <c r="C96" s="920"/>
      <c r="E96" s="921"/>
    </row>
    <row r="97" spans="2:5" x14ac:dyDescent="0.2">
      <c r="B97" s="922" t="s">
        <v>681</v>
      </c>
      <c r="C97" s="917" t="s">
        <v>2019</v>
      </c>
      <c r="E97" s="921"/>
    </row>
    <row r="98" spans="2:5" x14ac:dyDescent="0.2">
      <c r="B98" s="919">
        <v>8.1</v>
      </c>
      <c r="C98" s="920" t="s">
        <v>1884</v>
      </c>
      <c r="D98" s="915" t="str">
        <f t="shared" ref="D98:D107" si="7">CONCATENATE(B98, " - ", C98)</f>
        <v>8.1 - DIRECTORATE PLANNING AND DEVELOPMENT</v>
      </c>
      <c r="E98" s="921" t="s">
        <v>1312</v>
      </c>
    </row>
    <row r="99" spans="2:5" x14ac:dyDescent="0.2">
      <c r="B99" s="919">
        <v>8.1999999999999993</v>
      </c>
      <c r="C99" s="920" t="s">
        <v>1885</v>
      </c>
      <c r="D99" s="915" t="str">
        <f t="shared" si="7"/>
        <v>8.2 - PROPERTY MANAGEMENT</v>
      </c>
      <c r="E99" s="921"/>
    </row>
    <row r="100" spans="2:5" x14ac:dyDescent="0.2">
      <c r="B100" s="919">
        <v>8.3000000000000007</v>
      </c>
      <c r="C100" s="920" t="s">
        <v>1886</v>
      </c>
      <c r="D100" s="915" t="str">
        <f t="shared" si="7"/>
        <v xml:space="preserve">8.3 - CITY AND REGIONAL PLANNING </v>
      </c>
      <c r="E100" s="921"/>
    </row>
    <row r="101" spans="2:5" x14ac:dyDescent="0.2">
      <c r="B101" s="919">
        <v>8.4</v>
      </c>
      <c r="C101" s="920" t="s">
        <v>1887</v>
      </c>
      <c r="D101" s="915" t="str">
        <f t="shared" si="7"/>
        <v>8.4 - CORPORATE GEO-INFORMATICS</v>
      </c>
      <c r="E101" s="921"/>
    </row>
    <row r="102" spans="2:5" x14ac:dyDescent="0.2">
      <c r="B102" s="919">
        <v>8.5</v>
      </c>
      <c r="C102" s="920" t="s">
        <v>1888</v>
      </c>
      <c r="D102" s="915" t="str">
        <f t="shared" si="7"/>
        <v>8.5 - BUILDING INSPECTIONS (ADMINISTRATION)</v>
      </c>
      <c r="E102" s="921"/>
    </row>
    <row r="103" spans="2:5" x14ac:dyDescent="0.2">
      <c r="B103" s="919">
        <v>8.6</v>
      </c>
      <c r="C103" s="920" t="s">
        <v>1889</v>
      </c>
      <c r="D103" s="915" t="str">
        <f t="shared" si="7"/>
        <v>8.6 - ECONOMIC DEVELOPMENT AND TOURISM</v>
      </c>
      <c r="E103" s="921"/>
    </row>
    <row r="104" spans="2:5" x14ac:dyDescent="0.2">
      <c r="B104" s="919">
        <v>8.6999999999999993</v>
      </c>
      <c r="C104" s="920" t="s">
        <v>1890</v>
      </c>
      <c r="D104" s="915" t="str">
        <f t="shared" si="7"/>
        <v>8.7 - LOCAL ECONOMIC DEVELOPMENT</v>
      </c>
      <c r="E104" s="921"/>
    </row>
    <row r="105" spans="2:5" x14ac:dyDescent="0.2">
      <c r="B105" s="919">
        <v>8.8000000000000007</v>
      </c>
      <c r="C105" s="920" t="s">
        <v>1891</v>
      </c>
      <c r="D105" s="915" t="str">
        <f t="shared" si="7"/>
        <v>8.8 - INVESTMENT PROMOTION</v>
      </c>
      <c r="E105" s="921"/>
    </row>
    <row r="106" spans="2:5" x14ac:dyDescent="0.2">
      <c r="B106" s="919">
        <v>8.9</v>
      </c>
      <c r="C106" s="920" t="s">
        <v>1892</v>
      </c>
      <c r="D106" s="915" t="str">
        <f t="shared" si="7"/>
        <v>8.9 - LED (ECONOMIC PLANNING)</v>
      </c>
      <c r="E106" s="921"/>
    </row>
    <row r="107" spans="2:5" x14ac:dyDescent="0.2">
      <c r="B107" s="919" t="s">
        <v>1313</v>
      </c>
      <c r="C107" s="920" t="s">
        <v>1890</v>
      </c>
      <c r="D107" s="915" t="str">
        <f t="shared" si="7"/>
        <v>8.10 - LOCAL ECONOMIC DEVELOPMENT</v>
      </c>
      <c r="E107" s="921"/>
    </row>
    <row r="108" spans="2:5" x14ac:dyDescent="0.2">
      <c r="B108" s="922" t="s">
        <v>682</v>
      </c>
      <c r="C108" s="917" t="s">
        <v>2018</v>
      </c>
      <c r="E108" s="921"/>
    </row>
    <row r="109" spans="2:5" x14ac:dyDescent="0.2">
      <c r="B109" s="919">
        <v>9.1</v>
      </c>
      <c r="C109" s="920" t="s">
        <v>1893</v>
      </c>
      <c r="D109" s="915" t="str">
        <f t="shared" ref="D109:D118" si="8">CONCATENATE(B109, " - ", C109)</f>
        <v>9.1 - BUDGET AND TREASURY OFFICE (ADMINISTRATION)</v>
      </c>
      <c r="E109" s="921" t="s">
        <v>1314</v>
      </c>
    </row>
    <row r="110" spans="2:5" x14ac:dyDescent="0.2">
      <c r="B110" s="919">
        <v>9.1999999999999993</v>
      </c>
      <c r="C110" s="920" t="s">
        <v>1894</v>
      </c>
      <c r="D110" s="915" t="str">
        <f t="shared" si="8"/>
        <v>9.2 - EXPENDITURE MANAGEMENT</v>
      </c>
      <c r="E110" s="921"/>
    </row>
    <row r="111" spans="2:5" x14ac:dyDescent="0.2">
      <c r="B111" s="919">
        <v>9.3000000000000007</v>
      </c>
      <c r="C111" s="920" t="s">
        <v>1895</v>
      </c>
      <c r="D111" s="915" t="str">
        <f t="shared" si="8"/>
        <v>9.3 - REVENUE MANAGEMENTAND CUSTOMER CARE</v>
      </c>
      <c r="E111" s="921"/>
    </row>
    <row r="112" spans="2:5" x14ac:dyDescent="0.2">
      <c r="B112" s="919">
        <v>9.4</v>
      </c>
      <c r="C112" s="920" t="s">
        <v>1896</v>
      </c>
      <c r="D112" s="915" t="str">
        <f t="shared" si="8"/>
        <v>9.4 - SUPPLY CHAIN MANAGEMENT</v>
      </c>
      <c r="E112" s="921"/>
    </row>
    <row r="113" spans="2:5" x14ac:dyDescent="0.2">
      <c r="B113" s="919">
        <v>9.5</v>
      </c>
      <c r="C113" s="920" t="s">
        <v>1897</v>
      </c>
      <c r="D113" s="915" t="str">
        <f t="shared" si="8"/>
        <v>9.5 - ASSETS MANAGEMENT</v>
      </c>
      <c r="E113" s="921"/>
    </row>
    <row r="114" spans="2:5" x14ac:dyDescent="0.2">
      <c r="B114" s="919">
        <v>9.6</v>
      </c>
      <c r="C114" s="920" t="s">
        <v>1898</v>
      </c>
      <c r="D114" s="915" t="str">
        <f t="shared" si="8"/>
        <v>9.6 - BUDGET AND FINANCIAL REPORTING</v>
      </c>
      <c r="E114" s="921"/>
    </row>
    <row r="115" spans="2:5" x14ac:dyDescent="0.2">
      <c r="B115" s="919">
        <v>9.6999999999999993</v>
      </c>
      <c r="C115" s="920" t="s">
        <v>1899</v>
      </c>
      <c r="D115" s="915" t="str">
        <f t="shared" si="8"/>
        <v>9.7 - BUSINESS AND FINANCIAL PLANNING</v>
      </c>
      <c r="E115" s="921"/>
    </row>
    <row r="116" spans="2:5" x14ac:dyDescent="0.2">
      <c r="B116" s="919">
        <v>9.8000000000000007</v>
      </c>
      <c r="C116" s="920" t="s">
        <v>1297</v>
      </c>
      <c r="D116" s="915" t="str">
        <f t="shared" si="8"/>
        <v>9.8 - [Name of sub-vote]</v>
      </c>
      <c r="E116" s="921"/>
    </row>
    <row r="117" spans="2:5" x14ac:dyDescent="0.2">
      <c r="B117" s="919">
        <v>9.9</v>
      </c>
      <c r="C117" s="920" t="s">
        <v>1297</v>
      </c>
      <c r="D117" s="915" t="str">
        <f t="shared" si="8"/>
        <v>9.9 - [Name of sub-vote]</v>
      </c>
      <c r="E117" s="921"/>
    </row>
    <row r="118" spans="2:5" x14ac:dyDescent="0.2">
      <c r="B118" s="919" t="s">
        <v>1315</v>
      </c>
      <c r="C118" s="920" t="s">
        <v>1297</v>
      </c>
      <c r="D118" s="915" t="str">
        <f t="shared" si="8"/>
        <v>9.10 - [Name of sub-vote]</v>
      </c>
      <c r="E118" s="921"/>
    </row>
    <row r="119" spans="2:5" x14ac:dyDescent="0.2">
      <c r="B119" s="922" t="s">
        <v>683</v>
      </c>
      <c r="C119" s="917" t="s">
        <v>1900</v>
      </c>
      <c r="E119" s="921"/>
    </row>
    <row r="120" spans="2:5" x14ac:dyDescent="0.2">
      <c r="B120" s="919">
        <v>10.1</v>
      </c>
      <c r="C120" s="920" t="s">
        <v>1900</v>
      </c>
      <c r="D120" s="915" t="str">
        <f t="shared" ref="D120:D129" si="9">CONCATENATE(B120, " - ", C120)</f>
        <v>10.1 - TRANSPORT SERVICES</v>
      </c>
      <c r="E120" s="921" t="s">
        <v>1316</v>
      </c>
    </row>
    <row r="121" spans="2:5" x14ac:dyDescent="0.2">
      <c r="B121" s="919">
        <v>10.199999999999999</v>
      </c>
      <c r="C121" s="920" t="s">
        <v>1901</v>
      </c>
      <c r="D121" s="915" t="str">
        <f t="shared" si="9"/>
        <v>10.2 - TRANSPORT SERVICES (PLANNING AND OPERATIONS)</v>
      </c>
      <c r="E121" s="921"/>
    </row>
    <row r="122" spans="2:5" x14ac:dyDescent="0.2">
      <c r="B122" s="919">
        <v>10.3</v>
      </c>
      <c r="C122" s="920" t="s">
        <v>1902</v>
      </c>
      <c r="D122" s="915" t="str">
        <f t="shared" si="9"/>
        <v xml:space="preserve">10.3 - TRANSPORT SERVICES(INTELLIGENT TRANSPORT SYSTEM MODELLING) </v>
      </c>
      <c r="E122" s="921"/>
    </row>
    <row r="123" spans="2:5" x14ac:dyDescent="0.2">
      <c r="B123" s="919">
        <v>10.4</v>
      </c>
      <c r="C123" s="920" t="s">
        <v>1903</v>
      </c>
      <c r="D123" s="915" t="str">
        <f t="shared" si="9"/>
        <v>10.4 - TRANSPORT SERVICES (PUBLIC TRANSPORT REGULATION AND MONITIRING)</v>
      </c>
      <c r="E123" s="921"/>
    </row>
    <row r="124" spans="2:5" x14ac:dyDescent="0.2">
      <c r="B124" s="919">
        <v>10.5</v>
      </c>
      <c r="C124" s="920" t="s">
        <v>1904</v>
      </c>
      <c r="D124" s="915" t="str">
        <f t="shared" si="9"/>
        <v>10.5 - ROADS AND STORMWATER (ADMINISTRATION)</v>
      </c>
      <c r="E124" s="921"/>
    </row>
    <row r="125" spans="2:5" x14ac:dyDescent="0.2">
      <c r="B125" s="919">
        <v>10.6</v>
      </c>
      <c r="C125" s="920" t="s">
        <v>1905</v>
      </c>
      <c r="D125" s="915" t="str">
        <f t="shared" si="9"/>
        <v xml:space="preserve">10.6 - STORM WATER MANAGEMENT AND TRAFFIC ENGINEERING  </v>
      </c>
      <c r="E125" s="921"/>
    </row>
    <row r="126" spans="2:5" x14ac:dyDescent="0.2">
      <c r="B126" s="919">
        <v>10.7</v>
      </c>
      <c r="C126" s="920" t="s">
        <v>1906</v>
      </c>
      <c r="D126" s="915" t="str">
        <f t="shared" si="9"/>
        <v>10.7 - ROADS AND STORMWATER (ROADS AND STREETS)</v>
      </c>
      <c r="E126" s="921"/>
    </row>
    <row r="127" spans="2:5" x14ac:dyDescent="0.2">
      <c r="B127" s="919">
        <v>10.8</v>
      </c>
      <c r="C127" s="920" t="s">
        <v>1907</v>
      </c>
      <c r="D127" s="915" t="str">
        <f t="shared" si="9"/>
        <v>10.8 - ROADS AND STORMWATER (STORMWATER)</v>
      </c>
      <c r="E127" s="921"/>
    </row>
    <row r="128" spans="2:5" x14ac:dyDescent="0.2">
      <c r="B128" s="919">
        <v>10.9</v>
      </c>
      <c r="C128" s="920" t="s">
        <v>1297</v>
      </c>
      <c r="D128" s="915" t="str">
        <f t="shared" si="9"/>
        <v>10.9 - [Name of sub-vote]</v>
      </c>
      <c r="E128" s="921"/>
    </row>
    <row r="129" spans="2:5" x14ac:dyDescent="0.2">
      <c r="B129" s="919" t="s">
        <v>1317</v>
      </c>
      <c r="C129" s="920" t="s">
        <v>1297</v>
      </c>
      <c r="D129" s="915" t="str">
        <f t="shared" si="9"/>
        <v>10.10 - [Name of sub-vote]</v>
      </c>
      <c r="E129" s="921"/>
    </row>
    <row r="130" spans="2:5" x14ac:dyDescent="0.2">
      <c r="B130" s="922" t="s">
        <v>684</v>
      </c>
      <c r="C130" s="917" t="s">
        <v>1908</v>
      </c>
      <c r="E130" s="921"/>
    </row>
    <row r="131" spans="2:5" x14ac:dyDescent="0.2">
      <c r="B131" s="919">
        <v>11.1</v>
      </c>
      <c r="C131" s="920" t="s">
        <v>1908</v>
      </c>
      <c r="D131" s="915" t="str">
        <f t="shared" ref="D131:D140" si="10">CONCATENATE(B131, " - ", C131)</f>
        <v>11.1 - HUMAN SETTLEMENT</v>
      </c>
      <c r="E131" s="921" t="s">
        <v>1318</v>
      </c>
    </row>
    <row r="132" spans="2:5" x14ac:dyDescent="0.2">
      <c r="B132" s="919">
        <v>11.2</v>
      </c>
      <c r="C132" s="920" t="s">
        <v>1909</v>
      </c>
      <c r="D132" s="915" t="str">
        <f t="shared" si="10"/>
        <v>11.2 - HUMAN SETTLEMENT - HOUSING ADMINISTRATION</v>
      </c>
      <c r="E132" s="921"/>
    </row>
    <row r="133" spans="2:5" x14ac:dyDescent="0.2">
      <c r="B133" s="919">
        <v>11.3</v>
      </c>
      <c r="C133" s="920" t="s">
        <v>1910</v>
      </c>
      <c r="D133" s="915" t="str">
        <f t="shared" si="10"/>
        <v>11.3 - HUMAN SETTLEMENT RENTAL HOUSING AND PROGRAMME IMPLEMANTATION</v>
      </c>
      <c r="E133" s="921"/>
    </row>
    <row r="134" spans="2:5" x14ac:dyDescent="0.2">
      <c r="B134" s="919">
        <v>11.4</v>
      </c>
      <c r="C134" s="920" t="s">
        <v>1297</v>
      </c>
      <c r="D134" s="915" t="str">
        <f t="shared" si="10"/>
        <v>11.4 - [Name of sub-vote]</v>
      </c>
      <c r="E134" s="921"/>
    </row>
    <row r="135" spans="2:5" x14ac:dyDescent="0.2">
      <c r="B135" s="919">
        <v>11.5</v>
      </c>
      <c r="C135" s="920" t="s">
        <v>1297</v>
      </c>
      <c r="D135" s="915" t="str">
        <f t="shared" si="10"/>
        <v>11.5 - [Name of sub-vote]</v>
      </c>
      <c r="E135" s="921"/>
    </row>
    <row r="136" spans="2:5" x14ac:dyDescent="0.2">
      <c r="B136" s="919">
        <v>11.6</v>
      </c>
      <c r="C136" s="920" t="s">
        <v>1297</v>
      </c>
      <c r="D136" s="915" t="str">
        <f t="shared" si="10"/>
        <v>11.6 - [Name of sub-vote]</v>
      </c>
      <c r="E136" s="921"/>
    </row>
    <row r="137" spans="2:5" x14ac:dyDescent="0.2">
      <c r="B137" s="919">
        <v>11.7</v>
      </c>
      <c r="C137" s="920" t="s">
        <v>1297</v>
      </c>
      <c r="D137" s="915" t="str">
        <f t="shared" si="10"/>
        <v>11.7 - [Name of sub-vote]</v>
      </c>
      <c r="E137" s="921"/>
    </row>
    <row r="138" spans="2:5" x14ac:dyDescent="0.2">
      <c r="B138" s="919">
        <v>11.8</v>
      </c>
      <c r="C138" s="920" t="s">
        <v>1297</v>
      </c>
      <c r="D138" s="915" t="str">
        <f t="shared" si="10"/>
        <v>11.8 - [Name of sub-vote]</v>
      </c>
      <c r="E138" s="921"/>
    </row>
    <row r="139" spans="2:5" x14ac:dyDescent="0.2">
      <c r="B139" s="919">
        <v>11.9</v>
      </c>
      <c r="C139" s="920" t="s">
        <v>1297</v>
      </c>
      <c r="D139" s="915" t="str">
        <f t="shared" si="10"/>
        <v>11.9 - [Name of sub-vote]</v>
      </c>
      <c r="E139" s="921"/>
    </row>
    <row r="140" spans="2:5" x14ac:dyDescent="0.2">
      <c r="B140" s="919" t="s">
        <v>1319</v>
      </c>
      <c r="C140" s="920" t="s">
        <v>1297</v>
      </c>
      <c r="D140" s="915" t="str">
        <f t="shared" si="10"/>
        <v>11.10 - [Name of sub-vote]</v>
      </c>
      <c r="E140" s="921"/>
    </row>
    <row r="141" spans="2:5" x14ac:dyDescent="0.2">
      <c r="B141" s="922" t="s">
        <v>685</v>
      </c>
      <c r="C141" s="917" t="s">
        <v>1320</v>
      </c>
      <c r="E141" s="921"/>
    </row>
    <row r="142" spans="2:5" x14ac:dyDescent="0.2">
      <c r="B142" s="919">
        <v>12.1</v>
      </c>
      <c r="C142" s="920" t="s">
        <v>1297</v>
      </c>
      <c r="D142" s="915" t="str">
        <f t="shared" ref="D142:D151" si="11">CONCATENATE(B142, " - ", C142)</f>
        <v>12.1 - [Name of sub-vote]</v>
      </c>
      <c r="E142" s="921" t="s">
        <v>1321</v>
      </c>
    </row>
    <row r="143" spans="2:5" x14ac:dyDescent="0.2">
      <c r="B143" s="919">
        <v>12.2</v>
      </c>
      <c r="C143" s="920" t="s">
        <v>1297</v>
      </c>
      <c r="D143" s="915" t="str">
        <f t="shared" si="11"/>
        <v>12.2 - [Name of sub-vote]</v>
      </c>
      <c r="E143" s="921"/>
    </row>
    <row r="144" spans="2:5" x14ac:dyDescent="0.2">
      <c r="B144" s="919">
        <v>12.3</v>
      </c>
      <c r="C144" s="920" t="s">
        <v>1297</v>
      </c>
      <c r="D144" s="915" t="str">
        <f t="shared" si="11"/>
        <v>12.3 - [Name of sub-vote]</v>
      </c>
      <c r="E144" s="921"/>
    </row>
    <row r="145" spans="2:5" x14ac:dyDescent="0.2">
      <c r="B145" s="919">
        <v>12.4</v>
      </c>
      <c r="C145" s="920" t="s">
        <v>1297</v>
      </c>
      <c r="D145" s="915" t="str">
        <f t="shared" si="11"/>
        <v>12.4 - [Name of sub-vote]</v>
      </c>
      <c r="E145" s="921"/>
    </row>
    <row r="146" spans="2:5" x14ac:dyDescent="0.2">
      <c r="B146" s="919">
        <v>12.5</v>
      </c>
      <c r="C146" s="920" t="s">
        <v>1297</v>
      </c>
      <c r="D146" s="915" t="str">
        <f t="shared" si="11"/>
        <v>12.5 - [Name of sub-vote]</v>
      </c>
      <c r="E146" s="921"/>
    </row>
    <row r="147" spans="2:5" x14ac:dyDescent="0.2">
      <c r="B147" s="919">
        <v>12.6</v>
      </c>
      <c r="C147" s="920" t="s">
        <v>1297</v>
      </c>
      <c r="D147" s="915" t="str">
        <f t="shared" si="11"/>
        <v>12.6 - [Name of sub-vote]</v>
      </c>
      <c r="E147" s="921"/>
    </row>
    <row r="148" spans="2:5" x14ac:dyDescent="0.2">
      <c r="B148" s="919">
        <v>12.7</v>
      </c>
      <c r="C148" s="920" t="s">
        <v>1297</v>
      </c>
      <c r="D148" s="915" t="str">
        <f t="shared" si="11"/>
        <v>12.7 - [Name of sub-vote]</v>
      </c>
      <c r="E148" s="921"/>
    </row>
    <row r="149" spans="2:5" x14ac:dyDescent="0.2">
      <c r="B149" s="919">
        <v>12.8</v>
      </c>
      <c r="C149" s="920" t="s">
        <v>1297</v>
      </c>
      <c r="D149" s="915" t="str">
        <f t="shared" si="11"/>
        <v>12.8 - [Name of sub-vote]</v>
      </c>
      <c r="E149" s="921"/>
    </row>
    <row r="150" spans="2:5" x14ac:dyDescent="0.2">
      <c r="B150" s="919">
        <v>12.9</v>
      </c>
      <c r="C150" s="920" t="s">
        <v>1297</v>
      </c>
      <c r="D150" s="915" t="str">
        <f t="shared" si="11"/>
        <v>12.9 - [Name of sub-vote]</v>
      </c>
      <c r="E150" s="921"/>
    </row>
    <row r="151" spans="2:5" x14ac:dyDescent="0.2">
      <c r="B151" s="919" t="s">
        <v>1322</v>
      </c>
      <c r="C151" s="920" t="s">
        <v>1297</v>
      </c>
      <c r="D151" s="915" t="str">
        <f t="shared" si="11"/>
        <v>12.10 - [Name of sub-vote]</v>
      </c>
      <c r="E151" s="921"/>
    </row>
    <row r="152" spans="2:5" x14ac:dyDescent="0.2">
      <c r="B152" s="922" t="s">
        <v>686</v>
      </c>
      <c r="C152" s="917" t="s">
        <v>1323</v>
      </c>
      <c r="E152" s="921"/>
    </row>
    <row r="153" spans="2:5" x14ac:dyDescent="0.2">
      <c r="B153" s="919">
        <v>13.1</v>
      </c>
      <c r="C153" s="920" t="s">
        <v>1297</v>
      </c>
      <c r="D153" s="915" t="str">
        <f t="shared" ref="D153:D162" si="12">CONCATENATE(B153, " - ", C153)</f>
        <v>13.1 - [Name of sub-vote]</v>
      </c>
      <c r="E153" s="921" t="s">
        <v>1324</v>
      </c>
    </row>
    <row r="154" spans="2:5" x14ac:dyDescent="0.2">
      <c r="B154" s="919">
        <v>13.2</v>
      </c>
      <c r="C154" s="920" t="s">
        <v>1297</v>
      </c>
      <c r="D154" s="915" t="str">
        <f t="shared" si="12"/>
        <v>13.2 - [Name of sub-vote]</v>
      </c>
      <c r="E154" s="921"/>
    </row>
    <row r="155" spans="2:5" x14ac:dyDescent="0.2">
      <c r="B155" s="919">
        <v>13.3</v>
      </c>
      <c r="C155" s="920" t="s">
        <v>1297</v>
      </c>
      <c r="D155" s="915" t="str">
        <f t="shared" si="12"/>
        <v>13.3 - [Name of sub-vote]</v>
      </c>
      <c r="E155" s="921"/>
    </row>
    <row r="156" spans="2:5" x14ac:dyDescent="0.2">
      <c r="B156" s="919">
        <v>13.4</v>
      </c>
      <c r="C156" s="920" t="s">
        <v>1297</v>
      </c>
      <c r="D156" s="915" t="str">
        <f t="shared" si="12"/>
        <v>13.4 - [Name of sub-vote]</v>
      </c>
      <c r="E156" s="921"/>
    </row>
    <row r="157" spans="2:5" x14ac:dyDescent="0.2">
      <c r="B157" s="919">
        <v>13.5</v>
      </c>
      <c r="C157" s="920" t="s">
        <v>1297</v>
      </c>
      <c r="D157" s="915" t="str">
        <f t="shared" si="12"/>
        <v>13.5 - [Name of sub-vote]</v>
      </c>
      <c r="E157" s="921"/>
    </row>
    <row r="158" spans="2:5" x14ac:dyDescent="0.2">
      <c r="B158" s="919">
        <v>13.6</v>
      </c>
      <c r="C158" s="920" t="s">
        <v>1297</v>
      </c>
      <c r="D158" s="915" t="str">
        <f t="shared" si="12"/>
        <v>13.6 - [Name of sub-vote]</v>
      </c>
      <c r="E158" s="921"/>
    </row>
    <row r="159" spans="2:5" x14ac:dyDescent="0.2">
      <c r="B159" s="919">
        <v>13.7</v>
      </c>
      <c r="C159" s="920" t="s">
        <v>1297</v>
      </c>
      <c r="D159" s="915" t="str">
        <f t="shared" si="12"/>
        <v>13.7 - [Name of sub-vote]</v>
      </c>
      <c r="E159" s="921"/>
    </row>
    <row r="160" spans="2:5" x14ac:dyDescent="0.2">
      <c r="B160" s="919">
        <v>13.8</v>
      </c>
      <c r="C160" s="920" t="s">
        <v>1297</v>
      </c>
      <c r="D160" s="915" t="str">
        <f t="shared" si="12"/>
        <v>13.8 - [Name of sub-vote]</v>
      </c>
      <c r="E160" s="921"/>
    </row>
    <row r="161" spans="2:5" x14ac:dyDescent="0.2">
      <c r="B161" s="919">
        <v>13.9</v>
      </c>
      <c r="C161" s="920" t="s">
        <v>1297</v>
      </c>
      <c r="D161" s="915" t="str">
        <f t="shared" si="12"/>
        <v>13.9 - [Name of sub-vote]</v>
      </c>
      <c r="E161" s="921"/>
    </row>
    <row r="162" spans="2:5" x14ac:dyDescent="0.2">
      <c r="B162" s="919" t="s">
        <v>1325</v>
      </c>
      <c r="C162" s="920" t="s">
        <v>1297</v>
      </c>
      <c r="D162" s="915" t="str">
        <f t="shared" si="12"/>
        <v>13.10 - [Name of sub-vote]</v>
      </c>
      <c r="E162" s="921"/>
    </row>
    <row r="163" spans="2:5" x14ac:dyDescent="0.2">
      <c r="B163" s="922" t="s">
        <v>687</v>
      </c>
      <c r="C163" s="917" t="s">
        <v>1326</v>
      </c>
      <c r="E163" s="921"/>
    </row>
    <row r="164" spans="2:5" x14ac:dyDescent="0.2">
      <c r="B164" s="919">
        <v>14.1</v>
      </c>
      <c r="C164" s="920" t="s">
        <v>1297</v>
      </c>
      <c r="D164" s="915" t="str">
        <f t="shared" ref="D164:D173" si="13">CONCATENATE(B164, " - ", C164)</f>
        <v>14.1 - [Name of sub-vote]</v>
      </c>
      <c r="E164" s="921" t="s">
        <v>1327</v>
      </c>
    </row>
    <row r="165" spans="2:5" x14ac:dyDescent="0.2">
      <c r="B165" s="919">
        <v>14.2</v>
      </c>
      <c r="C165" s="920" t="s">
        <v>1297</v>
      </c>
      <c r="D165" s="915" t="str">
        <f t="shared" si="13"/>
        <v>14.2 - [Name of sub-vote]</v>
      </c>
      <c r="E165" s="921"/>
    </row>
    <row r="166" spans="2:5" x14ac:dyDescent="0.2">
      <c r="B166" s="919">
        <v>14.3</v>
      </c>
      <c r="C166" s="920" t="s">
        <v>1297</v>
      </c>
      <c r="D166" s="915" t="str">
        <f t="shared" si="13"/>
        <v>14.3 - [Name of sub-vote]</v>
      </c>
      <c r="E166" s="921"/>
    </row>
    <row r="167" spans="2:5" x14ac:dyDescent="0.2">
      <c r="B167" s="919">
        <v>14.4</v>
      </c>
      <c r="C167" s="920" t="s">
        <v>1297</v>
      </c>
      <c r="D167" s="915" t="str">
        <f t="shared" si="13"/>
        <v>14.4 - [Name of sub-vote]</v>
      </c>
      <c r="E167" s="921"/>
    </row>
    <row r="168" spans="2:5" x14ac:dyDescent="0.2">
      <c r="B168" s="919">
        <v>14.5</v>
      </c>
      <c r="C168" s="920" t="s">
        <v>1297</v>
      </c>
      <c r="D168" s="915" t="str">
        <f t="shared" si="13"/>
        <v>14.5 - [Name of sub-vote]</v>
      </c>
      <c r="E168" s="921"/>
    </row>
    <row r="169" spans="2:5" x14ac:dyDescent="0.2">
      <c r="B169" s="919">
        <v>14.6</v>
      </c>
      <c r="C169" s="920" t="s">
        <v>1297</v>
      </c>
      <c r="D169" s="915" t="str">
        <f t="shared" si="13"/>
        <v>14.6 - [Name of sub-vote]</v>
      </c>
      <c r="E169" s="921"/>
    </row>
    <row r="170" spans="2:5" x14ac:dyDescent="0.2">
      <c r="B170" s="919">
        <v>14.7</v>
      </c>
      <c r="C170" s="920" t="s">
        <v>1297</v>
      </c>
      <c r="D170" s="915" t="str">
        <f t="shared" si="13"/>
        <v>14.7 - [Name of sub-vote]</v>
      </c>
      <c r="E170" s="921"/>
    </row>
    <row r="171" spans="2:5" x14ac:dyDescent="0.2">
      <c r="B171" s="919">
        <v>14.8</v>
      </c>
      <c r="C171" s="920" t="s">
        <v>1297</v>
      </c>
      <c r="D171" s="915" t="str">
        <f t="shared" si="13"/>
        <v>14.8 - [Name of sub-vote]</v>
      </c>
      <c r="E171" s="921"/>
    </row>
    <row r="172" spans="2:5" x14ac:dyDescent="0.2">
      <c r="B172" s="919">
        <v>14.9</v>
      </c>
      <c r="C172" s="920" t="s">
        <v>1297</v>
      </c>
      <c r="D172" s="915" t="str">
        <f t="shared" si="13"/>
        <v>14.9 - [Name of sub-vote]</v>
      </c>
      <c r="E172" s="921"/>
    </row>
    <row r="173" spans="2:5" x14ac:dyDescent="0.2">
      <c r="B173" s="919" t="s">
        <v>1328</v>
      </c>
      <c r="C173" s="920" t="s">
        <v>1297</v>
      </c>
      <c r="D173" s="915" t="str">
        <f t="shared" si="13"/>
        <v>14.10 - [Name of sub-vote]</v>
      </c>
      <c r="E173" s="921"/>
    </row>
    <row r="174" spans="2:5" x14ac:dyDescent="0.2">
      <c r="B174" s="922" t="s">
        <v>688</v>
      </c>
      <c r="C174" s="917" t="s">
        <v>1329</v>
      </c>
      <c r="E174" s="921"/>
    </row>
    <row r="175" spans="2:5" x14ac:dyDescent="0.2">
      <c r="B175" s="919">
        <v>15.1</v>
      </c>
      <c r="C175" s="920" t="s">
        <v>1297</v>
      </c>
      <c r="D175" s="915" t="str">
        <f t="shared" ref="D175:D184" si="14">CONCATENATE(B175, " - ", C175)</f>
        <v>15.1 - [Name of sub-vote]</v>
      </c>
      <c r="E175" s="921" t="s">
        <v>1330</v>
      </c>
    </row>
    <row r="176" spans="2:5" x14ac:dyDescent="0.2">
      <c r="B176" s="919">
        <v>15.2</v>
      </c>
      <c r="C176" s="920" t="s">
        <v>1297</v>
      </c>
      <c r="D176" s="915" t="str">
        <f t="shared" si="14"/>
        <v>15.2 - [Name of sub-vote]</v>
      </c>
      <c r="E176" s="921"/>
    </row>
    <row r="177" spans="2:5" x14ac:dyDescent="0.2">
      <c r="B177" s="919">
        <v>15.3</v>
      </c>
      <c r="C177" s="920" t="s">
        <v>1297</v>
      </c>
      <c r="D177" s="915" t="str">
        <f t="shared" si="14"/>
        <v>15.3 - [Name of sub-vote]</v>
      </c>
      <c r="E177" s="921"/>
    </row>
    <row r="178" spans="2:5" x14ac:dyDescent="0.2">
      <c r="B178" s="919">
        <v>15.4</v>
      </c>
      <c r="C178" s="920" t="s">
        <v>1297</v>
      </c>
      <c r="D178" s="915" t="str">
        <f t="shared" si="14"/>
        <v>15.4 - [Name of sub-vote]</v>
      </c>
      <c r="E178" s="921"/>
    </row>
    <row r="179" spans="2:5" x14ac:dyDescent="0.2">
      <c r="B179" s="919">
        <v>15.5</v>
      </c>
      <c r="C179" s="920" t="s">
        <v>1297</v>
      </c>
      <c r="D179" s="915" t="str">
        <f t="shared" si="14"/>
        <v>15.5 - [Name of sub-vote]</v>
      </c>
      <c r="E179" s="921"/>
    </row>
    <row r="180" spans="2:5" x14ac:dyDescent="0.2">
      <c r="B180" s="919">
        <v>15.6</v>
      </c>
      <c r="C180" s="920" t="s">
        <v>1297</v>
      </c>
      <c r="D180" s="915" t="str">
        <f t="shared" si="14"/>
        <v>15.6 - [Name of sub-vote]</v>
      </c>
      <c r="E180" s="921"/>
    </row>
    <row r="181" spans="2:5" x14ac:dyDescent="0.2">
      <c r="B181" s="919">
        <v>15.7</v>
      </c>
      <c r="C181" s="920" t="s">
        <v>1297</v>
      </c>
      <c r="D181" s="915" t="str">
        <f t="shared" si="14"/>
        <v>15.7 - [Name of sub-vote]</v>
      </c>
      <c r="E181" s="921"/>
    </row>
    <row r="182" spans="2:5" x14ac:dyDescent="0.2">
      <c r="B182" s="919">
        <v>15.8</v>
      </c>
      <c r="C182" s="920" t="s">
        <v>1297</v>
      </c>
      <c r="D182" s="915" t="str">
        <f t="shared" si="14"/>
        <v>15.8 - [Name of sub-vote]</v>
      </c>
      <c r="E182" s="921"/>
    </row>
    <row r="183" spans="2:5" x14ac:dyDescent="0.2">
      <c r="B183" s="919">
        <v>15.9</v>
      </c>
      <c r="C183" s="920" t="s">
        <v>1297</v>
      </c>
      <c r="D183" s="915" t="str">
        <f t="shared" si="14"/>
        <v>15.9 - [Name of sub-vote]</v>
      </c>
      <c r="E183" s="921"/>
    </row>
    <row r="184" spans="2:5" x14ac:dyDescent="0.2">
      <c r="B184" s="919" t="s">
        <v>1331</v>
      </c>
      <c r="C184" s="920" t="s">
        <v>1297</v>
      </c>
      <c r="D184" s="915" t="str">
        <f t="shared" si="14"/>
        <v>15.10 - [Name of sub-vote]</v>
      </c>
      <c r="E184" s="921"/>
    </row>
  </sheetData>
  <dataValidations count="15">
    <dataValidation type="list" allowBlank="1" showInputMessage="1" showErrorMessage="1" sqref="E175:E184">
      <formula1>Vote15</formula1>
    </dataValidation>
    <dataValidation type="list" allowBlank="1" showInputMessage="1" showErrorMessage="1" sqref="E164:E173">
      <formula1>Vote14</formula1>
    </dataValidation>
    <dataValidation type="list" allowBlank="1" showInputMessage="1" showErrorMessage="1" sqref="E153:E162">
      <formula1>Vote13</formula1>
    </dataValidation>
    <dataValidation type="list" allowBlank="1" showInputMessage="1" showErrorMessage="1" sqref="E142:E151">
      <formula1>Vote12</formula1>
    </dataValidation>
    <dataValidation type="list" allowBlank="1" showInputMessage="1" showErrorMessage="1" sqref="E131:E140">
      <formula1>Vote11</formula1>
    </dataValidation>
    <dataValidation type="list" allowBlank="1" showInputMessage="1" showErrorMessage="1" sqref="E120:E129">
      <formula1>Vote10</formula1>
    </dataValidation>
    <dataValidation type="list" allowBlank="1" showInputMessage="1" showErrorMessage="1" sqref="E109:E118">
      <formula1>Vote9</formula1>
    </dataValidation>
    <dataValidation type="list" allowBlank="1" showInputMessage="1" showErrorMessage="1" sqref="E98:E107">
      <formula1>Vote8</formula1>
    </dataValidation>
    <dataValidation type="list" allowBlank="1" showInputMessage="1" showErrorMessage="1" sqref="E81:E96">
      <formula1>Vote7</formula1>
    </dataValidation>
    <dataValidation type="list" allowBlank="1" showInputMessage="1" showErrorMessage="1" sqref="E65:E79">
      <formula1>Vote6</formula1>
    </dataValidation>
    <dataValidation type="list" allowBlank="1" showInputMessage="1" showErrorMessage="1" sqref="E47:E63">
      <formula1>Vote5</formula1>
    </dataValidation>
    <dataValidation type="list" allowBlank="1" showInputMessage="1" showErrorMessage="1" sqref="E36:E45">
      <formula1>Vote4</formula1>
    </dataValidation>
    <dataValidation type="list" allowBlank="1" showInputMessage="1" showErrorMessage="1" sqref="E25:E34">
      <formula1>Vote3</formula1>
    </dataValidation>
    <dataValidation type="list" allowBlank="1" showInputMessage="1" showErrorMessage="1" sqref="E14:E23">
      <formula1>Vote2</formula1>
    </dataValidation>
    <dataValidation type="list" allowBlank="1" showInputMessage="1" showErrorMessage="1" sqref="E3:E12">
      <formula1>Vote1</formula1>
    </dataValidation>
  </dataValidations>
  <pageMargins left="0.75" right="0.75" top="1" bottom="1" header="0.5" footer="0.5"/>
  <pageSetup paperSize="9" scale="37" orientation="portrait" r:id="rId1"/>
  <headerFooter alignWithMargins="0"/>
  <ignoredErrors>
    <ignoredError sqref="B12 B23 B34 B45 B56 B74 B90 B107 B118 B129 B140 B151 B162 B173 B184"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indexed="44"/>
  </sheetPr>
  <dimension ref="A1:Y1584"/>
  <sheetViews>
    <sheetView showGridLines="0" topLeftCell="A4" zoomScaleNormal="100" workbookViewId="0">
      <selection activeCell="B75" sqref="B75"/>
    </sheetView>
  </sheetViews>
  <sheetFormatPr defaultColWidth="9.140625" defaultRowHeight="12.75" x14ac:dyDescent="0.2"/>
  <cols>
    <col min="1" max="1" width="20.7109375" style="928" customWidth="1"/>
    <col min="2" max="2" width="40.7109375" style="928" customWidth="1"/>
    <col min="3" max="3" width="20.7109375" style="928" customWidth="1"/>
    <col min="4" max="4" width="40.7109375" style="928" customWidth="1"/>
    <col min="5" max="5" width="8.85546875" style="928" customWidth="1"/>
    <col min="6" max="10" width="8.7109375" style="254" customWidth="1"/>
    <col min="11" max="15" width="12.85546875" style="254" customWidth="1"/>
    <col min="16" max="17" width="30.7109375" style="254" customWidth="1"/>
    <col min="18" max="16384" width="9.140625" style="929"/>
  </cols>
  <sheetData>
    <row r="1" spans="1:17" ht="13.5" customHeight="1" x14ac:dyDescent="0.3">
      <c r="A1" s="883" t="str">
        <f>'Template names'!$B$63&amp;" - "&amp;" Contact Information"</f>
        <v>LIM354 Polokwane -  Contact Information</v>
      </c>
      <c r="B1" s="927"/>
    </row>
    <row r="2" spans="1:17" ht="13.5" customHeight="1" x14ac:dyDescent="0.2">
      <c r="A2" s="930"/>
      <c r="B2" s="931"/>
      <c r="C2" s="930"/>
      <c r="D2" s="930"/>
    </row>
    <row r="3" spans="1:17" ht="13.5" customHeight="1" thickBot="1" x14ac:dyDescent="0.3">
      <c r="A3" s="932" t="s">
        <v>1222</v>
      </c>
      <c r="B3" s="933"/>
      <c r="C3" s="930"/>
      <c r="D3" s="930"/>
    </row>
    <row r="4" spans="1:17" ht="13.5" customHeight="1" thickTop="1" x14ac:dyDescent="0.2">
      <c r="A4" s="934" t="s">
        <v>1223</v>
      </c>
      <c r="B4" s="935" t="str">
        <f>'Template names'!$B$63</f>
        <v>LIM354 Polokwane</v>
      </c>
      <c r="C4" s="936" t="s">
        <v>774</v>
      </c>
      <c r="D4" s="937"/>
      <c r="F4" s="938"/>
      <c r="G4" s="938"/>
      <c r="H4" s="938"/>
      <c r="I4" s="939"/>
      <c r="J4" s="938"/>
      <c r="K4" s="940"/>
      <c r="L4" s="940"/>
      <c r="M4" s="940"/>
      <c r="N4" s="940"/>
      <c r="O4" s="940"/>
      <c r="P4" s="941"/>
      <c r="Q4" s="942"/>
    </row>
    <row r="5" spans="1:17" ht="13.5" customHeight="1" x14ac:dyDescent="0.2">
      <c r="A5" s="943"/>
      <c r="B5" s="944"/>
      <c r="C5" s="937"/>
      <c r="D5" s="937"/>
      <c r="F5" s="938"/>
      <c r="G5" s="938"/>
      <c r="H5" s="938"/>
      <c r="I5" s="939"/>
      <c r="J5" s="938"/>
      <c r="K5" s="940"/>
      <c r="L5" s="940"/>
      <c r="M5" s="940"/>
      <c r="N5" s="940"/>
      <c r="O5" s="940"/>
      <c r="P5" s="941"/>
      <c r="Q5" s="945"/>
    </row>
    <row r="6" spans="1:17" s="951" customFormat="1" ht="13.5" customHeight="1" x14ac:dyDescent="0.25">
      <c r="A6" s="946" t="s">
        <v>1224</v>
      </c>
      <c r="B6" s="947"/>
      <c r="C6" s="948" t="s">
        <v>1225</v>
      </c>
      <c r="D6" s="949"/>
      <c r="E6" s="950"/>
      <c r="F6" s="938"/>
      <c r="G6" s="938"/>
      <c r="H6" s="939"/>
      <c r="I6" s="939"/>
      <c r="J6" s="938"/>
      <c r="K6" s="940"/>
      <c r="L6" s="940"/>
      <c r="M6" s="940"/>
      <c r="N6" s="940"/>
      <c r="O6" s="940"/>
      <c r="P6" s="941"/>
      <c r="Q6" s="942"/>
    </row>
    <row r="7" spans="1:17" s="951" customFormat="1" ht="13.5" customHeight="1" x14ac:dyDescent="0.2">
      <c r="A7" s="952"/>
      <c r="B7" s="953"/>
      <c r="C7" s="949"/>
      <c r="D7" s="949"/>
      <c r="E7" s="950"/>
      <c r="F7" s="938"/>
      <c r="G7" s="938"/>
      <c r="H7" s="939"/>
      <c r="I7" s="939"/>
      <c r="J7" s="938"/>
      <c r="K7" s="940"/>
      <c r="L7" s="940"/>
      <c r="M7" s="940"/>
      <c r="N7" s="940"/>
      <c r="O7" s="940"/>
      <c r="P7" s="941"/>
      <c r="Q7" s="942"/>
    </row>
    <row r="8" spans="1:17" s="951" customFormat="1" ht="13.5" customHeight="1" x14ac:dyDescent="0.2">
      <c r="A8" s="954" t="s">
        <v>1226</v>
      </c>
      <c r="B8" s="955" t="str">
        <f>IF(B4&gt;" ",VLOOKUP(B4,'Lookup and lists'!B29:C312,2, FALSE)," ")</f>
        <v>LIM LIMPOPO</v>
      </c>
      <c r="C8" s="1392"/>
      <c r="D8" s="1392"/>
      <c r="E8" s="950"/>
      <c r="F8" s="938"/>
      <c r="G8" s="938"/>
      <c r="H8" s="939"/>
      <c r="I8" s="939"/>
      <c r="J8" s="938"/>
      <c r="K8" s="940"/>
      <c r="L8" s="940"/>
      <c r="M8" s="940"/>
      <c r="N8" s="940"/>
      <c r="O8" s="940"/>
      <c r="P8" s="941"/>
      <c r="Q8" s="942"/>
    </row>
    <row r="9" spans="1:17" s="951" customFormat="1" ht="13.5" customHeight="1" x14ac:dyDescent="0.2">
      <c r="A9" s="957"/>
      <c r="B9" s="958"/>
      <c r="C9" s="956"/>
      <c r="D9" s="956"/>
      <c r="E9" s="950"/>
      <c r="F9" s="938"/>
      <c r="G9" s="938"/>
      <c r="H9" s="939"/>
      <c r="I9" s="939"/>
      <c r="J9" s="938"/>
      <c r="K9" s="940"/>
      <c r="L9" s="940"/>
      <c r="M9" s="940"/>
      <c r="N9" s="940"/>
      <c r="O9" s="940"/>
      <c r="P9" s="941"/>
      <c r="Q9" s="942"/>
    </row>
    <row r="10" spans="1:17" ht="13.5" customHeight="1" x14ac:dyDescent="0.2">
      <c r="A10" s="959" t="s">
        <v>1227</v>
      </c>
      <c r="B10" s="960"/>
      <c r="C10" s="961"/>
      <c r="D10" s="962"/>
      <c r="F10" s="939"/>
      <c r="G10" s="938"/>
      <c r="H10" s="939"/>
      <c r="I10" s="939"/>
      <c r="J10" s="938"/>
      <c r="K10" s="940"/>
      <c r="L10" s="940"/>
      <c r="M10" s="940"/>
      <c r="N10" s="940"/>
      <c r="O10" s="940"/>
      <c r="P10" s="941"/>
      <c r="Q10" s="942"/>
    </row>
    <row r="11" spans="1:17" ht="13.5" customHeight="1" x14ac:dyDescent="0.2">
      <c r="A11" s="963"/>
      <c r="B11" s="964"/>
      <c r="C11" s="1393"/>
      <c r="D11" s="1394"/>
      <c r="F11" s="939"/>
      <c r="G11" s="938"/>
      <c r="H11" s="939"/>
      <c r="I11" s="939"/>
      <c r="J11" s="938"/>
      <c r="K11" s="940"/>
      <c r="L11" s="940"/>
      <c r="M11" s="940"/>
      <c r="N11" s="940"/>
      <c r="O11" s="940"/>
      <c r="P11" s="941"/>
      <c r="Q11" s="945"/>
    </row>
    <row r="12" spans="1:17" ht="13.5" customHeight="1" x14ac:dyDescent="0.2">
      <c r="A12" s="959" t="s">
        <v>1228</v>
      </c>
      <c r="B12" s="965"/>
      <c r="C12" s="966"/>
      <c r="D12" s="966"/>
      <c r="F12" s="939"/>
      <c r="G12" s="939"/>
      <c r="H12" s="939"/>
      <c r="I12" s="939"/>
      <c r="J12" s="938"/>
      <c r="K12" s="940"/>
      <c r="L12" s="940"/>
      <c r="M12" s="940"/>
      <c r="N12" s="940"/>
      <c r="O12" s="940"/>
      <c r="P12" s="941"/>
      <c r="Q12" s="942"/>
    </row>
    <row r="13" spans="1:17" ht="13.5" customHeight="1" x14ac:dyDescent="0.2">
      <c r="A13" s="967"/>
      <c r="B13" s="968"/>
      <c r="C13" s="1395"/>
      <c r="D13" s="1395"/>
      <c r="F13" s="939"/>
      <c r="G13" s="939"/>
      <c r="H13" s="939"/>
      <c r="I13" s="969"/>
      <c r="J13" s="939"/>
      <c r="K13" s="940"/>
      <c r="L13" s="940"/>
      <c r="M13" s="940"/>
      <c r="N13" s="940"/>
      <c r="O13" s="940"/>
      <c r="P13" s="941"/>
    </row>
    <row r="14" spans="1:17" ht="13.5" customHeight="1" thickBot="1" x14ac:dyDescent="0.25">
      <c r="A14" s="1396" t="s">
        <v>1229</v>
      </c>
      <c r="B14" s="1397"/>
      <c r="C14" s="950"/>
      <c r="D14" s="950"/>
      <c r="F14" s="939"/>
      <c r="G14" s="939"/>
      <c r="H14" s="969"/>
      <c r="I14" s="970"/>
      <c r="J14" s="939"/>
      <c r="K14" s="940"/>
      <c r="L14" s="940"/>
      <c r="M14" s="940"/>
      <c r="N14" s="940"/>
      <c r="O14" s="940"/>
      <c r="P14" s="941"/>
    </row>
    <row r="15" spans="1:17" ht="13.5" customHeight="1" thickTop="1" x14ac:dyDescent="0.2">
      <c r="A15" s="971" t="s">
        <v>1230</v>
      </c>
      <c r="B15" s="972"/>
      <c r="F15" s="969"/>
      <c r="G15" s="939"/>
      <c r="H15" s="970"/>
      <c r="I15" s="970"/>
      <c r="J15" s="939"/>
      <c r="K15" s="940"/>
      <c r="L15" s="940"/>
      <c r="M15" s="940"/>
      <c r="N15" s="940"/>
      <c r="O15" s="940"/>
      <c r="P15" s="941"/>
    </row>
    <row r="16" spans="1:17" s="951" customFormat="1" ht="13.5" customHeight="1" x14ac:dyDescent="0.2">
      <c r="A16" s="973" t="s">
        <v>1231</v>
      </c>
      <c r="B16" s="974"/>
      <c r="C16" s="928"/>
      <c r="D16" s="928"/>
      <c r="E16" s="950"/>
      <c r="F16" s="970"/>
      <c r="G16" s="969"/>
      <c r="H16" s="970"/>
      <c r="I16" s="970"/>
      <c r="J16" s="939"/>
      <c r="K16" s="940"/>
      <c r="L16" s="940"/>
      <c r="M16" s="940"/>
      <c r="N16" s="940"/>
      <c r="O16" s="940"/>
      <c r="P16" s="941"/>
      <c r="Q16" s="254"/>
    </row>
    <row r="17" spans="1:17" ht="13.5" customHeight="1" x14ac:dyDescent="0.2">
      <c r="A17" s="973" t="s">
        <v>1232</v>
      </c>
      <c r="B17" s="974"/>
      <c r="F17" s="970"/>
      <c r="G17" s="970"/>
      <c r="H17" s="970"/>
      <c r="I17" s="970"/>
      <c r="J17" s="969"/>
      <c r="K17" s="940"/>
      <c r="L17" s="940"/>
      <c r="M17" s="940"/>
      <c r="N17" s="940"/>
      <c r="O17" s="940"/>
      <c r="P17" s="941"/>
    </row>
    <row r="18" spans="1:17" ht="13.5" customHeight="1" x14ac:dyDescent="0.2">
      <c r="A18" s="975" t="s">
        <v>1233</v>
      </c>
      <c r="B18" s="976"/>
      <c r="F18" s="970"/>
      <c r="G18" s="970"/>
      <c r="H18" s="970"/>
      <c r="I18" s="970"/>
      <c r="J18" s="970"/>
      <c r="K18" s="940"/>
      <c r="L18" s="940"/>
      <c r="M18" s="940"/>
      <c r="N18" s="940"/>
      <c r="O18" s="940"/>
      <c r="P18" s="941"/>
    </row>
    <row r="19" spans="1:17" ht="13.5" customHeight="1" x14ac:dyDescent="0.2">
      <c r="A19" s="977"/>
      <c r="B19" s="978"/>
      <c r="F19" s="970"/>
      <c r="G19" s="970"/>
      <c r="H19" s="970"/>
      <c r="I19" s="970"/>
      <c r="J19" s="970"/>
      <c r="K19" s="940"/>
      <c r="L19" s="940"/>
      <c r="M19" s="940"/>
      <c r="N19" s="940"/>
      <c r="O19" s="940"/>
      <c r="P19" s="941"/>
    </row>
    <row r="20" spans="1:17" ht="13.5" customHeight="1" x14ac:dyDescent="0.2">
      <c r="A20" s="979" t="s">
        <v>1234</v>
      </c>
      <c r="B20" s="980"/>
      <c r="F20" s="970"/>
      <c r="G20" s="970"/>
      <c r="H20" s="970"/>
      <c r="I20" s="970"/>
      <c r="J20" s="970"/>
      <c r="K20" s="940"/>
      <c r="L20" s="940"/>
      <c r="M20" s="940"/>
      <c r="N20" s="940"/>
      <c r="O20" s="940"/>
      <c r="P20" s="941"/>
    </row>
    <row r="21" spans="1:17" ht="13.5" customHeight="1" x14ac:dyDescent="0.2">
      <c r="A21" s="973" t="s">
        <v>1235</v>
      </c>
      <c r="B21" s="974"/>
      <c r="F21" s="970"/>
      <c r="G21" s="970"/>
      <c r="H21" s="970"/>
      <c r="I21" s="970"/>
      <c r="J21" s="970"/>
      <c r="K21" s="940"/>
      <c r="L21" s="940"/>
      <c r="M21" s="940"/>
      <c r="N21" s="940"/>
      <c r="O21" s="940"/>
      <c r="P21" s="941"/>
    </row>
    <row r="22" spans="1:17" ht="13.5" customHeight="1" x14ac:dyDescent="0.2">
      <c r="A22" s="973" t="s">
        <v>1236</v>
      </c>
      <c r="B22" s="974"/>
      <c r="F22" s="970"/>
      <c r="G22" s="970"/>
      <c r="H22" s="970"/>
      <c r="I22" s="970"/>
      <c r="J22" s="970"/>
      <c r="K22" s="940"/>
      <c r="L22" s="940"/>
      <c r="M22" s="940"/>
      <c r="N22" s="940"/>
      <c r="O22" s="940"/>
      <c r="P22" s="941"/>
    </row>
    <row r="23" spans="1:17" ht="13.5" customHeight="1" x14ac:dyDescent="0.2">
      <c r="A23" s="973" t="s">
        <v>1232</v>
      </c>
      <c r="B23" s="974"/>
      <c r="F23" s="970"/>
      <c r="G23" s="970"/>
      <c r="H23" s="970"/>
      <c r="I23" s="970"/>
      <c r="J23" s="970"/>
      <c r="K23" s="940"/>
      <c r="L23" s="940"/>
      <c r="M23" s="940"/>
      <c r="N23" s="940"/>
      <c r="O23" s="940"/>
      <c r="P23" s="941"/>
    </row>
    <row r="24" spans="1:17" ht="13.5" customHeight="1" x14ac:dyDescent="0.2">
      <c r="A24" s="975" t="s">
        <v>1233</v>
      </c>
      <c r="B24" s="976"/>
      <c r="F24" s="970"/>
      <c r="G24" s="970"/>
      <c r="H24" s="970"/>
      <c r="I24" s="970"/>
      <c r="J24" s="970"/>
      <c r="K24" s="940"/>
      <c r="L24" s="940"/>
      <c r="M24" s="940"/>
      <c r="N24" s="940"/>
      <c r="O24" s="940"/>
      <c r="P24" s="941"/>
    </row>
    <row r="25" spans="1:17" ht="13.5" customHeight="1" x14ac:dyDescent="0.2">
      <c r="A25" s="977"/>
      <c r="B25" s="978"/>
      <c r="F25" s="970"/>
      <c r="G25" s="970"/>
      <c r="H25" s="970"/>
      <c r="I25" s="970"/>
      <c r="J25" s="970"/>
      <c r="K25" s="940"/>
      <c r="L25" s="940"/>
      <c r="M25" s="940"/>
      <c r="N25" s="940"/>
      <c r="O25" s="940"/>
      <c r="P25" s="941"/>
    </row>
    <row r="26" spans="1:17" ht="13.5" customHeight="1" x14ac:dyDescent="0.2">
      <c r="A26" s="979" t="s">
        <v>1237</v>
      </c>
      <c r="B26" s="981"/>
      <c r="F26" s="970"/>
      <c r="G26" s="970"/>
      <c r="H26" s="970"/>
      <c r="I26" s="970"/>
      <c r="J26" s="970"/>
      <c r="K26" s="940"/>
      <c r="L26" s="940"/>
      <c r="M26" s="940"/>
      <c r="N26" s="940"/>
      <c r="O26" s="940"/>
      <c r="P26" s="941"/>
    </row>
    <row r="27" spans="1:17" ht="13.5" customHeight="1" x14ac:dyDescent="0.2">
      <c r="A27" s="973" t="s">
        <v>1238</v>
      </c>
      <c r="B27" s="974"/>
      <c r="F27" s="970"/>
      <c r="G27" s="970"/>
      <c r="H27" s="970"/>
      <c r="I27" s="970"/>
      <c r="J27" s="970"/>
      <c r="K27" s="940"/>
      <c r="L27" s="940"/>
      <c r="M27" s="940"/>
      <c r="N27" s="940"/>
      <c r="O27" s="940"/>
      <c r="P27" s="941"/>
    </row>
    <row r="28" spans="1:17" ht="13.5" customHeight="1" x14ac:dyDescent="0.2">
      <c r="A28" s="975" t="s">
        <v>1239</v>
      </c>
      <c r="B28" s="982"/>
      <c r="J28" s="970"/>
      <c r="K28" s="970"/>
      <c r="L28" s="970"/>
      <c r="M28" s="970"/>
      <c r="N28" s="970"/>
      <c r="O28" s="970"/>
      <c r="P28" s="941"/>
    </row>
    <row r="29" spans="1:17" ht="13.5" customHeight="1" x14ac:dyDescent="0.2">
      <c r="A29" s="977"/>
      <c r="B29" s="983"/>
      <c r="P29" s="941"/>
    </row>
    <row r="30" spans="1:17" s="1187" customFormat="1" ht="13.5" customHeight="1" thickBot="1" x14ac:dyDescent="0.25">
      <c r="A30" s="1398" t="s">
        <v>1240</v>
      </c>
      <c r="B30" s="1399"/>
      <c r="C30" s="1400"/>
      <c r="D30" s="1401"/>
      <c r="E30" s="1189"/>
      <c r="F30" s="1190"/>
      <c r="G30" s="1190"/>
      <c r="H30" s="1190"/>
      <c r="I30" s="696"/>
      <c r="J30" s="696"/>
      <c r="K30" s="696"/>
      <c r="L30" s="696"/>
      <c r="M30" s="696"/>
      <c r="N30" s="696"/>
      <c r="O30" s="696"/>
      <c r="P30" s="1191"/>
      <c r="Q30" s="1190"/>
    </row>
    <row r="31" spans="1:17" s="1187" customFormat="1" ht="13.5" customHeight="1" thickTop="1" x14ac:dyDescent="0.2">
      <c r="A31" s="1192" t="s">
        <v>1241</v>
      </c>
      <c r="B31" s="1193"/>
      <c r="C31" s="1390" t="s">
        <v>1242</v>
      </c>
      <c r="D31" s="1391"/>
      <c r="E31" s="1189"/>
      <c r="F31" s="1190"/>
      <c r="G31" s="1190"/>
      <c r="H31" s="1190"/>
      <c r="I31" s="696"/>
      <c r="J31" s="696"/>
      <c r="K31" s="696"/>
      <c r="L31" s="696"/>
      <c r="M31" s="696"/>
      <c r="N31" s="696"/>
      <c r="O31" s="696"/>
      <c r="P31" s="1191"/>
      <c r="Q31" s="1190"/>
    </row>
    <row r="32" spans="1:17" s="1187" customFormat="1" ht="13.5" customHeight="1" x14ac:dyDescent="0.2">
      <c r="A32" s="1194" t="s">
        <v>1473</v>
      </c>
      <c r="B32" s="1195"/>
      <c r="C32" s="1194" t="s">
        <v>1473</v>
      </c>
      <c r="D32" s="1195"/>
      <c r="E32" s="1189"/>
      <c r="F32" s="1190"/>
      <c r="G32" s="1190"/>
      <c r="H32" s="1190"/>
      <c r="I32" s="696"/>
      <c r="J32" s="696"/>
      <c r="K32" s="696"/>
      <c r="L32" s="696"/>
      <c r="M32" s="696"/>
      <c r="N32" s="696"/>
      <c r="O32" s="696"/>
      <c r="P32" s="1191"/>
      <c r="Q32" s="696"/>
    </row>
    <row r="33" spans="1:17" s="1187" customFormat="1" ht="13.5" customHeight="1" x14ac:dyDescent="0.2">
      <c r="A33" s="1194" t="s">
        <v>1474</v>
      </c>
      <c r="B33" s="1195"/>
      <c r="C33" s="1194" t="s">
        <v>1474</v>
      </c>
      <c r="D33" s="1195"/>
      <c r="E33" s="1189"/>
      <c r="F33" s="1190"/>
      <c r="G33" s="1190"/>
      <c r="H33" s="1190"/>
      <c r="I33" s="696"/>
      <c r="J33" s="696"/>
      <c r="K33" s="696"/>
      <c r="L33" s="696"/>
      <c r="M33" s="696"/>
      <c r="N33" s="696"/>
      <c r="O33" s="696"/>
      <c r="P33" s="1191"/>
      <c r="Q33" s="696"/>
    </row>
    <row r="34" spans="1:17" s="1187" customFormat="1" ht="13.5" customHeight="1" x14ac:dyDescent="0.2">
      <c r="A34" s="1194" t="s">
        <v>1243</v>
      </c>
      <c r="B34" s="1195"/>
      <c r="C34" s="1194" t="s">
        <v>1243</v>
      </c>
      <c r="D34" s="1195"/>
      <c r="E34" s="1189"/>
      <c r="F34" s="1190"/>
      <c r="G34" s="1190"/>
      <c r="H34" s="1190"/>
      <c r="I34" s="696"/>
      <c r="J34" s="696"/>
      <c r="K34" s="696"/>
      <c r="L34" s="696"/>
      <c r="M34" s="696"/>
      <c r="N34" s="696"/>
      <c r="O34" s="696"/>
      <c r="P34" s="1191"/>
      <c r="Q34" s="696"/>
    </row>
    <row r="35" spans="1:17" s="1187" customFormat="1" ht="13.5" customHeight="1" x14ac:dyDescent="0.2">
      <c r="A35" s="1194" t="s">
        <v>1238</v>
      </c>
      <c r="B35" s="1195"/>
      <c r="C35" s="1194" t="s">
        <v>1238</v>
      </c>
      <c r="D35" s="1195"/>
      <c r="E35" s="1189"/>
      <c r="F35" s="1196"/>
      <c r="G35" s="1197"/>
      <c r="H35" s="1190"/>
      <c r="I35" s="696"/>
      <c r="J35" s="696"/>
      <c r="K35" s="696"/>
      <c r="L35" s="696"/>
      <c r="M35" s="696"/>
      <c r="N35" s="696"/>
      <c r="O35" s="696"/>
      <c r="P35" s="1191"/>
      <c r="Q35" s="696"/>
    </row>
    <row r="36" spans="1:17" s="1187" customFormat="1" ht="13.5" customHeight="1" x14ac:dyDescent="0.2">
      <c r="A36" s="1194" t="s">
        <v>1244</v>
      </c>
      <c r="B36" s="1195"/>
      <c r="C36" s="1194" t="s">
        <v>1244</v>
      </c>
      <c r="D36" s="1195"/>
      <c r="E36" s="1189"/>
      <c r="F36" s="1196"/>
      <c r="G36" s="1197"/>
      <c r="H36" s="1190"/>
      <c r="I36" s="696"/>
      <c r="J36" s="696"/>
      <c r="K36" s="696"/>
      <c r="L36" s="696"/>
      <c r="M36" s="696"/>
      <c r="N36" s="696"/>
      <c r="O36" s="696"/>
      <c r="P36" s="1191"/>
      <c r="Q36" s="1190"/>
    </row>
    <row r="37" spans="1:17" s="1187" customFormat="1" ht="13.5" customHeight="1" x14ac:dyDescent="0.2">
      <c r="A37" s="1194" t="s">
        <v>1239</v>
      </c>
      <c r="B37" s="1195"/>
      <c r="C37" s="1194" t="s">
        <v>1239</v>
      </c>
      <c r="D37" s="1195"/>
      <c r="E37" s="1189"/>
      <c r="F37" s="1198"/>
      <c r="G37" s="1197"/>
      <c r="H37" s="1190"/>
      <c r="I37" s="696"/>
      <c r="J37" s="696"/>
      <c r="K37" s="696"/>
      <c r="L37" s="696"/>
      <c r="M37" s="696"/>
      <c r="N37" s="696"/>
      <c r="O37" s="696"/>
      <c r="P37" s="1191"/>
      <c r="Q37" s="1190"/>
    </row>
    <row r="38" spans="1:17" s="1187" customFormat="1" ht="13.5" customHeight="1" x14ac:dyDescent="0.2">
      <c r="A38" s="1194" t="s">
        <v>1245</v>
      </c>
      <c r="B38" s="1195"/>
      <c r="C38" s="1194" t="s">
        <v>1245</v>
      </c>
      <c r="D38" s="1195"/>
      <c r="E38" s="1189"/>
      <c r="F38" s="1198"/>
      <c r="G38" s="1197"/>
      <c r="H38" s="1190"/>
      <c r="I38" s="696"/>
      <c r="J38" s="696"/>
      <c r="K38" s="696"/>
      <c r="L38" s="696"/>
      <c r="M38" s="696"/>
      <c r="N38" s="696"/>
      <c r="O38" s="696"/>
      <c r="P38" s="1191"/>
      <c r="Q38" s="1190"/>
    </row>
    <row r="39" spans="1:17" s="1187" customFormat="1" ht="13.5" customHeight="1" x14ac:dyDescent="0.2">
      <c r="A39" s="1194"/>
      <c r="B39" s="1195"/>
      <c r="C39" s="1194"/>
      <c r="D39" s="1195"/>
      <c r="E39" s="1189"/>
      <c r="F39" s="1198"/>
      <c r="G39" s="1197"/>
      <c r="H39" s="1190"/>
      <c r="I39" s="696"/>
      <c r="J39" s="696"/>
      <c r="K39" s="696"/>
      <c r="L39" s="696"/>
      <c r="M39" s="696"/>
      <c r="N39" s="696"/>
      <c r="O39" s="696"/>
      <c r="P39" s="1191"/>
      <c r="Q39" s="1190"/>
    </row>
    <row r="40" spans="1:17" s="1187" customFormat="1" ht="13.5" customHeight="1" x14ac:dyDescent="0.2">
      <c r="A40" s="1382" t="s">
        <v>1246</v>
      </c>
      <c r="B40" s="1383"/>
      <c r="C40" s="1382" t="s">
        <v>1247</v>
      </c>
      <c r="D40" s="1383"/>
      <c r="E40" s="1189"/>
      <c r="F40" s="1198"/>
      <c r="G40" s="1197"/>
      <c r="H40" s="1190"/>
      <c r="I40" s="696"/>
      <c r="J40" s="696"/>
      <c r="K40" s="696"/>
      <c r="L40" s="696"/>
      <c r="M40" s="696"/>
      <c r="N40" s="696"/>
      <c r="O40" s="696"/>
      <c r="P40" s="1191"/>
      <c r="Q40" s="1190"/>
    </row>
    <row r="41" spans="1:17" s="1187" customFormat="1" ht="13.5" customHeight="1" x14ac:dyDescent="0.2">
      <c r="A41" s="1194" t="s">
        <v>1473</v>
      </c>
      <c r="B41" s="1195"/>
      <c r="C41" s="1194" t="s">
        <v>1473</v>
      </c>
      <c r="D41" s="1195"/>
      <c r="E41" s="1189"/>
      <c r="F41" s="1190"/>
      <c r="G41" s="1190"/>
      <c r="H41" s="1190"/>
      <c r="I41" s="696"/>
      <c r="J41" s="696"/>
      <c r="K41" s="696"/>
      <c r="L41" s="696"/>
      <c r="M41" s="696"/>
      <c r="N41" s="696"/>
      <c r="O41" s="696"/>
      <c r="P41" s="1191"/>
      <c r="Q41" s="696"/>
    </row>
    <row r="42" spans="1:17" s="1187" customFormat="1" ht="13.5" customHeight="1" x14ac:dyDescent="0.2">
      <c r="A42" s="1194" t="s">
        <v>1474</v>
      </c>
      <c r="B42" s="1195"/>
      <c r="C42" s="1194" t="s">
        <v>1474</v>
      </c>
      <c r="D42" s="1195"/>
      <c r="E42" s="1189"/>
      <c r="F42" s="1190"/>
      <c r="G42" s="1190"/>
      <c r="H42" s="1190"/>
      <c r="I42" s="696"/>
      <c r="J42" s="696"/>
      <c r="K42" s="696"/>
      <c r="L42" s="696"/>
      <c r="M42" s="696"/>
      <c r="N42" s="696"/>
      <c r="O42" s="696"/>
      <c r="P42" s="1191"/>
      <c r="Q42" s="696"/>
    </row>
    <row r="43" spans="1:17" s="1187" customFormat="1" ht="13.5" customHeight="1" x14ac:dyDescent="0.2">
      <c r="A43" s="1194" t="s">
        <v>1243</v>
      </c>
      <c r="B43" s="1195"/>
      <c r="C43" s="1194" t="s">
        <v>1243</v>
      </c>
      <c r="D43" s="1195"/>
      <c r="E43" s="1189"/>
      <c r="F43" s="1198"/>
      <c r="G43" s="1197"/>
      <c r="H43" s="1190"/>
      <c r="I43" s="696"/>
      <c r="J43" s="696"/>
      <c r="K43" s="696"/>
      <c r="L43" s="696"/>
      <c r="M43" s="696"/>
      <c r="N43" s="696"/>
      <c r="O43" s="696"/>
      <c r="P43" s="1191"/>
      <c r="Q43" s="1190"/>
    </row>
    <row r="44" spans="1:17" s="1187" customFormat="1" ht="13.5" customHeight="1" x14ac:dyDescent="0.2">
      <c r="A44" s="1194" t="s">
        <v>1238</v>
      </c>
      <c r="B44" s="1195"/>
      <c r="C44" s="1194" t="s">
        <v>1238</v>
      </c>
      <c r="D44" s="1195"/>
      <c r="E44" s="1189"/>
      <c r="F44" s="1199"/>
      <c r="G44" s="1197"/>
      <c r="H44" s="1190"/>
      <c r="I44" s="696"/>
      <c r="J44" s="696"/>
      <c r="K44" s="696"/>
      <c r="L44" s="696"/>
      <c r="M44" s="696"/>
      <c r="N44" s="696"/>
      <c r="O44" s="696"/>
      <c r="P44" s="1191"/>
      <c r="Q44" s="1190"/>
    </row>
    <row r="45" spans="1:17" s="1187" customFormat="1" ht="13.5" customHeight="1" x14ac:dyDescent="0.2">
      <c r="A45" s="1194" t="s">
        <v>1244</v>
      </c>
      <c r="B45" s="1195"/>
      <c r="C45" s="1194" t="s">
        <v>1244</v>
      </c>
      <c r="D45" s="1195"/>
      <c r="E45" s="1189"/>
      <c r="F45" s="1200"/>
      <c r="G45" s="1197"/>
      <c r="H45" s="1190"/>
      <c r="I45" s="696"/>
      <c r="J45" s="696"/>
      <c r="K45" s="696"/>
      <c r="L45" s="696"/>
      <c r="M45" s="696"/>
      <c r="N45" s="696"/>
      <c r="O45" s="696"/>
      <c r="P45" s="1191"/>
      <c r="Q45" s="1190"/>
    </row>
    <row r="46" spans="1:17" s="1187" customFormat="1" ht="13.5" customHeight="1" x14ac:dyDescent="0.2">
      <c r="A46" s="1194" t="s">
        <v>1239</v>
      </c>
      <c r="B46" s="1195"/>
      <c r="C46" s="1194" t="s">
        <v>1239</v>
      </c>
      <c r="D46" s="1195"/>
      <c r="E46" s="1189"/>
      <c r="F46" s="1200"/>
      <c r="G46" s="1197"/>
      <c r="H46" s="1190"/>
      <c r="I46" s="696"/>
      <c r="J46" s="696"/>
      <c r="K46" s="696"/>
      <c r="L46" s="696"/>
      <c r="M46" s="696"/>
      <c r="N46" s="696"/>
      <c r="O46" s="696"/>
      <c r="P46" s="1191"/>
      <c r="Q46" s="1190"/>
    </row>
    <row r="47" spans="1:17" s="1187" customFormat="1" ht="13.5" customHeight="1" x14ac:dyDescent="0.2">
      <c r="A47" s="1201" t="s">
        <v>1245</v>
      </c>
      <c r="B47" s="1202"/>
      <c r="C47" s="1201" t="s">
        <v>1245</v>
      </c>
      <c r="D47" s="1202"/>
      <c r="E47" s="1189"/>
      <c r="F47" s="1200"/>
      <c r="G47" s="1197"/>
      <c r="H47" s="1190"/>
      <c r="I47" s="696"/>
      <c r="J47" s="696"/>
      <c r="K47" s="696"/>
      <c r="L47" s="696"/>
      <c r="M47" s="696"/>
      <c r="N47" s="696"/>
      <c r="O47" s="696"/>
      <c r="P47" s="1191"/>
      <c r="Q47" s="1190"/>
    </row>
    <row r="48" spans="1:17" s="1187" customFormat="1" ht="13.5" customHeight="1" x14ac:dyDescent="0.2">
      <c r="A48" s="1203"/>
      <c r="B48" s="1204"/>
      <c r="C48" s="1203"/>
      <c r="D48" s="1204"/>
      <c r="E48" s="1189"/>
      <c r="F48" s="1200"/>
      <c r="G48" s="1197"/>
      <c r="H48" s="1190"/>
      <c r="I48" s="696"/>
      <c r="J48" s="696"/>
      <c r="K48" s="696"/>
      <c r="L48" s="696"/>
      <c r="M48" s="696"/>
      <c r="N48" s="696"/>
      <c r="O48" s="696"/>
      <c r="P48" s="1191"/>
      <c r="Q48" s="1190"/>
    </row>
    <row r="49" spans="1:17" s="1187" customFormat="1" ht="13.5" customHeight="1" x14ac:dyDescent="0.2">
      <c r="A49" s="1382" t="s">
        <v>1248</v>
      </c>
      <c r="B49" s="1383"/>
      <c r="C49" s="1382" t="s">
        <v>1249</v>
      </c>
      <c r="D49" s="1383"/>
      <c r="E49" s="1189"/>
      <c r="F49" s="1200"/>
      <c r="G49" s="1197"/>
      <c r="H49" s="1190"/>
      <c r="I49" s="696"/>
      <c r="J49" s="696"/>
      <c r="K49" s="696"/>
      <c r="L49" s="696"/>
      <c r="M49" s="696"/>
      <c r="N49" s="696"/>
      <c r="O49" s="696"/>
      <c r="P49" s="1191"/>
      <c r="Q49" s="1190"/>
    </row>
    <row r="50" spans="1:17" s="1187" customFormat="1" ht="13.5" customHeight="1" x14ac:dyDescent="0.2">
      <c r="A50" s="1194" t="s">
        <v>1473</v>
      </c>
      <c r="B50" s="1195"/>
      <c r="C50" s="1194" t="s">
        <v>1473</v>
      </c>
      <c r="D50" s="1195"/>
      <c r="E50" s="1189"/>
      <c r="F50" s="1190"/>
      <c r="G50" s="1190"/>
      <c r="H50" s="1190"/>
      <c r="I50" s="696"/>
      <c r="J50" s="696"/>
      <c r="K50" s="696"/>
      <c r="L50" s="696"/>
      <c r="M50" s="696"/>
      <c r="N50" s="696"/>
      <c r="O50" s="696"/>
      <c r="P50" s="1191"/>
      <c r="Q50" s="696"/>
    </row>
    <row r="51" spans="1:17" s="1187" customFormat="1" ht="13.5" customHeight="1" x14ac:dyDescent="0.2">
      <c r="A51" s="1194" t="s">
        <v>1474</v>
      </c>
      <c r="B51" s="1195"/>
      <c r="C51" s="1194" t="s">
        <v>1474</v>
      </c>
      <c r="D51" s="1195"/>
      <c r="E51" s="1189"/>
      <c r="F51" s="1190"/>
      <c r="G51" s="1190"/>
      <c r="H51" s="1190"/>
      <c r="I51" s="696"/>
      <c r="J51" s="696"/>
      <c r="K51" s="696"/>
      <c r="L51" s="696"/>
      <c r="M51" s="696"/>
      <c r="N51" s="696"/>
      <c r="O51" s="696"/>
      <c r="P51" s="1191"/>
      <c r="Q51" s="696"/>
    </row>
    <row r="52" spans="1:17" s="1187" customFormat="1" ht="13.5" customHeight="1" x14ac:dyDescent="0.2">
      <c r="A52" s="1194" t="s">
        <v>1243</v>
      </c>
      <c r="B52" s="1195"/>
      <c r="C52" s="1194" t="s">
        <v>1243</v>
      </c>
      <c r="D52" s="1195"/>
      <c r="E52" s="1189"/>
      <c r="F52" s="1200"/>
      <c r="G52" s="1197"/>
      <c r="H52" s="1190"/>
      <c r="I52" s="696"/>
      <c r="J52" s="696"/>
      <c r="K52" s="696"/>
      <c r="L52" s="696"/>
      <c r="M52" s="696"/>
      <c r="N52" s="696"/>
      <c r="O52" s="696"/>
      <c r="P52" s="1191"/>
      <c r="Q52" s="1190"/>
    </row>
    <row r="53" spans="1:17" s="1190" customFormat="1" ht="13.5" customHeight="1" x14ac:dyDescent="0.2">
      <c r="A53" s="1194" t="s">
        <v>1238</v>
      </c>
      <c r="B53" s="1195"/>
      <c r="C53" s="1194" t="s">
        <v>1238</v>
      </c>
      <c r="D53" s="1195"/>
      <c r="E53" s="1189"/>
      <c r="F53" s="1200"/>
      <c r="G53" s="1197"/>
      <c r="I53" s="696"/>
      <c r="J53" s="696"/>
      <c r="K53" s="696"/>
      <c r="L53" s="696"/>
      <c r="M53" s="696"/>
      <c r="N53" s="696"/>
      <c r="O53" s="696"/>
      <c r="P53" s="1191"/>
    </row>
    <row r="54" spans="1:17" s="1190" customFormat="1" ht="13.5" customHeight="1" x14ac:dyDescent="0.2">
      <c r="A54" s="1194" t="s">
        <v>1244</v>
      </c>
      <c r="B54" s="1195"/>
      <c r="C54" s="1194" t="s">
        <v>1244</v>
      </c>
      <c r="D54" s="1195"/>
      <c r="E54" s="1189"/>
      <c r="F54" s="1200"/>
      <c r="G54" s="1197"/>
      <c r="I54" s="696"/>
      <c r="J54" s="696"/>
      <c r="K54" s="696"/>
      <c r="L54" s="696"/>
      <c r="M54" s="696"/>
      <c r="N54" s="696"/>
      <c r="O54" s="696"/>
      <c r="P54" s="1191"/>
    </row>
    <row r="55" spans="1:17" s="1190" customFormat="1" ht="13.5" customHeight="1" x14ac:dyDescent="0.2">
      <c r="A55" s="1194" t="s">
        <v>1239</v>
      </c>
      <c r="B55" s="1195"/>
      <c r="C55" s="1194" t="s">
        <v>1239</v>
      </c>
      <c r="D55" s="1195"/>
      <c r="E55" s="1189"/>
      <c r="F55" s="1200"/>
      <c r="G55" s="1197"/>
      <c r="I55" s="696"/>
      <c r="J55" s="696"/>
      <c r="K55" s="696"/>
      <c r="L55" s="696"/>
      <c r="M55" s="696"/>
      <c r="N55" s="696"/>
      <c r="O55" s="696"/>
      <c r="P55" s="1191"/>
    </row>
    <row r="56" spans="1:17" s="1190" customFormat="1" ht="13.5" customHeight="1" x14ac:dyDescent="0.2">
      <c r="A56" s="1205" t="s">
        <v>1245</v>
      </c>
      <c r="B56" s="1206"/>
      <c r="C56" s="1205" t="s">
        <v>1245</v>
      </c>
      <c r="D56" s="1206"/>
      <c r="E56" s="1189"/>
      <c r="F56" s="1200"/>
      <c r="G56" s="1197"/>
      <c r="I56" s="696"/>
      <c r="J56" s="696"/>
      <c r="K56" s="696"/>
      <c r="L56" s="696"/>
      <c r="M56" s="696"/>
      <c r="N56" s="696"/>
      <c r="O56" s="696"/>
      <c r="P56" s="1191"/>
    </row>
    <row r="57" spans="1:17" s="1190" customFormat="1" ht="13.5" customHeight="1" x14ac:dyDescent="0.2">
      <c r="A57" s="1203"/>
      <c r="B57" s="1204"/>
      <c r="C57" s="1203"/>
      <c r="D57" s="1204"/>
      <c r="E57" s="1189"/>
      <c r="F57" s="1200"/>
      <c r="G57" s="1197"/>
      <c r="I57" s="696"/>
      <c r="J57" s="696"/>
      <c r="K57" s="696"/>
      <c r="L57" s="696"/>
      <c r="M57" s="696"/>
      <c r="N57" s="696"/>
      <c r="O57" s="696"/>
      <c r="P57" s="1191"/>
    </row>
    <row r="58" spans="1:17" s="1190" customFormat="1" ht="13.5" customHeight="1" thickBot="1" x14ac:dyDescent="0.25">
      <c r="A58" s="1386" t="s">
        <v>1250</v>
      </c>
      <c r="B58" s="1387"/>
      <c r="C58" s="1388"/>
      <c r="D58" s="1389"/>
      <c r="E58" s="1189"/>
      <c r="F58" s="1200"/>
      <c r="G58" s="1197"/>
      <c r="I58" s="696"/>
      <c r="J58" s="696"/>
      <c r="K58" s="696"/>
      <c r="L58" s="696"/>
      <c r="M58" s="696"/>
      <c r="N58" s="696"/>
      <c r="O58" s="696"/>
      <c r="P58" s="1191"/>
    </row>
    <row r="59" spans="1:17" s="1210" customFormat="1" ht="13.5" customHeight="1" thickTop="1" x14ac:dyDescent="0.2">
      <c r="A59" s="1192" t="s">
        <v>1251</v>
      </c>
      <c r="B59" s="1193"/>
      <c r="C59" s="1382" t="s">
        <v>1252</v>
      </c>
      <c r="D59" s="1383"/>
      <c r="E59" s="1207"/>
      <c r="F59" s="1208"/>
      <c r="G59" s="1209"/>
      <c r="I59" s="1211"/>
      <c r="J59" s="1211"/>
      <c r="K59" s="1211"/>
      <c r="L59" s="1211"/>
      <c r="M59" s="1211"/>
      <c r="N59" s="1211"/>
      <c r="O59" s="1211"/>
      <c r="P59" s="1191"/>
      <c r="Q59" s="1190"/>
    </row>
    <row r="60" spans="1:17" s="1187" customFormat="1" ht="13.5" customHeight="1" x14ac:dyDescent="0.2">
      <c r="A60" s="1194" t="s">
        <v>1473</v>
      </c>
      <c r="B60" s="1195"/>
      <c r="C60" s="1194" t="s">
        <v>1473</v>
      </c>
      <c r="D60" s="1195"/>
      <c r="E60" s="1189"/>
      <c r="F60" s="1190"/>
      <c r="G60" s="1190"/>
      <c r="H60" s="1190"/>
      <c r="I60" s="696"/>
      <c r="J60" s="696"/>
      <c r="K60" s="696"/>
      <c r="L60" s="696"/>
      <c r="M60" s="696"/>
      <c r="N60" s="696"/>
      <c r="O60" s="696"/>
      <c r="P60" s="1191"/>
      <c r="Q60" s="696"/>
    </row>
    <row r="61" spans="1:17" s="1187" customFormat="1" ht="13.5" customHeight="1" x14ac:dyDescent="0.2">
      <c r="A61" s="1194" t="s">
        <v>1474</v>
      </c>
      <c r="B61" s="1195"/>
      <c r="C61" s="1194" t="s">
        <v>1474</v>
      </c>
      <c r="D61" s="1195"/>
      <c r="E61" s="1189"/>
      <c r="F61" s="1190"/>
      <c r="G61" s="1190"/>
      <c r="H61" s="1190"/>
      <c r="I61" s="696"/>
      <c r="J61" s="696"/>
      <c r="K61" s="696"/>
      <c r="L61" s="696"/>
      <c r="M61" s="696"/>
      <c r="N61" s="696"/>
      <c r="O61" s="696"/>
      <c r="P61" s="1191"/>
      <c r="Q61" s="696"/>
    </row>
    <row r="62" spans="1:17" s="1210" customFormat="1" ht="13.5" customHeight="1" x14ac:dyDescent="0.2">
      <c r="A62" s="1194" t="s">
        <v>1243</v>
      </c>
      <c r="B62" s="1195"/>
      <c r="C62" s="1194" t="s">
        <v>1243</v>
      </c>
      <c r="D62" s="1195"/>
      <c r="E62" s="1207"/>
      <c r="F62" s="1208"/>
      <c r="G62" s="1209"/>
      <c r="I62" s="1211"/>
      <c r="J62" s="1211"/>
      <c r="K62" s="1211"/>
      <c r="L62" s="1211"/>
      <c r="M62" s="1211"/>
      <c r="N62" s="1211"/>
      <c r="O62" s="1211"/>
      <c r="P62" s="1191"/>
      <c r="Q62" s="1190"/>
    </row>
    <row r="63" spans="1:17" s="1190" customFormat="1" ht="13.5" customHeight="1" x14ac:dyDescent="0.2">
      <c r="A63" s="1194" t="s">
        <v>1238</v>
      </c>
      <c r="B63" s="1195"/>
      <c r="C63" s="1194" t="s">
        <v>1238</v>
      </c>
      <c r="D63" s="1195"/>
      <c r="E63" s="1189"/>
      <c r="F63" s="1200"/>
      <c r="G63" s="1197"/>
      <c r="I63" s="696"/>
      <c r="J63" s="696"/>
      <c r="K63" s="696"/>
      <c r="L63" s="696"/>
      <c r="M63" s="696"/>
      <c r="N63" s="696"/>
      <c r="O63" s="696"/>
      <c r="P63" s="1191"/>
    </row>
    <row r="64" spans="1:17" s="1190" customFormat="1" ht="13.5" customHeight="1" x14ac:dyDescent="0.2">
      <c r="A64" s="1194" t="s">
        <v>1244</v>
      </c>
      <c r="B64" s="1195"/>
      <c r="C64" s="1194" t="s">
        <v>1244</v>
      </c>
      <c r="D64" s="1195"/>
      <c r="E64" s="1189"/>
      <c r="F64" s="1200"/>
      <c r="G64" s="1197"/>
      <c r="I64" s="696"/>
      <c r="J64" s="696"/>
      <c r="K64" s="696"/>
      <c r="L64" s="696"/>
      <c r="M64" s="696"/>
      <c r="N64" s="696"/>
      <c r="O64" s="696"/>
      <c r="P64" s="1191"/>
    </row>
    <row r="65" spans="1:17" s="1190" customFormat="1" ht="13.5" customHeight="1" x14ac:dyDescent="0.2">
      <c r="A65" s="1194" t="s">
        <v>1239</v>
      </c>
      <c r="B65" s="1195"/>
      <c r="C65" s="1194" t="s">
        <v>1239</v>
      </c>
      <c r="D65" s="1195"/>
      <c r="E65" s="1189"/>
      <c r="F65" s="1200"/>
      <c r="G65" s="1197"/>
      <c r="I65" s="696"/>
      <c r="J65" s="696"/>
      <c r="K65" s="696"/>
      <c r="L65" s="696"/>
      <c r="M65" s="696"/>
      <c r="N65" s="696"/>
      <c r="O65" s="696"/>
      <c r="P65" s="1191"/>
    </row>
    <row r="66" spans="1:17" s="1187" customFormat="1" ht="13.5" customHeight="1" x14ac:dyDescent="0.2">
      <c r="A66" s="1205" t="s">
        <v>1245</v>
      </c>
      <c r="B66" s="1212"/>
      <c r="C66" s="1205" t="s">
        <v>1245</v>
      </c>
      <c r="D66" s="1206"/>
      <c r="E66" s="1189"/>
      <c r="F66" s="1200"/>
      <c r="G66" s="1197"/>
      <c r="H66" s="1190"/>
      <c r="I66" s="696"/>
      <c r="J66" s="696"/>
      <c r="K66" s="696"/>
      <c r="L66" s="696"/>
      <c r="M66" s="696"/>
      <c r="N66" s="696"/>
      <c r="O66" s="696"/>
      <c r="P66" s="1191"/>
      <c r="Q66" s="1190"/>
    </row>
    <row r="67" spans="1:17" s="1187" customFormat="1" ht="13.5" customHeight="1" x14ac:dyDescent="0.2">
      <c r="A67" s="1203"/>
      <c r="B67" s="1204"/>
      <c r="C67" s="1203"/>
      <c r="D67" s="1204"/>
      <c r="E67" s="1189"/>
      <c r="F67" s="1200"/>
      <c r="G67" s="1197"/>
      <c r="H67" s="1190"/>
      <c r="I67" s="696"/>
      <c r="J67" s="696"/>
      <c r="K67" s="696"/>
      <c r="L67" s="696"/>
      <c r="M67" s="696"/>
      <c r="N67" s="696"/>
      <c r="O67" s="696"/>
      <c r="P67" s="1191"/>
      <c r="Q67" s="1190"/>
    </row>
    <row r="68" spans="1:17" s="1187" customFormat="1" ht="13.5" customHeight="1" x14ac:dyDescent="0.2">
      <c r="A68" s="1213" t="s">
        <v>1253</v>
      </c>
      <c r="B68" s="1214"/>
      <c r="C68" s="1382" t="s">
        <v>1254</v>
      </c>
      <c r="D68" s="1383"/>
      <c r="E68" s="1189"/>
      <c r="F68" s="1200"/>
      <c r="G68" s="1197"/>
      <c r="H68" s="1190"/>
      <c r="I68" s="696"/>
      <c r="J68" s="696"/>
      <c r="K68" s="696"/>
      <c r="L68" s="696"/>
      <c r="M68" s="696"/>
      <c r="N68" s="696"/>
      <c r="O68" s="696"/>
      <c r="P68" s="1191"/>
      <c r="Q68" s="1190"/>
    </row>
    <row r="69" spans="1:17" s="1187" customFormat="1" ht="13.5" customHeight="1" x14ac:dyDescent="0.2">
      <c r="A69" s="1194" t="s">
        <v>1473</v>
      </c>
      <c r="B69" s="1195"/>
      <c r="C69" s="1194" t="s">
        <v>1473</v>
      </c>
      <c r="D69" s="1195"/>
      <c r="E69" s="1189"/>
      <c r="F69" s="1190"/>
      <c r="G69" s="1190"/>
      <c r="H69" s="1190"/>
      <c r="I69" s="696"/>
      <c r="J69" s="696"/>
      <c r="K69" s="696"/>
      <c r="L69" s="696"/>
      <c r="M69" s="696"/>
      <c r="N69" s="696"/>
      <c r="O69" s="696"/>
      <c r="P69" s="1191"/>
      <c r="Q69" s="696"/>
    </row>
    <row r="70" spans="1:17" s="1187" customFormat="1" ht="13.5" customHeight="1" x14ac:dyDescent="0.2">
      <c r="A70" s="1194" t="s">
        <v>1474</v>
      </c>
      <c r="B70" s="1195"/>
      <c r="C70" s="1194" t="s">
        <v>1474</v>
      </c>
      <c r="D70" s="1195"/>
      <c r="E70" s="1189"/>
      <c r="F70" s="1190"/>
      <c r="G70" s="1190"/>
      <c r="H70" s="1190"/>
      <c r="I70" s="696"/>
      <c r="J70" s="696"/>
      <c r="K70" s="696"/>
      <c r="L70" s="696"/>
      <c r="M70" s="696"/>
      <c r="N70" s="696"/>
      <c r="O70" s="696"/>
      <c r="P70" s="1191"/>
      <c r="Q70" s="696"/>
    </row>
    <row r="71" spans="1:17" s="1215" customFormat="1" ht="13.5" customHeight="1" x14ac:dyDescent="0.2">
      <c r="A71" s="1194" t="s">
        <v>1243</v>
      </c>
      <c r="B71" s="1195" t="s">
        <v>1911</v>
      </c>
      <c r="C71" s="1194" t="s">
        <v>1243</v>
      </c>
      <c r="D71" s="1195"/>
      <c r="E71" s="1207"/>
      <c r="F71" s="1208"/>
      <c r="G71" s="1209"/>
      <c r="H71" s="1210"/>
      <c r="I71" s="1211"/>
      <c r="J71" s="1211"/>
      <c r="K71" s="1211"/>
      <c r="L71" s="1211"/>
      <c r="M71" s="1211"/>
      <c r="N71" s="1211"/>
      <c r="O71" s="1211"/>
      <c r="P71" s="1191"/>
      <c r="Q71" s="1190"/>
    </row>
    <row r="72" spans="1:17" s="1187" customFormat="1" ht="13.5" customHeight="1" x14ac:dyDescent="0.2">
      <c r="A72" s="1194" t="s">
        <v>1238</v>
      </c>
      <c r="B72" s="1195"/>
      <c r="C72" s="1194" t="s">
        <v>1238</v>
      </c>
      <c r="D72" s="1195"/>
      <c r="E72" s="1189"/>
      <c r="F72" s="1200"/>
      <c r="G72" s="1197"/>
      <c r="H72" s="1190"/>
      <c r="I72" s="696"/>
      <c r="J72" s="696"/>
      <c r="K72" s="696"/>
      <c r="L72" s="696"/>
      <c r="M72" s="696"/>
      <c r="N72" s="696"/>
      <c r="O72" s="696"/>
      <c r="P72" s="1191"/>
      <c r="Q72" s="1190"/>
    </row>
    <row r="73" spans="1:17" s="1187" customFormat="1" ht="13.5" customHeight="1" x14ac:dyDescent="0.2">
      <c r="A73" s="1194" t="s">
        <v>1244</v>
      </c>
      <c r="B73" s="1195"/>
      <c r="C73" s="1194" t="s">
        <v>1244</v>
      </c>
      <c r="D73" s="1195"/>
      <c r="E73" s="1189"/>
      <c r="F73" s="1200"/>
      <c r="G73" s="1197"/>
      <c r="H73" s="1190"/>
      <c r="I73" s="696"/>
      <c r="J73" s="696"/>
      <c r="K73" s="696"/>
      <c r="L73" s="696"/>
      <c r="M73" s="696"/>
      <c r="N73" s="696"/>
      <c r="O73" s="696"/>
      <c r="P73" s="1191"/>
      <c r="Q73" s="1190"/>
    </row>
    <row r="74" spans="1:17" s="1187" customFormat="1" ht="13.5" customHeight="1" x14ac:dyDescent="0.2">
      <c r="A74" s="1194" t="s">
        <v>1239</v>
      </c>
      <c r="B74" s="1195"/>
      <c r="C74" s="1194" t="s">
        <v>1239</v>
      </c>
      <c r="D74" s="1195"/>
      <c r="E74" s="1189"/>
      <c r="F74" s="1200"/>
      <c r="G74" s="1197"/>
      <c r="H74" s="1190"/>
      <c r="I74" s="696"/>
      <c r="J74" s="696"/>
      <c r="K74" s="696"/>
      <c r="L74" s="696"/>
      <c r="M74" s="696"/>
      <c r="N74" s="696"/>
      <c r="O74" s="696"/>
      <c r="P74" s="1191"/>
      <c r="Q74" s="1190"/>
    </row>
    <row r="75" spans="1:17" s="1187" customFormat="1" ht="13.5" customHeight="1" x14ac:dyDescent="0.2">
      <c r="A75" s="1205" t="s">
        <v>1245</v>
      </c>
      <c r="B75" s="1212" t="s">
        <v>1912</v>
      </c>
      <c r="C75" s="1205" t="s">
        <v>1245</v>
      </c>
      <c r="D75" s="1206"/>
      <c r="E75" s="1189"/>
      <c r="F75" s="1200"/>
      <c r="G75" s="1197"/>
      <c r="H75" s="1190"/>
      <c r="I75" s="696"/>
      <c r="J75" s="696"/>
      <c r="K75" s="696"/>
      <c r="L75" s="696"/>
      <c r="M75" s="696"/>
      <c r="N75" s="696"/>
      <c r="O75" s="696"/>
      <c r="P75" s="1191"/>
      <c r="Q75" s="1190"/>
    </row>
    <row r="76" spans="1:17" s="1187" customFormat="1" ht="13.5" customHeight="1" x14ac:dyDescent="0.2">
      <c r="A76" s="1203"/>
      <c r="B76" s="1204"/>
      <c r="C76" s="1203"/>
      <c r="D76" s="1204"/>
      <c r="E76" s="1189"/>
      <c r="F76" s="1200"/>
      <c r="G76" s="1197"/>
      <c r="H76" s="1190"/>
      <c r="I76" s="696"/>
      <c r="J76" s="696"/>
      <c r="K76" s="696"/>
      <c r="L76" s="696"/>
      <c r="M76" s="696"/>
      <c r="N76" s="696"/>
      <c r="O76" s="696"/>
      <c r="P76" s="1191"/>
      <c r="Q76" s="1190"/>
    </row>
    <row r="77" spans="1:17" s="1187" customFormat="1" ht="13.5" customHeight="1" x14ac:dyDescent="0.2">
      <c r="A77" s="1382" t="s">
        <v>1255</v>
      </c>
      <c r="B77" s="1383"/>
      <c r="C77" s="1382" t="s">
        <v>1255</v>
      </c>
      <c r="D77" s="1383"/>
      <c r="E77" s="1189"/>
      <c r="F77" s="1200"/>
      <c r="G77" s="1197"/>
      <c r="H77" s="1190"/>
      <c r="I77" s="696"/>
      <c r="J77" s="696"/>
      <c r="K77" s="696"/>
      <c r="L77" s="696"/>
      <c r="M77" s="696"/>
      <c r="N77" s="696"/>
      <c r="O77" s="696"/>
      <c r="P77" s="1191"/>
      <c r="Q77" s="1190"/>
    </row>
    <row r="78" spans="1:17" s="1187" customFormat="1" ht="13.5" customHeight="1" x14ac:dyDescent="0.2">
      <c r="A78" s="1194" t="s">
        <v>1473</v>
      </c>
      <c r="B78" s="1195"/>
      <c r="C78" s="1194" t="s">
        <v>1473</v>
      </c>
      <c r="D78" s="1195"/>
      <c r="E78" s="1189"/>
      <c r="F78" s="1190"/>
      <c r="G78" s="1190"/>
      <c r="H78" s="1190"/>
      <c r="I78" s="696"/>
      <c r="J78" s="696"/>
      <c r="K78" s="696"/>
      <c r="L78" s="696"/>
      <c r="M78" s="696"/>
      <c r="N78" s="696"/>
      <c r="O78" s="696"/>
      <c r="P78" s="1191"/>
      <c r="Q78" s="696"/>
    </row>
    <row r="79" spans="1:17" s="1187" customFormat="1" ht="13.5" customHeight="1" x14ac:dyDescent="0.2">
      <c r="A79" s="1194" t="s">
        <v>1474</v>
      </c>
      <c r="B79" s="1195"/>
      <c r="C79" s="1194" t="s">
        <v>1474</v>
      </c>
      <c r="D79" s="1195"/>
      <c r="E79" s="1189"/>
      <c r="F79" s="1190"/>
      <c r="G79" s="1190"/>
      <c r="H79" s="1190"/>
      <c r="I79" s="696"/>
      <c r="J79" s="696"/>
      <c r="K79" s="696"/>
      <c r="L79" s="696"/>
      <c r="M79" s="696"/>
      <c r="N79" s="696"/>
      <c r="O79" s="696"/>
      <c r="P79" s="1191"/>
      <c r="Q79" s="696"/>
    </row>
    <row r="80" spans="1:17" s="1215" customFormat="1" ht="13.5" customHeight="1" x14ac:dyDescent="0.2">
      <c r="A80" s="1194" t="s">
        <v>1243</v>
      </c>
      <c r="B80" s="1195"/>
      <c r="C80" s="1194" t="s">
        <v>1243</v>
      </c>
      <c r="D80" s="1195"/>
      <c r="E80" s="1207"/>
      <c r="F80" s="1208"/>
      <c r="G80" s="1209"/>
      <c r="H80" s="1210"/>
      <c r="I80" s="1211"/>
      <c r="J80" s="1211"/>
      <c r="K80" s="1211"/>
      <c r="L80" s="1211"/>
      <c r="M80" s="1211"/>
      <c r="N80" s="1211"/>
      <c r="O80" s="1211"/>
      <c r="P80" s="1191"/>
      <c r="Q80" s="1190"/>
    </row>
    <row r="81" spans="1:17" s="1187" customFormat="1" ht="13.5" customHeight="1" x14ac:dyDescent="0.2">
      <c r="A81" s="1194" t="s">
        <v>1238</v>
      </c>
      <c r="B81" s="1195"/>
      <c r="C81" s="1194" t="s">
        <v>1238</v>
      </c>
      <c r="D81" s="1195"/>
      <c r="E81" s="1189"/>
      <c r="F81" s="1200"/>
      <c r="G81" s="1197"/>
      <c r="H81" s="1190"/>
      <c r="I81" s="696"/>
      <c r="J81" s="696"/>
      <c r="K81" s="696"/>
      <c r="L81" s="696"/>
      <c r="M81" s="696"/>
      <c r="N81" s="696"/>
      <c r="O81" s="696"/>
      <c r="P81" s="1191"/>
      <c r="Q81" s="1190"/>
    </row>
    <row r="82" spans="1:17" s="1187" customFormat="1" ht="13.5" customHeight="1" x14ac:dyDescent="0.2">
      <c r="A82" s="1194" t="s">
        <v>1244</v>
      </c>
      <c r="B82" s="1195"/>
      <c r="C82" s="1194" t="s">
        <v>1244</v>
      </c>
      <c r="D82" s="1195"/>
      <c r="E82" s="1189"/>
      <c r="F82" s="1200"/>
      <c r="G82" s="1197"/>
      <c r="H82" s="1190"/>
      <c r="I82" s="696"/>
      <c r="J82" s="696"/>
      <c r="K82" s="696"/>
      <c r="L82" s="696"/>
      <c r="M82" s="696"/>
      <c r="N82" s="696"/>
      <c r="O82" s="696"/>
      <c r="P82" s="1191"/>
      <c r="Q82" s="1190"/>
    </row>
    <row r="83" spans="1:17" s="1187" customFormat="1" ht="13.5" customHeight="1" x14ac:dyDescent="0.2">
      <c r="A83" s="1194" t="s">
        <v>1239</v>
      </c>
      <c r="B83" s="1195"/>
      <c r="C83" s="1194" t="s">
        <v>1239</v>
      </c>
      <c r="D83" s="1195"/>
      <c r="E83" s="1189"/>
      <c r="F83" s="1200"/>
      <c r="G83" s="1197"/>
      <c r="H83" s="1190"/>
      <c r="I83" s="696"/>
      <c r="J83" s="696"/>
      <c r="K83" s="696"/>
      <c r="L83" s="696"/>
      <c r="M83" s="696"/>
      <c r="N83" s="696"/>
      <c r="O83" s="696"/>
      <c r="P83" s="1191"/>
      <c r="Q83" s="1190"/>
    </row>
    <row r="84" spans="1:17" s="1187" customFormat="1" ht="13.5" customHeight="1" x14ac:dyDescent="0.2">
      <c r="A84" s="1194" t="s">
        <v>1245</v>
      </c>
      <c r="B84" s="1195"/>
      <c r="C84" s="1194" t="s">
        <v>1245</v>
      </c>
      <c r="D84" s="1195"/>
      <c r="E84" s="1189"/>
      <c r="F84" s="1200"/>
      <c r="G84" s="1197"/>
      <c r="H84" s="1190"/>
      <c r="I84" s="696"/>
      <c r="J84" s="696"/>
      <c r="K84" s="696"/>
      <c r="L84" s="696"/>
      <c r="M84" s="696"/>
      <c r="N84" s="696"/>
      <c r="O84" s="696"/>
      <c r="P84" s="1191"/>
      <c r="Q84" s="1190"/>
    </row>
    <row r="85" spans="1:17" s="1187" customFormat="1" ht="13.5" customHeight="1" x14ac:dyDescent="0.2">
      <c r="A85" s="1382" t="s">
        <v>1255</v>
      </c>
      <c r="B85" s="1383"/>
      <c r="C85" s="1382" t="s">
        <v>1255</v>
      </c>
      <c r="D85" s="1383"/>
      <c r="E85" s="1189"/>
      <c r="F85" s="1200"/>
      <c r="G85" s="1197"/>
      <c r="H85" s="1190"/>
      <c r="I85" s="696"/>
      <c r="J85" s="696"/>
      <c r="K85" s="696"/>
      <c r="L85" s="696"/>
      <c r="M85" s="696"/>
      <c r="N85" s="696"/>
      <c r="O85" s="696"/>
      <c r="P85" s="1191"/>
      <c r="Q85" s="1190"/>
    </row>
    <row r="86" spans="1:17" s="1187" customFormat="1" ht="13.5" customHeight="1" x14ac:dyDescent="0.2">
      <c r="A86" s="1194" t="s">
        <v>1473</v>
      </c>
      <c r="B86" s="1195"/>
      <c r="C86" s="1194" t="s">
        <v>1473</v>
      </c>
      <c r="D86" s="1195"/>
      <c r="E86" s="1189"/>
      <c r="F86" s="1190"/>
      <c r="G86" s="1190"/>
      <c r="H86" s="1190"/>
      <c r="I86" s="696"/>
      <c r="J86" s="696"/>
      <c r="K86" s="696"/>
      <c r="L86" s="696"/>
      <c r="M86" s="696"/>
      <c r="N86" s="696"/>
      <c r="O86" s="696"/>
      <c r="P86" s="1191"/>
      <c r="Q86" s="696"/>
    </row>
    <row r="87" spans="1:17" s="1187" customFormat="1" ht="13.5" customHeight="1" x14ac:dyDescent="0.2">
      <c r="A87" s="1194" t="s">
        <v>1474</v>
      </c>
      <c r="B87" s="1195"/>
      <c r="C87" s="1194" t="s">
        <v>1474</v>
      </c>
      <c r="D87" s="1195"/>
      <c r="E87" s="1189"/>
      <c r="F87" s="1190"/>
      <c r="G87" s="1190"/>
      <c r="H87" s="1190"/>
      <c r="I87" s="696"/>
      <c r="J87" s="696"/>
      <c r="K87" s="696"/>
      <c r="L87" s="696"/>
      <c r="M87" s="696"/>
      <c r="N87" s="696"/>
      <c r="O87" s="696"/>
      <c r="P87" s="1191"/>
      <c r="Q87" s="696"/>
    </row>
    <row r="88" spans="1:17" s="1187" customFormat="1" ht="13.5" customHeight="1" x14ac:dyDescent="0.2">
      <c r="A88" s="1194" t="s">
        <v>1243</v>
      </c>
      <c r="B88" s="1195"/>
      <c r="C88" s="1194" t="s">
        <v>1243</v>
      </c>
      <c r="D88" s="1195"/>
      <c r="E88" s="1189"/>
      <c r="F88" s="1200"/>
      <c r="G88" s="1197"/>
      <c r="H88" s="1190"/>
      <c r="I88" s="696"/>
      <c r="J88" s="696"/>
      <c r="K88" s="696"/>
      <c r="L88" s="696"/>
      <c r="M88" s="696"/>
      <c r="N88" s="696"/>
      <c r="O88" s="696"/>
      <c r="P88" s="1191"/>
      <c r="Q88" s="1190"/>
    </row>
    <row r="89" spans="1:17" s="1187" customFormat="1" ht="13.5" customHeight="1" x14ac:dyDescent="0.2">
      <c r="A89" s="1194" t="s">
        <v>1238</v>
      </c>
      <c r="B89" s="1195"/>
      <c r="C89" s="1194" t="s">
        <v>1238</v>
      </c>
      <c r="D89" s="1195"/>
      <c r="E89" s="1189"/>
      <c r="F89" s="1200"/>
      <c r="G89" s="1197"/>
      <c r="H89" s="1190"/>
      <c r="I89" s="696"/>
      <c r="J89" s="696"/>
      <c r="K89" s="696"/>
      <c r="L89" s="696"/>
      <c r="M89" s="696"/>
      <c r="N89" s="696"/>
      <c r="O89" s="696"/>
      <c r="P89" s="1191"/>
      <c r="Q89" s="1190"/>
    </row>
    <row r="90" spans="1:17" s="1190" customFormat="1" ht="13.5" customHeight="1" x14ac:dyDescent="0.2">
      <c r="A90" s="1194" t="s">
        <v>1244</v>
      </c>
      <c r="B90" s="1195"/>
      <c r="C90" s="1194" t="s">
        <v>1244</v>
      </c>
      <c r="D90" s="1195"/>
      <c r="E90" s="1189"/>
      <c r="F90" s="1200"/>
      <c r="G90" s="1197"/>
      <c r="I90" s="696"/>
      <c r="J90" s="696"/>
      <c r="K90" s="696"/>
      <c r="L90" s="696"/>
      <c r="M90" s="696"/>
      <c r="N90" s="696"/>
      <c r="O90" s="696"/>
      <c r="P90" s="1191"/>
    </row>
    <row r="91" spans="1:17" s="1190" customFormat="1" ht="13.5" customHeight="1" x14ac:dyDescent="0.2">
      <c r="A91" s="1194" t="s">
        <v>1239</v>
      </c>
      <c r="B91" s="1195"/>
      <c r="C91" s="1194" t="s">
        <v>1239</v>
      </c>
      <c r="D91" s="1195"/>
      <c r="E91" s="1189"/>
      <c r="F91" s="1200"/>
      <c r="G91" s="1197"/>
      <c r="I91" s="696"/>
      <c r="J91" s="696"/>
      <c r="K91" s="696"/>
      <c r="L91" s="696"/>
      <c r="M91" s="696"/>
      <c r="N91" s="696"/>
      <c r="O91" s="696"/>
      <c r="P91" s="1191"/>
    </row>
    <row r="92" spans="1:17" s="1190" customFormat="1" ht="13.5" customHeight="1" x14ac:dyDescent="0.2">
      <c r="A92" s="1194" t="s">
        <v>1245</v>
      </c>
      <c r="B92" s="1195"/>
      <c r="C92" s="1194" t="s">
        <v>1245</v>
      </c>
      <c r="D92" s="1195"/>
      <c r="E92" s="1189"/>
      <c r="F92" s="1200"/>
      <c r="G92" s="1197"/>
      <c r="I92" s="696"/>
      <c r="J92" s="696"/>
      <c r="K92" s="696"/>
      <c r="L92" s="696"/>
      <c r="M92" s="696"/>
      <c r="N92" s="696"/>
      <c r="O92" s="696"/>
      <c r="P92" s="1191"/>
    </row>
    <row r="93" spans="1:17" s="1190" customFormat="1" ht="13.5" customHeight="1" x14ac:dyDescent="0.2">
      <c r="A93" s="1382" t="s">
        <v>1255</v>
      </c>
      <c r="B93" s="1383"/>
      <c r="C93" s="1382" t="s">
        <v>1255</v>
      </c>
      <c r="D93" s="1383"/>
      <c r="E93" s="1189"/>
      <c r="F93" s="1200"/>
      <c r="G93" s="1197"/>
      <c r="I93" s="696"/>
      <c r="J93" s="696"/>
      <c r="K93" s="696"/>
      <c r="L93" s="696"/>
      <c r="M93" s="696"/>
      <c r="N93" s="696"/>
      <c r="O93" s="696"/>
      <c r="P93" s="1191"/>
    </row>
    <row r="94" spans="1:17" s="1187" customFormat="1" ht="13.5" customHeight="1" x14ac:dyDescent="0.2">
      <c r="A94" s="1194" t="s">
        <v>1473</v>
      </c>
      <c r="B94" s="1195"/>
      <c r="C94" s="1194" t="s">
        <v>1473</v>
      </c>
      <c r="D94" s="1195"/>
      <c r="E94" s="1189"/>
      <c r="F94" s="1190"/>
      <c r="G94" s="1190"/>
      <c r="H94" s="1190"/>
      <c r="I94" s="696"/>
      <c r="J94" s="696"/>
      <c r="K94" s="696"/>
      <c r="L94" s="696"/>
      <c r="M94" s="696"/>
      <c r="N94" s="696"/>
      <c r="O94" s="696"/>
      <c r="P94" s="1191"/>
      <c r="Q94" s="696"/>
    </row>
    <row r="95" spans="1:17" s="1187" customFormat="1" ht="13.5" customHeight="1" x14ac:dyDescent="0.2">
      <c r="A95" s="1194" t="s">
        <v>1474</v>
      </c>
      <c r="B95" s="1195"/>
      <c r="C95" s="1194" t="s">
        <v>1474</v>
      </c>
      <c r="D95" s="1195"/>
      <c r="E95" s="1189"/>
      <c r="F95" s="1190"/>
      <c r="G95" s="1190"/>
      <c r="H95" s="1190"/>
      <c r="I95" s="696"/>
      <c r="J95" s="696"/>
      <c r="K95" s="696"/>
      <c r="L95" s="696"/>
      <c r="M95" s="696"/>
      <c r="N95" s="696"/>
      <c r="O95" s="696"/>
      <c r="P95" s="1191"/>
      <c r="Q95" s="696"/>
    </row>
    <row r="96" spans="1:17" s="1190" customFormat="1" ht="13.5" customHeight="1" x14ac:dyDescent="0.2">
      <c r="A96" s="1194" t="s">
        <v>1243</v>
      </c>
      <c r="B96" s="1195"/>
      <c r="C96" s="1194" t="s">
        <v>1243</v>
      </c>
      <c r="D96" s="1195"/>
      <c r="E96" s="1189"/>
      <c r="F96" s="1200"/>
      <c r="G96" s="1197"/>
      <c r="I96" s="696"/>
      <c r="J96" s="696"/>
      <c r="K96" s="696"/>
      <c r="L96" s="696"/>
      <c r="M96" s="696"/>
      <c r="N96" s="696"/>
      <c r="O96" s="696"/>
      <c r="P96" s="1191"/>
    </row>
    <row r="97" spans="1:17" s="1190" customFormat="1" ht="13.5" customHeight="1" x14ac:dyDescent="0.2">
      <c r="A97" s="1194" t="s">
        <v>1238</v>
      </c>
      <c r="B97" s="1195"/>
      <c r="C97" s="1194" t="s">
        <v>1238</v>
      </c>
      <c r="D97" s="1195"/>
      <c r="E97" s="1189"/>
      <c r="F97" s="1200"/>
      <c r="G97" s="1197"/>
      <c r="I97" s="696"/>
      <c r="J97" s="696"/>
      <c r="K97" s="696"/>
      <c r="L97" s="696"/>
      <c r="M97" s="696"/>
      <c r="N97" s="696"/>
      <c r="O97" s="696"/>
      <c r="P97" s="1191"/>
    </row>
    <row r="98" spans="1:17" s="1190" customFormat="1" ht="13.5" customHeight="1" x14ac:dyDescent="0.2">
      <c r="A98" s="1194" t="s">
        <v>1244</v>
      </c>
      <c r="B98" s="1195"/>
      <c r="C98" s="1194" t="s">
        <v>1244</v>
      </c>
      <c r="D98" s="1195"/>
      <c r="E98" s="1189"/>
      <c r="F98" s="1200"/>
      <c r="G98" s="1197"/>
      <c r="I98" s="696"/>
      <c r="J98" s="696"/>
      <c r="K98" s="696"/>
      <c r="L98" s="696"/>
      <c r="M98" s="696"/>
      <c r="N98" s="696"/>
      <c r="O98" s="696"/>
      <c r="P98" s="1191"/>
    </row>
    <row r="99" spans="1:17" s="1190" customFormat="1" ht="13.5" customHeight="1" x14ac:dyDescent="0.2">
      <c r="A99" s="1194" t="s">
        <v>1239</v>
      </c>
      <c r="B99" s="1195"/>
      <c r="C99" s="1194" t="s">
        <v>1239</v>
      </c>
      <c r="D99" s="1195"/>
      <c r="E99" s="1189"/>
      <c r="F99" s="1200"/>
      <c r="G99" s="1197"/>
      <c r="I99" s="696"/>
      <c r="J99" s="696"/>
      <c r="K99" s="696"/>
      <c r="L99" s="696"/>
      <c r="M99" s="696"/>
      <c r="N99" s="696"/>
      <c r="O99" s="696"/>
      <c r="P99" s="1191"/>
    </row>
    <row r="100" spans="1:17" s="1190" customFormat="1" ht="13.5" customHeight="1" x14ac:dyDescent="0.2">
      <c r="A100" s="1194" t="s">
        <v>1245</v>
      </c>
      <c r="B100" s="1195"/>
      <c r="C100" s="1194" t="s">
        <v>1245</v>
      </c>
      <c r="D100" s="1195"/>
      <c r="E100" s="1189"/>
      <c r="F100" s="1200"/>
      <c r="G100" s="1197"/>
      <c r="I100" s="696"/>
      <c r="J100" s="696"/>
      <c r="K100" s="696"/>
      <c r="L100" s="696"/>
      <c r="M100" s="696"/>
      <c r="N100" s="696"/>
      <c r="O100" s="696"/>
      <c r="P100" s="1191"/>
    </row>
    <row r="101" spans="1:17" s="1190" customFormat="1" ht="12.75" customHeight="1" x14ac:dyDescent="0.2">
      <c r="A101" s="1382" t="s">
        <v>1255</v>
      </c>
      <c r="B101" s="1383"/>
      <c r="C101" s="1382" t="s">
        <v>1255</v>
      </c>
      <c r="D101" s="1383"/>
      <c r="E101" s="1189"/>
      <c r="F101" s="1200"/>
      <c r="G101" s="1197"/>
      <c r="I101" s="696"/>
      <c r="J101" s="696"/>
      <c r="K101" s="696"/>
      <c r="L101" s="696"/>
      <c r="M101" s="696"/>
      <c r="N101" s="696"/>
      <c r="O101" s="696"/>
      <c r="P101" s="1191"/>
    </row>
    <row r="102" spans="1:17" s="1187" customFormat="1" ht="13.5" customHeight="1" x14ac:dyDescent="0.2">
      <c r="A102" s="1194" t="s">
        <v>1473</v>
      </c>
      <c r="B102" s="1195"/>
      <c r="C102" s="1194" t="s">
        <v>1473</v>
      </c>
      <c r="D102" s="1195"/>
      <c r="E102" s="1189"/>
      <c r="F102" s="1190"/>
      <c r="G102" s="1190"/>
      <c r="H102" s="1190"/>
      <c r="I102" s="696"/>
      <c r="J102" s="696"/>
      <c r="K102" s="696"/>
      <c r="L102" s="696"/>
      <c r="M102" s="696"/>
      <c r="N102" s="696"/>
      <c r="O102" s="696"/>
      <c r="P102" s="1191"/>
      <c r="Q102" s="696"/>
    </row>
    <row r="103" spans="1:17" s="1190" customFormat="1" ht="12.75" customHeight="1" x14ac:dyDescent="0.2">
      <c r="A103" s="1194" t="s">
        <v>1474</v>
      </c>
      <c r="B103" s="1195"/>
      <c r="C103" s="1194" t="s">
        <v>1474</v>
      </c>
      <c r="D103" s="1195"/>
      <c r="E103" s="1189"/>
      <c r="F103" s="1200"/>
      <c r="G103" s="1197"/>
      <c r="I103" s="696"/>
      <c r="J103" s="696"/>
      <c r="K103" s="696"/>
      <c r="L103" s="696"/>
      <c r="M103" s="696"/>
      <c r="N103" s="696"/>
      <c r="O103" s="696"/>
      <c r="P103" s="1191"/>
    </row>
    <row r="104" spans="1:17" s="1190" customFormat="1" ht="12.75" customHeight="1" x14ac:dyDescent="0.2">
      <c r="A104" s="1194" t="s">
        <v>1243</v>
      </c>
      <c r="B104" s="1195"/>
      <c r="C104" s="1194" t="s">
        <v>1243</v>
      </c>
      <c r="D104" s="1195"/>
      <c r="E104" s="1189"/>
      <c r="F104" s="1200"/>
      <c r="G104" s="1197"/>
      <c r="I104" s="696"/>
      <c r="J104" s="696"/>
      <c r="K104" s="696"/>
      <c r="L104" s="696"/>
      <c r="M104" s="696"/>
      <c r="N104" s="696"/>
      <c r="O104" s="696"/>
      <c r="P104" s="1191"/>
    </row>
    <row r="105" spans="1:17" s="1190" customFormat="1" ht="12.75" customHeight="1" x14ac:dyDescent="0.2">
      <c r="A105" s="1194" t="s">
        <v>1238</v>
      </c>
      <c r="B105" s="1195"/>
      <c r="C105" s="1194" t="s">
        <v>1238</v>
      </c>
      <c r="D105" s="1195"/>
      <c r="E105" s="1189"/>
      <c r="F105" s="1200"/>
      <c r="G105" s="1197"/>
      <c r="I105" s="696"/>
      <c r="J105" s="696"/>
      <c r="K105" s="696"/>
      <c r="L105" s="696"/>
      <c r="M105" s="696"/>
      <c r="N105" s="696"/>
      <c r="O105" s="696"/>
      <c r="P105" s="1191"/>
    </row>
    <row r="106" spans="1:17" s="1217" customFormat="1" ht="12.75" customHeight="1" x14ac:dyDescent="0.2">
      <c r="A106" s="1194" t="s">
        <v>1244</v>
      </c>
      <c r="B106" s="1195"/>
      <c r="C106" s="1194" t="s">
        <v>1244</v>
      </c>
      <c r="D106" s="1195"/>
      <c r="E106" s="1216"/>
      <c r="F106" s="1200"/>
      <c r="G106" s="1197"/>
      <c r="I106" s="696"/>
      <c r="J106" s="696"/>
      <c r="K106" s="696"/>
      <c r="L106" s="696"/>
      <c r="M106" s="696"/>
      <c r="N106" s="696"/>
      <c r="O106" s="696"/>
      <c r="P106" s="1191"/>
      <c r="Q106" s="1190"/>
    </row>
    <row r="107" spans="1:17" s="696" customFormat="1" ht="12.75" customHeight="1" x14ac:dyDescent="0.2">
      <c r="A107" s="1194" t="s">
        <v>1239</v>
      </c>
      <c r="B107" s="1195"/>
      <c r="C107" s="1194" t="s">
        <v>1239</v>
      </c>
      <c r="D107" s="1195"/>
      <c r="E107" s="1218"/>
      <c r="F107" s="1200"/>
      <c r="G107" s="1197"/>
      <c r="P107" s="1191"/>
      <c r="Q107" s="1190"/>
    </row>
    <row r="108" spans="1:17" s="696" customFormat="1" ht="12.75" customHeight="1" x14ac:dyDescent="0.2">
      <c r="A108" s="1194" t="s">
        <v>1245</v>
      </c>
      <c r="B108" s="1195"/>
      <c r="C108" s="1194" t="s">
        <v>1245</v>
      </c>
      <c r="D108" s="1195"/>
      <c r="E108" s="1218"/>
      <c r="F108" s="1200"/>
      <c r="G108" s="1197"/>
      <c r="P108" s="1191"/>
      <c r="Q108" s="1190"/>
    </row>
    <row r="109" spans="1:17" s="1190" customFormat="1" ht="12.75" customHeight="1" x14ac:dyDescent="0.2">
      <c r="A109" s="1382" t="s">
        <v>1255</v>
      </c>
      <c r="B109" s="1383"/>
      <c r="C109" s="1382" t="s">
        <v>1255</v>
      </c>
      <c r="D109" s="1383"/>
      <c r="E109" s="1189"/>
      <c r="I109" s="696"/>
      <c r="J109" s="696"/>
      <c r="K109" s="696"/>
      <c r="L109" s="696"/>
      <c r="M109" s="696"/>
      <c r="N109" s="696"/>
      <c r="O109" s="696"/>
      <c r="P109" s="1191"/>
    </row>
    <row r="110" spans="1:17" s="1187" customFormat="1" ht="13.5" customHeight="1" x14ac:dyDescent="0.2">
      <c r="A110" s="1194" t="s">
        <v>1473</v>
      </c>
      <c r="B110" s="1195"/>
      <c r="C110" s="1194" t="s">
        <v>1473</v>
      </c>
      <c r="D110" s="1195"/>
      <c r="E110" s="1189"/>
      <c r="F110" s="1190"/>
      <c r="G110" s="1190"/>
      <c r="H110" s="1190"/>
      <c r="I110" s="696"/>
      <c r="J110" s="696"/>
      <c r="K110" s="696"/>
      <c r="L110" s="696"/>
      <c r="M110" s="696"/>
      <c r="N110" s="696"/>
      <c r="O110" s="696"/>
      <c r="P110" s="1191"/>
      <c r="Q110" s="696"/>
    </row>
    <row r="111" spans="1:17" s="1190" customFormat="1" ht="12.75" customHeight="1" x14ac:dyDescent="0.2">
      <c r="A111" s="1194" t="s">
        <v>1474</v>
      </c>
      <c r="B111" s="1195"/>
      <c r="C111" s="1194" t="s">
        <v>1474</v>
      </c>
      <c r="D111" s="1195"/>
      <c r="E111" s="1189"/>
      <c r="I111" s="696"/>
      <c r="J111" s="696"/>
      <c r="K111" s="696"/>
      <c r="L111" s="696"/>
      <c r="M111" s="696"/>
      <c r="N111" s="696"/>
      <c r="O111" s="696"/>
      <c r="P111" s="1191"/>
    </row>
    <row r="112" spans="1:17" s="1190" customFormat="1" ht="12.75" customHeight="1" x14ac:dyDescent="0.2">
      <c r="A112" s="1194" t="s">
        <v>1243</v>
      </c>
      <c r="B112" s="1195"/>
      <c r="C112" s="1194" t="s">
        <v>1243</v>
      </c>
      <c r="D112" s="1195"/>
      <c r="E112" s="1189"/>
      <c r="I112" s="696"/>
      <c r="J112" s="696"/>
      <c r="K112" s="696"/>
      <c r="L112" s="696"/>
      <c r="M112" s="696"/>
      <c r="N112" s="696"/>
      <c r="O112" s="696"/>
      <c r="P112" s="1191"/>
    </row>
    <row r="113" spans="1:25" s="1190" customFormat="1" ht="12.75" customHeight="1" x14ac:dyDescent="0.2">
      <c r="A113" s="1194" t="s">
        <v>1238</v>
      </c>
      <c r="B113" s="1195"/>
      <c r="C113" s="1194" t="s">
        <v>1238</v>
      </c>
      <c r="D113" s="1195"/>
      <c r="E113" s="1189"/>
      <c r="I113" s="696"/>
      <c r="J113" s="696"/>
      <c r="K113" s="696"/>
      <c r="L113" s="696"/>
      <c r="M113" s="696"/>
      <c r="N113" s="696"/>
      <c r="O113" s="696"/>
      <c r="P113" s="1191"/>
    </row>
    <row r="114" spans="1:25" s="1187" customFormat="1" ht="12.75" customHeight="1" x14ac:dyDescent="0.2">
      <c r="A114" s="1194" t="s">
        <v>1244</v>
      </c>
      <c r="B114" s="1195"/>
      <c r="C114" s="1194" t="s">
        <v>1244</v>
      </c>
      <c r="D114" s="1195"/>
      <c r="E114" s="1219"/>
      <c r="F114" s="1190"/>
      <c r="G114" s="1190"/>
      <c r="H114" s="1190"/>
      <c r="I114" s="696"/>
      <c r="J114" s="696"/>
      <c r="K114" s="696"/>
      <c r="L114" s="696"/>
      <c r="M114" s="696"/>
      <c r="N114" s="696"/>
      <c r="O114" s="696"/>
      <c r="P114" s="1191"/>
      <c r="Q114" s="1190"/>
      <c r="R114" s="1220"/>
      <c r="S114" s="1220"/>
      <c r="T114" s="1220"/>
      <c r="U114" s="1220"/>
      <c r="V114" s="1220"/>
      <c r="W114" s="1220"/>
      <c r="X114" s="1220"/>
      <c r="Y114" s="1220"/>
    </row>
    <row r="115" spans="1:25" s="1187" customFormat="1" ht="12.75" customHeight="1" x14ac:dyDescent="0.2">
      <c r="A115" s="1194" t="s">
        <v>1239</v>
      </c>
      <c r="B115" s="1195"/>
      <c r="C115" s="1194" t="s">
        <v>1239</v>
      </c>
      <c r="D115" s="1195"/>
      <c r="E115" s="1219"/>
      <c r="F115" s="1190"/>
      <c r="G115" s="1190"/>
      <c r="H115" s="1190"/>
      <c r="I115" s="696"/>
      <c r="J115" s="696"/>
      <c r="K115" s="696"/>
      <c r="L115" s="696"/>
      <c r="M115" s="696"/>
      <c r="N115" s="696"/>
      <c r="O115" s="696"/>
      <c r="P115" s="1191"/>
      <c r="Q115" s="1190"/>
      <c r="R115" s="1220"/>
      <c r="S115" s="1220"/>
      <c r="T115" s="1220"/>
      <c r="U115" s="1220"/>
      <c r="V115" s="1220"/>
      <c r="W115" s="1220"/>
      <c r="X115" s="1220"/>
      <c r="Y115" s="1220"/>
    </row>
    <row r="116" spans="1:25" s="1187" customFormat="1" ht="12.75" customHeight="1" x14ac:dyDescent="0.2">
      <c r="A116" s="1194" t="s">
        <v>1245</v>
      </c>
      <c r="B116" s="1195"/>
      <c r="C116" s="1194" t="s">
        <v>1245</v>
      </c>
      <c r="D116" s="1195"/>
      <c r="E116" s="1219"/>
      <c r="F116" s="1190"/>
      <c r="G116" s="1190"/>
      <c r="H116" s="1190"/>
      <c r="I116" s="696"/>
      <c r="J116" s="696"/>
      <c r="K116" s="696"/>
      <c r="L116" s="696"/>
      <c r="M116" s="696"/>
      <c r="N116" s="696"/>
      <c r="O116" s="696"/>
      <c r="P116" s="1191"/>
      <c r="Q116" s="1190"/>
      <c r="R116" s="1220"/>
      <c r="S116" s="1220"/>
      <c r="T116" s="1220"/>
      <c r="U116" s="1220"/>
      <c r="V116" s="1220"/>
      <c r="W116" s="1220"/>
      <c r="X116" s="1220"/>
      <c r="Y116" s="1220"/>
    </row>
    <row r="117" spans="1:25" s="1187" customFormat="1" ht="12.75" customHeight="1" x14ac:dyDescent="0.2">
      <c r="A117" s="1382" t="s">
        <v>1255</v>
      </c>
      <c r="B117" s="1383"/>
      <c r="C117" s="1382" t="s">
        <v>1255</v>
      </c>
      <c r="D117" s="1383"/>
      <c r="E117" s="1219"/>
      <c r="F117" s="1190"/>
      <c r="G117" s="1190"/>
      <c r="H117" s="1190"/>
      <c r="I117" s="696"/>
      <c r="J117" s="696"/>
      <c r="K117" s="696"/>
      <c r="L117" s="696"/>
      <c r="M117" s="696"/>
      <c r="N117" s="696"/>
      <c r="O117" s="696"/>
      <c r="P117" s="1191"/>
      <c r="Q117" s="1190"/>
      <c r="R117" s="1220"/>
      <c r="S117" s="1220"/>
      <c r="T117" s="1220"/>
      <c r="U117" s="1220"/>
      <c r="V117" s="1220"/>
      <c r="W117" s="1220"/>
      <c r="X117" s="1220"/>
      <c r="Y117" s="1220"/>
    </row>
    <row r="118" spans="1:25" s="1187" customFormat="1" ht="13.5" customHeight="1" x14ac:dyDescent="0.2">
      <c r="A118" s="1194" t="s">
        <v>1473</v>
      </c>
      <c r="B118" s="1195"/>
      <c r="C118" s="1194" t="s">
        <v>1473</v>
      </c>
      <c r="D118" s="1195"/>
      <c r="E118" s="1189"/>
      <c r="F118" s="1190"/>
      <c r="G118" s="1190"/>
      <c r="H118" s="1190"/>
      <c r="I118" s="696"/>
      <c r="J118" s="696"/>
      <c r="K118" s="696"/>
      <c r="L118" s="696"/>
      <c r="M118" s="696"/>
      <c r="N118" s="696"/>
      <c r="O118" s="696"/>
      <c r="P118" s="1191"/>
      <c r="Q118" s="696"/>
    </row>
    <row r="119" spans="1:25" s="1187" customFormat="1" ht="12.75" customHeight="1" x14ac:dyDescent="0.2">
      <c r="A119" s="1194" t="s">
        <v>1474</v>
      </c>
      <c r="B119" s="1195"/>
      <c r="C119" s="1194" t="s">
        <v>1474</v>
      </c>
      <c r="D119" s="1195"/>
      <c r="E119" s="1219"/>
      <c r="F119" s="1190"/>
      <c r="G119" s="1190"/>
      <c r="H119" s="1190"/>
      <c r="I119" s="696"/>
      <c r="J119" s="696"/>
      <c r="K119" s="696"/>
      <c r="L119" s="696"/>
      <c r="M119" s="696"/>
      <c r="N119" s="696"/>
      <c r="O119" s="696"/>
      <c r="P119" s="1191"/>
      <c r="Q119" s="1190"/>
      <c r="R119" s="1220"/>
      <c r="S119" s="1220"/>
      <c r="T119" s="1220"/>
      <c r="U119" s="1220"/>
      <c r="V119" s="1220"/>
      <c r="W119" s="1220"/>
      <c r="X119" s="1220"/>
      <c r="Y119" s="1220"/>
    </row>
    <row r="120" spans="1:25" s="1187" customFormat="1" ht="12.75" customHeight="1" x14ac:dyDescent="0.2">
      <c r="A120" s="1194" t="s">
        <v>1243</v>
      </c>
      <c r="B120" s="1195"/>
      <c r="C120" s="1194" t="s">
        <v>1243</v>
      </c>
      <c r="D120" s="1195"/>
      <c r="E120" s="1219"/>
      <c r="F120" s="1190"/>
      <c r="G120" s="1190"/>
      <c r="H120" s="1190"/>
      <c r="I120" s="696"/>
      <c r="J120" s="696"/>
      <c r="K120" s="696"/>
      <c r="L120" s="696"/>
      <c r="M120" s="696"/>
      <c r="N120" s="696"/>
      <c r="O120" s="696"/>
      <c r="P120" s="1191"/>
      <c r="Q120" s="1190"/>
      <c r="R120" s="1220"/>
      <c r="S120" s="1220"/>
      <c r="T120" s="1220"/>
      <c r="U120" s="1220"/>
      <c r="V120" s="1220"/>
      <c r="W120" s="1220"/>
      <c r="X120" s="1220"/>
      <c r="Y120" s="1220"/>
    </row>
    <row r="121" spans="1:25" s="1187" customFormat="1" ht="12.75" customHeight="1" x14ac:dyDescent="0.2">
      <c r="A121" s="1194" t="s">
        <v>1238</v>
      </c>
      <c r="B121" s="1195"/>
      <c r="C121" s="1194" t="s">
        <v>1238</v>
      </c>
      <c r="D121" s="1195"/>
      <c r="E121" s="1219"/>
      <c r="F121" s="1190"/>
      <c r="G121" s="1190"/>
      <c r="H121" s="1190"/>
      <c r="I121" s="696"/>
      <c r="J121" s="696"/>
      <c r="K121" s="696"/>
      <c r="L121" s="696"/>
      <c r="M121" s="696"/>
      <c r="N121" s="696"/>
      <c r="O121" s="696"/>
      <c r="P121" s="1191"/>
      <c r="Q121" s="1190"/>
      <c r="R121" s="1220"/>
      <c r="S121" s="1220"/>
      <c r="T121" s="1220"/>
      <c r="U121" s="1220"/>
      <c r="V121" s="1220"/>
      <c r="W121" s="1220"/>
      <c r="X121" s="1220"/>
      <c r="Y121" s="1220"/>
    </row>
    <row r="122" spans="1:25" s="1187" customFormat="1" ht="12.75" customHeight="1" x14ac:dyDescent="0.2">
      <c r="A122" s="1194" t="s">
        <v>1244</v>
      </c>
      <c r="B122" s="1195"/>
      <c r="C122" s="1194" t="s">
        <v>1244</v>
      </c>
      <c r="D122" s="1195"/>
      <c r="E122" s="1219"/>
      <c r="F122" s="1190"/>
      <c r="G122" s="1190"/>
      <c r="H122" s="1190"/>
      <c r="I122" s="696"/>
      <c r="J122" s="696"/>
      <c r="K122" s="696"/>
      <c r="L122" s="696"/>
      <c r="M122" s="696"/>
      <c r="N122" s="696"/>
      <c r="O122" s="696"/>
      <c r="P122" s="1191"/>
      <c r="Q122" s="1190"/>
      <c r="R122" s="1220"/>
      <c r="S122" s="1220"/>
      <c r="T122" s="1220"/>
      <c r="U122" s="1220"/>
      <c r="V122" s="1220"/>
      <c r="W122" s="1220"/>
      <c r="X122" s="1220"/>
      <c r="Y122" s="1220"/>
    </row>
    <row r="123" spans="1:25" s="1187" customFormat="1" ht="12.75" customHeight="1" x14ac:dyDescent="0.2">
      <c r="A123" s="1194" t="s">
        <v>1239</v>
      </c>
      <c r="B123" s="1195"/>
      <c r="C123" s="1194" t="s">
        <v>1239</v>
      </c>
      <c r="D123" s="1195"/>
      <c r="E123" s="1219"/>
      <c r="F123" s="1190"/>
      <c r="G123" s="1190"/>
      <c r="H123" s="1190"/>
      <c r="I123" s="696"/>
      <c r="J123" s="696"/>
      <c r="K123" s="696"/>
      <c r="L123" s="696"/>
      <c r="M123" s="696"/>
      <c r="N123" s="696"/>
      <c r="O123" s="696"/>
      <c r="P123" s="1191"/>
      <c r="Q123" s="1190"/>
      <c r="R123" s="1220"/>
      <c r="S123" s="1220"/>
      <c r="T123" s="1220"/>
      <c r="U123" s="1220"/>
      <c r="V123" s="1220"/>
      <c r="W123" s="1220"/>
      <c r="X123" s="1220"/>
      <c r="Y123" s="1220"/>
    </row>
    <row r="124" spans="1:25" s="1187" customFormat="1" ht="12.75" customHeight="1" x14ac:dyDescent="0.2">
      <c r="A124" s="1194" t="s">
        <v>1245</v>
      </c>
      <c r="B124" s="1195"/>
      <c r="C124" s="1194" t="s">
        <v>1245</v>
      </c>
      <c r="D124" s="1195"/>
      <c r="E124" s="1219"/>
      <c r="F124" s="1190"/>
      <c r="G124" s="1190"/>
      <c r="H124" s="1190"/>
      <c r="I124" s="696"/>
      <c r="J124" s="696"/>
      <c r="K124" s="696"/>
      <c r="L124" s="696"/>
      <c r="M124" s="696"/>
      <c r="N124" s="696"/>
      <c r="O124" s="696"/>
      <c r="P124" s="1191"/>
      <c r="Q124" s="1190"/>
      <c r="R124" s="1220"/>
      <c r="S124" s="1220"/>
      <c r="T124" s="1220"/>
      <c r="U124" s="1220"/>
      <c r="V124" s="1220"/>
      <c r="W124" s="1220"/>
      <c r="X124" s="1220"/>
      <c r="Y124" s="1220"/>
    </row>
    <row r="125" spans="1:25" s="1187" customFormat="1" ht="12.75" customHeight="1" x14ac:dyDescent="0.2">
      <c r="A125" s="1382" t="s">
        <v>1255</v>
      </c>
      <c r="B125" s="1383"/>
      <c r="C125" s="1382" t="s">
        <v>1255</v>
      </c>
      <c r="D125" s="1383"/>
      <c r="E125" s="1219"/>
      <c r="F125" s="1190"/>
      <c r="G125" s="1190"/>
      <c r="H125" s="1190"/>
      <c r="I125" s="696"/>
      <c r="J125" s="696"/>
      <c r="K125" s="696"/>
      <c r="L125" s="696"/>
      <c r="M125" s="696"/>
      <c r="N125" s="696"/>
      <c r="O125" s="696"/>
      <c r="P125" s="1191"/>
      <c r="Q125" s="1190"/>
      <c r="R125" s="1220"/>
      <c r="S125" s="1220"/>
      <c r="T125" s="1220"/>
      <c r="U125" s="1220"/>
      <c r="V125" s="1220"/>
      <c r="W125" s="1220"/>
      <c r="X125" s="1220"/>
      <c r="Y125" s="1220"/>
    </row>
    <row r="126" spans="1:25" s="1187" customFormat="1" ht="13.5" customHeight="1" x14ac:dyDescent="0.2">
      <c r="A126" s="1194" t="s">
        <v>1473</v>
      </c>
      <c r="B126" s="1195"/>
      <c r="C126" s="1194" t="s">
        <v>1473</v>
      </c>
      <c r="D126" s="1195"/>
      <c r="E126" s="1189"/>
      <c r="F126" s="1190"/>
      <c r="G126" s="1190"/>
      <c r="H126" s="1190"/>
      <c r="I126" s="696"/>
      <c r="J126" s="696"/>
      <c r="K126" s="696"/>
      <c r="L126" s="696"/>
      <c r="M126" s="696"/>
      <c r="N126" s="696"/>
      <c r="O126" s="696"/>
      <c r="P126" s="1191"/>
      <c r="Q126" s="696"/>
    </row>
    <row r="127" spans="1:25" s="1187" customFormat="1" ht="12.75" customHeight="1" x14ac:dyDescent="0.2">
      <c r="A127" s="1194" t="s">
        <v>1474</v>
      </c>
      <c r="B127" s="1195"/>
      <c r="C127" s="1194" t="s">
        <v>1474</v>
      </c>
      <c r="D127" s="1195"/>
      <c r="E127" s="1219"/>
      <c r="F127" s="1190"/>
      <c r="G127" s="1190"/>
      <c r="H127" s="1190"/>
      <c r="I127" s="696"/>
      <c r="J127" s="696"/>
      <c r="K127" s="696"/>
      <c r="L127" s="696"/>
      <c r="M127" s="696"/>
      <c r="N127" s="696"/>
      <c r="O127" s="696"/>
      <c r="P127" s="1191"/>
      <c r="Q127" s="1190"/>
      <c r="R127" s="1220"/>
      <c r="S127" s="1220"/>
      <c r="T127" s="1220"/>
      <c r="U127" s="1220"/>
      <c r="V127" s="1220"/>
      <c r="W127" s="1220"/>
      <c r="X127" s="1220"/>
      <c r="Y127" s="1220"/>
    </row>
    <row r="128" spans="1:25" s="1187" customFormat="1" ht="12.75" customHeight="1" x14ac:dyDescent="0.2">
      <c r="A128" s="1194" t="s">
        <v>1243</v>
      </c>
      <c r="B128" s="1195"/>
      <c r="C128" s="1194" t="s">
        <v>1243</v>
      </c>
      <c r="D128" s="1195"/>
      <c r="E128" s="1219"/>
      <c r="F128" s="1190"/>
      <c r="G128" s="1190"/>
      <c r="H128" s="1190"/>
      <c r="I128" s="696"/>
      <c r="J128" s="696"/>
      <c r="K128" s="696"/>
      <c r="L128" s="696"/>
      <c r="M128" s="696"/>
      <c r="N128" s="696"/>
      <c r="O128" s="696"/>
      <c r="P128" s="1191"/>
      <c r="Q128" s="1190"/>
      <c r="R128" s="1220"/>
      <c r="S128" s="1220"/>
      <c r="T128" s="1220"/>
      <c r="U128" s="1220"/>
      <c r="V128" s="1220"/>
      <c r="W128" s="1220"/>
      <c r="X128" s="1220"/>
      <c r="Y128" s="1220"/>
    </row>
    <row r="129" spans="1:25" s="1187" customFormat="1" ht="12.75" customHeight="1" x14ac:dyDescent="0.2">
      <c r="A129" s="1194" t="s">
        <v>1238</v>
      </c>
      <c r="B129" s="1195"/>
      <c r="C129" s="1194" t="s">
        <v>1238</v>
      </c>
      <c r="D129" s="1195"/>
      <c r="E129" s="1219"/>
      <c r="F129" s="1190"/>
      <c r="G129" s="1190"/>
      <c r="H129" s="1190"/>
      <c r="I129" s="696"/>
      <c r="J129" s="696"/>
      <c r="K129" s="696"/>
      <c r="L129" s="696"/>
      <c r="M129" s="696"/>
      <c r="N129" s="696"/>
      <c r="O129" s="696"/>
      <c r="P129" s="1191"/>
      <c r="Q129" s="1190"/>
      <c r="R129" s="1220"/>
      <c r="S129" s="1220"/>
      <c r="T129" s="1220"/>
      <c r="U129" s="1220"/>
      <c r="V129" s="1220"/>
      <c r="W129" s="1220"/>
      <c r="X129" s="1220"/>
      <c r="Y129" s="1220"/>
    </row>
    <row r="130" spans="1:25" s="1187" customFormat="1" ht="12.75" customHeight="1" x14ac:dyDescent="0.2">
      <c r="A130" s="1194" t="s">
        <v>1244</v>
      </c>
      <c r="B130" s="1195"/>
      <c r="C130" s="1194" t="s">
        <v>1244</v>
      </c>
      <c r="D130" s="1195"/>
      <c r="E130" s="1219"/>
      <c r="F130" s="1190"/>
      <c r="G130" s="1190"/>
      <c r="H130" s="1190"/>
      <c r="I130" s="696"/>
      <c r="J130" s="696"/>
      <c r="K130" s="696"/>
      <c r="L130" s="696"/>
      <c r="M130" s="696"/>
      <c r="N130" s="696"/>
      <c r="O130" s="696"/>
      <c r="P130" s="1191"/>
      <c r="Q130" s="1190"/>
      <c r="R130" s="1220"/>
      <c r="S130" s="1220"/>
      <c r="T130" s="1220"/>
      <c r="U130" s="1220"/>
      <c r="V130" s="1220"/>
      <c r="W130" s="1220"/>
      <c r="X130" s="1220"/>
      <c r="Y130" s="1220"/>
    </row>
    <row r="131" spans="1:25" s="1187" customFormat="1" ht="12.75" customHeight="1" x14ac:dyDescent="0.2">
      <c r="A131" s="1194" t="s">
        <v>1239</v>
      </c>
      <c r="B131" s="1195"/>
      <c r="C131" s="1194" t="s">
        <v>1239</v>
      </c>
      <c r="D131" s="1195"/>
      <c r="E131" s="1219"/>
      <c r="F131" s="1190"/>
      <c r="G131" s="1190"/>
      <c r="H131" s="1190"/>
      <c r="I131" s="696"/>
      <c r="J131" s="696"/>
      <c r="K131" s="696"/>
      <c r="L131" s="696"/>
      <c r="M131" s="696"/>
      <c r="N131" s="696"/>
      <c r="O131" s="696"/>
      <c r="P131" s="1191"/>
      <c r="Q131" s="1190"/>
      <c r="R131" s="1220"/>
      <c r="S131" s="1220"/>
      <c r="T131" s="1220"/>
      <c r="U131" s="1220"/>
      <c r="V131" s="1220"/>
      <c r="W131" s="1220"/>
      <c r="X131" s="1220"/>
      <c r="Y131" s="1220"/>
    </row>
    <row r="132" spans="1:25" s="1187" customFormat="1" ht="12.75" customHeight="1" x14ac:dyDescent="0.2">
      <c r="A132" s="1194" t="s">
        <v>1245</v>
      </c>
      <c r="B132" s="1195"/>
      <c r="C132" s="1194" t="s">
        <v>1245</v>
      </c>
      <c r="D132" s="1195"/>
      <c r="E132" s="1219"/>
      <c r="F132" s="1190"/>
      <c r="G132" s="1190"/>
      <c r="H132" s="1190"/>
      <c r="I132" s="696"/>
      <c r="J132" s="696"/>
      <c r="K132" s="696"/>
      <c r="L132" s="696"/>
      <c r="M132" s="696"/>
      <c r="N132" s="696"/>
      <c r="O132" s="696"/>
      <c r="P132" s="1191"/>
      <c r="Q132" s="1190"/>
      <c r="R132" s="1220"/>
      <c r="S132" s="1220"/>
      <c r="T132" s="1220"/>
      <c r="U132" s="1220"/>
      <c r="V132" s="1220"/>
      <c r="W132" s="1220"/>
      <c r="X132" s="1220"/>
      <c r="Y132" s="1220"/>
    </row>
    <row r="133" spans="1:25" s="1187" customFormat="1" ht="12.75" customHeight="1" x14ac:dyDescent="0.2">
      <c r="A133" s="1382" t="s">
        <v>1255</v>
      </c>
      <c r="B133" s="1383"/>
      <c r="C133" s="1384"/>
      <c r="D133" s="1385"/>
      <c r="E133" s="1219"/>
      <c r="F133" s="1190"/>
      <c r="G133" s="1190"/>
      <c r="H133" s="1190"/>
      <c r="I133" s="696"/>
      <c r="J133" s="696"/>
      <c r="K133" s="696"/>
      <c r="L133" s="696"/>
      <c r="M133" s="696"/>
      <c r="N133" s="696"/>
      <c r="O133" s="696"/>
      <c r="P133" s="1191"/>
      <c r="Q133" s="1190"/>
      <c r="R133" s="1220"/>
      <c r="S133" s="1220"/>
      <c r="T133" s="1220"/>
      <c r="U133" s="1220"/>
      <c r="V133" s="1220"/>
      <c r="W133" s="1220"/>
      <c r="X133" s="1220"/>
      <c r="Y133" s="1220"/>
    </row>
    <row r="134" spans="1:25" s="1187" customFormat="1" ht="12.75" customHeight="1" x14ac:dyDescent="0.2">
      <c r="A134" s="1194" t="s">
        <v>1473</v>
      </c>
      <c r="B134" s="1195"/>
      <c r="C134" s="1221"/>
      <c r="D134" s="1222"/>
      <c r="E134" s="1219"/>
      <c r="F134" s="1190"/>
      <c r="G134" s="1190"/>
      <c r="H134" s="1190"/>
      <c r="I134" s="696"/>
      <c r="J134" s="696"/>
      <c r="K134" s="696"/>
      <c r="L134" s="696"/>
      <c r="M134" s="696"/>
      <c r="N134" s="696"/>
      <c r="O134" s="696"/>
      <c r="P134" s="1191"/>
      <c r="Q134" s="1190"/>
      <c r="R134" s="1220"/>
      <c r="S134" s="1220"/>
      <c r="T134" s="1220"/>
      <c r="U134" s="1220"/>
      <c r="V134" s="1220"/>
      <c r="W134" s="1220"/>
      <c r="X134" s="1220"/>
      <c r="Y134" s="1220"/>
    </row>
    <row r="135" spans="1:25" s="1187" customFormat="1" ht="12.75" customHeight="1" x14ac:dyDescent="0.2">
      <c r="A135" s="1194" t="s">
        <v>1474</v>
      </c>
      <c r="B135" s="1195"/>
      <c r="C135" s="1221"/>
      <c r="D135" s="1222"/>
      <c r="E135" s="1219"/>
      <c r="F135" s="1190"/>
      <c r="G135" s="1190"/>
      <c r="H135" s="1190"/>
      <c r="I135" s="696"/>
      <c r="J135" s="696"/>
      <c r="K135" s="696"/>
      <c r="L135" s="696"/>
      <c r="M135" s="696"/>
      <c r="N135" s="696"/>
      <c r="O135" s="696"/>
      <c r="P135" s="1191"/>
      <c r="Q135" s="1190"/>
      <c r="R135" s="1220"/>
      <c r="S135" s="1220"/>
      <c r="T135" s="1220"/>
      <c r="U135" s="1220"/>
      <c r="V135" s="1220"/>
      <c r="W135" s="1220"/>
      <c r="X135" s="1220"/>
      <c r="Y135" s="1220"/>
    </row>
    <row r="136" spans="1:25" s="1187" customFormat="1" ht="12.75" customHeight="1" x14ac:dyDescent="0.2">
      <c r="A136" s="1194" t="s">
        <v>1243</v>
      </c>
      <c r="B136" s="1195"/>
      <c r="C136" s="1221"/>
      <c r="D136" s="1222"/>
      <c r="E136" s="1219"/>
      <c r="F136" s="1190"/>
      <c r="G136" s="1190"/>
      <c r="H136" s="1190"/>
      <c r="I136" s="696"/>
      <c r="J136" s="696"/>
      <c r="K136" s="696"/>
      <c r="L136" s="696"/>
      <c r="M136" s="696"/>
      <c r="N136" s="696"/>
      <c r="O136" s="696"/>
      <c r="P136" s="1191"/>
      <c r="Q136" s="1190"/>
      <c r="R136" s="1220"/>
      <c r="S136" s="1220"/>
      <c r="T136" s="1220"/>
      <c r="U136" s="1220"/>
      <c r="V136" s="1220"/>
      <c r="W136" s="1220"/>
      <c r="X136" s="1220"/>
      <c r="Y136" s="1220"/>
    </row>
    <row r="137" spans="1:25" s="1187" customFormat="1" ht="12.75" customHeight="1" x14ac:dyDescent="0.2">
      <c r="A137" s="1194" t="s">
        <v>1238</v>
      </c>
      <c r="B137" s="1195"/>
      <c r="C137" s="1221"/>
      <c r="D137" s="1222"/>
      <c r="E137" s="1219"/>
      <c r="F137" s="1190"/>
      <c r="G137" s="1190"/>
      <c r="H137" s="1190"/>
      <c r="I137" s="696"/>
      <c r="J137" s="696"/>
      <c r="K137" s="696"/>
      <c r="L137" s="696"/>
      <c r="M137" s="696"/>
      <c r="N137" s="696"/>
      <c r="O137" s="696"/>
      <c r="P137" s="1191"/>
      <c r="Q137" s="1190"/>
      <c r="R137" s="1220"/>
      <c r="S137" s="1220"/>
      <c r="T137" s="1220"/>
      <c r="U137" s="1220"/>
      <c r="V137" s="1220"/>
      <c r="W137" s="1220"/>
      <c r="X137" s="1220"/>
      <c r="Y137" s="1220"/>
    </row>
    <row r="138" spans="1:25" s="1187" customFormat="1" ht="12.75" customHeight="1" x14ac:dyDescent="0.2">
      <c r="A138" s="1194" t="s">
        <v>1244</v>
      </c>
      <c r="B138" s="1195"/>
      <c r="C138" s="1221"/>
      <c r="D138" s="1222"/>
      <c r="E138" s="1219"/>
      <c r="F138" s="1190"/>
      <c r="G138" s="1190"/>
      <c r="H138" s="1190"/>
      <c r="I138" s="696"/>
      <c r="J138" s="696"/>
      <c r="K138" s="696"/>
      <c r="L138" s="696"/>
      <c r="M138" s="696"/>
      <c r="N138" s="696"/>
      <c r="O138" s="696"/>
      <c r="P138" s="1191"/>
      <c r="Q138" s="1190"/>
      <c r="R138" s="1220"/>
      <c r="S138" s="1220"/>
      <c r="T138" s="1220"/>
      <c r="U138" s="1220"/>
      <c r="V138" s="1220"/>
      <c r="W138" s="1220"/>
      <c r="X138" s="1220"/>
      <c r="Y138" s="1220"/>
    </row>
    <row r="139" spans="1:25" s="1187" customFormat="1" ht="12.75" customHeight="1" x14ac:dyDescent="0.2">
      <c r="A139" s="1194" t="s">
        <v>1239</v>
      </c>
      <c r="B139" s="1195"/>
      <c r="C139" s="1221"/>
      <c r="D139" s="1222"/>
      <c r="E139" s="1219"/>
      <c r="F139" s="1190"/>
      <c r="G139" s="1190"/>
      <c r="H139" s="1190"/>
      <c r="I139" s="696"/>
      <c r="J139" s="696"/>
      <c r="K139" s="696"/>
      <c r="L139" s="696"/>
      <c r="M139" s="696"/>
      <c r="N139" s="696"/>
      <c r="O139" s="696"/>
      <c r="P139" s="1191"/>
      <c r="Q139" s="1190"/>
      <c r="R139" s="1220"/>
      <c r="S139" s="1220"/>
      <c r="T139" s="1220"/>
      <c r="U139" s="1220"/>
      <c r="V139" s="1220"/>
      <c r="W139" s="1220"/>
      <c r="X139" s="1220"/>
      <c r="Y139" s="1220"/>
    </row>
    <row r="140" spans="1:25" s="1187" customFormat="1" ht="12.75" customHeight="1" x14ac:dyDescent="0.2">
      <c r="A140" s="1194" t="s">
        <v>1245</v>
      </c>
      <c r="B140" s="1195"/>
      <c r="C140" s="1221"/>
      <c r="D140" s="1222"/>
      <c r="E140" s="1219"/>
      <c r="F140" s="1190"/>
      <c r="G140" s="1190"/>
      <c r="H140" s="1190"/>
      <c r="I140" s="696"/>
      <c r="J140" s="696"/>
      <c r="K140" s="696"/>
      <c r="L140" s="696"/>
      <c r="M140" s="696"/>
      <c r="N140" s="696"/>
      <c r="O140" s="696"/>
      <c r="P140" s="1191"/>
      <c r="Q140" s="1190"/>
      <c r="R140" s="1220"/>
      <c r="S140" s="1220"/>
      <c r="T140" s="1220"/>
      <c r="U140" s="1220"/>
      <c r="V140" s="1220"/>
      <c r="W140" s="1220"/>
      <c r="X140" s="1220"/>
      <c r="Y140" s="1220"/>
    </row>
    <row r="141" spans="1:25" s="254" customFormat="1" ht="12.75" customHeight="1" x14ac:dyDescent="0.2">
      <c r="C141" s="928"/>
      <c r="D141" s="928"/>
      <c r="E141" s="928"/>
      <c r="F141" s="970"/>
      <c r="G141" s="940"/>
      <c r="P141" s="941"/>
    </row>
    <row r="142" spans="1:25" s="254" customFormat="1" ht="12.75" customHeight="1" x14ac:dyDescent="0.2">
      <c r="E142" s="928"/>
      <c r="F142" s="970"/>
      <c r="G142" s="940"/>
      <c r="P142" s="941"/>
    </row>
    <row r="143" spans="1:25" s="254" customFormat="1" ht="12.75" customHeight="1" x14ac:dyDescent="0.25">
      <c r="A143" s="948"/>
      <c r="B143" s="285"/>
      <c r="C143" s="285"/>
      <c r="D143" s="285"/>
      <c r="E143" s="928"/>
      <c r="F143" s="970"/>
      <c r="G143" s="940"/>
      <c r="P143" s="941"/>
    </row>
    <row r="144" spans="1:25" s="254" customFormat="1" ht="12.75" customHeight="1" x14ac:dyDescent="0.2">
      <c r="E144" s="928"/>
      <c r="F144" s="970"/>
      <c r="G144" s="940"/>
      <c r="P144" s="941"/>
    </row>
    <row r="145" spans="1:25" s="285" customFormat="1" ht="12.75" customHeight="1" x14ac:dyDescent="0.25">
      <c r="A145" s="928"/>
      <c r="B145" s="928"/>
      <c r="C145" s="928"/>
      <c r="D145" s="928"/>
      <c r="E145" s="984"/>
      <c r="F145" s="970"/>
      <c r="G145" s="940"/>
      <c r="I145" s="254"/>
      <c r="J145" s="254"/>
      <c r="K145" s="254"/>
      <c r="L145" s="254"/>
      <c r="M145" s="254"/>
      <c r="N145" s="254"/>
      <c r="O145" s="254"/>
      <c r="P145" s="941"/>
      <c r="Q145" s="254"/>
    </row>
    <row r="146" spans="1:25" s="254" customFormat="1" ht="12.75" customHeight="1" x14ac:dyDescent="0.2">
      <c r="A146" s="928"/>
      <c r="B146" s="928"/>
      <c r="C146" s="928"/>
      <c r="D146" s="928"/>
      <c r="E146" s="928"/>
      <c r="F146" s="970"/>
      <c r="G146" s="940"/>
      <c r="P146" s="941"/>
    </row>
    <row r="147" spans="1:25" s="254" customFormat="1" ht="12.75" customHeight="1" x14ac:dyDescent="0.2">
      <c r="A147" s="928"/>
      <c r="B147" s="928"/>
      <c r="C147" s="928"/>
      <c r="D147" s="928"/>
      <c r="E147" s="928"/>
      <c r="F147" s="970"/>
      <c r="G147" s="940"/>
      <c r="P147" s="941"/>
    </row>
    <row r="148" spans="1:25" s="254" customFormat="1" ht="12.75" customHeight="1" x14ac:dyDescent="0.2">
      <c r="A148" s="985"/>
      <c r="B148" s="928"/>
      <c r="C148" s="928"/>
      <c r="D148" s="928"/>
      <c r="E148" s="928"/>
      <c r="P148" s="941"/>
    </row>
    <row r="149" spans="1:25" s="254" customFormat="1" ht="12.75" customHeight="1" x14ac:dyDescent="0.2">
      <c r="A149" s="986"/>
      <c r="B149" s="928"/>
      <c r="C149" s="928"/>
      <c r="D149" s="928"/>
      <c r="E149" s="928"/>
      <c r="P149" s="941"/>
    </row>
    <row r="150" spans="1:25" s="254" customFormat="1" ht="12.75" customHeight="1" x14ac:dyDescent="0.2">
      <c r="A150" s="986"/>
      <c r="B150" s="928"/>
      <c r="C150" s="928"/>
      <c r="D150" s="928"/>
      <c r="E150" s="928"/>
      <c r="P150" s="941"/>
    </row>
    <row r="151" spans="1:25" s="254" customFormat="1" ht="12.75" customHeight="1" x14ac:dyDescent="0.2">
      <c r="A151" s="986"/>
      <c r="B151" s="928"/>
      <c r="C151" s="928"/>
      <c r="D151" s="928"/>
      <c r="E151" s="928"/>
      <c r="P151" s="941"/>
    </row>
    <row r="152" spans="1:25" ht="12.75" customHeight="1" x14ac:dyDescent="0.2">
      <c r="A152" s="986"/>
      <c r="E152" s="987"/>
      <c r="P152" s="941"/>
      <c r="R152" s="988"/>
      <c r="S152" s="988"/>
      <c r="T152" s="988"/>
      <c r="U152" s="988"/>
      <c r="V152" s="988"/>
      <c r="W152" s="988"/>
      <c r="X152" s="988"/>
      <c r="Y152" s="988"/>
    </row>
    <row r="153" spans="1:25" ht="12.75" customHeight="1" x14ac:dyDescent="0.2">
      <c r="A153" s="989"/>
      <c r="B153" s="987"/>
      <c r="C153" s="987"/>
      <c r="D153" s="987"/>
      <c r="E153" s="987"/>
      <c r="P153" s="941"/>
      <c r="R153" s="988"/>
      <c r="S153" s="988"/>
      <c r="T153" s="988"/>
      <c r="U153" s="988"/>
      <c r="V153" s="988"/>
      <c r="W153" s="988"/>
      <c r="X153" s="988"/>
      <c r="Y153" s="988"/>
    </row>
    <row r="154" spans="1:25" ht="12.75" customHeight="1" x14ac:dyDescent="0.2">
      <c r="A154" s="989"/>
      <c r="B154" s="987"/>
      <c r="C154" s="987"/>
      <c r="D154" s="987"/>
      <c r="E154" s="987"/>
      <c r="P154" s="941"/>
      <c r="R154" s="988"/>
      <c r="S154" s="988"/>
      <c r="T154" s="988"/>
      <c r="U154" s="988"/>
      <c r="V154" s="988"/>
      <c r="W154" s="988"/>
      <c r="X154" s="988"/>
      <c r="Y154" s="988"/>
    </row>
    <row r="155" spans="1:25" ht="12.75" customHeight="1" x14ac:dyDescent="0.2">
      <c r="A155" s="989"/>
      <c r="B155" s="987"/>
      <c r="C155" s="987"/>
      <c r="D155" s="987"/>
      <c r="E155" s="987"/>
      <c r="P155" s="941"/>
      <c r="R155" s="988"/>
      <c r="S155" s="988"/>
      <c r="T155" s="988"/>
      <c r="U155" s="988"/>
      <c r="V155" s="988"/>
      <c r="W155" s="988"/>
      <c r="X155" s="988"/>
      <c r="Y155" s="988"/>
    </row>
    <row r="156" spans="1:25" ht="12.75" customHeight="1" x14ac:dyDescent="0.2">
      <c r="A156" s="989"/>
      <c r="B156" s="987"/>
      <c r="C156" s="987"/>
      <c r="D156" s="987"/>
      <c r="E156" s="987"/>
      <c r="P156" s="941"/>
      <c r="R156" s="988"/>
      <c r="S156" s="988"/>
      <c r="T156" s="988"/>
      <c r="U156" s="988"/>
      <c r="V156" s="988"/>
      <c r="W156" s="988"/>
      <c r="X156" s="988"/>
      <c r="Y156" s="988"/>
    </row>
    <row r="157" spans="1:25" ht="12.75" customHeight="1" x14ac:dyDescent="0.2">
      <c r="A157" s="989"/>
      <c r="B157" s="987"/>
      <c r="C157" s="987"/>
      <c r="D157" s="987"/>
      <c r="E157" s="987"/>
      <c r="P157" s="941"/>
      <c r="R157" s="988"/>
      <c r="S157" s="988"/>
      <c r="T157" s="988"/>
      <c r="U157" s="988"/>
      <c r="V157" s="988"/>
      <c r="W157" s="988"/>
      <c r="X157" s="988"/>
      <c r="Y157" s="988"/>
    </row>
    <row r="158" spans="1:25" ht="12.75" customHeight="1" x14ac:dyDescent="0.2">
      <c r="A158" s="989"/>
      <c r="B158" s="987"/>
      <c r="C158" s="987"/>
      <c r="D158" s="987"/>
      <c r="E158" s="987"/>
      <c r="P158" s="941"/>
      <c r="R158" s="988"/>
      <c r="S158" s="988"/>
      <c r="T158" s="988"/>
      <c r="U158" s="988"/>
      <c r="V158" s="988"/>
      <c r="W158" s="988"/>
      <c r="X158" s="988"/>
      <c r="Y158" s="988"/>
    </row>
    <row r="159" spans="1:25" ht="12.75" customHeight="1" x14ac:dyDescent="0.2">
      <c r="A159" s="989"/>
      <c r="B159" s="987"/>
      <c r="C159" s="987"/>
      <c r="D159" s="987"/>
      <c r="E159" s="987"/>
      <c r="P159" s="941"/>
      <c r="R159" s="988"/>
      <c r="S159" s="988"/>
      <c r="T159" s="988"/>
      <c r="U159" s="988"/>
      <c r="V159" s="988"/>
      <c r="W159" s="988"/>
      <c r="X159" s="988"/>
      <c r="Y159" s="988"/>
    </row>
    <row r="160" spans="1:25" ht="12.75" customHeight="1" x14ac:dyDescent="0.2">
      <c r="A160" s="989"/>
      <c r="B160" s="987"/>
      <c r="C160" s="987"/>
      <c r="D160" s="987"/>
      <c r="E160" s="987"/>
      <c r="P160" s="941"/>
      <c r="R160" s="988"/>
      <c r="S160" s="988"/>
      <c r="T160" s="988"/>
      <c r="U160" s="988"/>
      <c r="V160" s="988"/>
      <c r="W160" s="988"/>
      <c r="X160" s="988"/>
      <c r="Y160" s="988"/>
    </row>
    <row r="161" spans="1:25" ht="12.75" customHeight="1" x14ac:dyDescent="0.2">
      <c r="A161" s="989"/>
      <c r="B161" s="987"/>
      <c r="C161" s="987"/>
      <c r="D161" s="987"/>
      <c r="E161" s="987"/>
      <c r="P161" s="941"/>
      <c r="R161" s="988"/>
      <c r="S161" s="988"/>
      <c r="T161" s="988"/>
      <c r="U161" s="988"/>
      <c r="V161" s="988"/>
      <c r="W161" s="988"/>
      <c r="X161" s="988"/>
      <c r="Y161" s="988"/>
    </row>
    <row r="162" spans="1:25" ht="12.75" customHeight="1" x14ac:dyDescent="0.2">
      <c r="A162" s="989"/>
      <c r="B162" s="987"/>
      <c r="C162" s="987"/>
      <c r="D162" s="987"/>
      <c r="E162" s="987"/>
      <c r="P162" s="941"/>
      <c r="R162" s="988"/>
      <c r="S162" s="988"/>
      <c r="T162" s="988"/>
      <c r="U162" s="988"/>
      <c r="V162" s="988"/>
      <c r="W162" s="988"/>
      <c r="X162" s="988"/>
      <c r="Y162" s="988"/>
    </row>
    <row r="163" spans="1:25" ht="12.75" customHeight="1" x14ac:dyDescent="0.2">
      <c r="A163" s="989"/>
      <c r="B163" s="987"/>
      <c r="C163" s="987"/>
      <c r="D163" s="987"/>
      <c r="E163" s="987"/>
      <c r="P163" s="941"/>
      <c r="R163" s="988"/>
      <c r="S163" s="988"/>
      <c r="T163" s="988"/>
      <c r="U163" s="988"/>
      <c r="V163" s="988"/>
      <c r="W163" s="988"/>
      <c r="X163" s="988"/>
      <c r="Y163" s="988"/>
    </row>
    <row r="164" spans="1:25" ht="12.75" customHeight="1" x14ac:dyDescent="0.2">
      <c r="A164" s="989"/>
      <c r="B164" s="987"/>
      <c r="C164" s="987"/>
      <c r="D164" s="987"/>
      <c r="E164" s="987"/>
      <c r="P164" s="941"/>
      <c r="R164" s="988"/>
      <c r="S164" s="988"/>
      <c r="T164" s="988"/>
      <c r="U164" s="988"/>
      <c r="V164" s="988"/>
      <c r="W164" s="988"/>
      <c r="X164" s="988"/>
      <c r="Y164" s="988"/>
    </row>
    <row r="165" spans="1:25" ht="12.75" customHeight="1" x14ac:dyDescent="0.2">
      <c r="A165" s="989"/>
      <c r="B165" s="987"/>
      <c r="C165" s="987"/>
      <c r="D165" s="987"/>
      <c r="E165" s="987"/>
      <c r="P165" s="941"/>
      <c r="R165" s="988"/>
      <c r="S165" s="988"/>
      <c r="T165" s="988"/>
      <c r="U165" s="988"/>
      <c r="V165" s="988"/>
      <c r="W165" s="988"/>
      <c r="X165" s="988"/>
      <c r="Y165" s="988"/>
    </row>
    <row r="166" spans="1:25" ht="12.75" customHeight="1" x14ac:dyDescent="0.2">
      <c r="A166" s="989"/>
      <c r="B166" s="987"/>
      <c r="C166" s="987"/>
      <c r="D166" s="987"/>
      <c r="E166" s="987"/>
      <c r="P166" s="941"/>
      <c r="R166" s="988"/>
      <c r="S166" s="988"/>
      <c r="T166" s="988"/>
      <c r="U166" s="988"/>
      <c r="V166" s="988"/>
      <c r="W166" s="988"/>
      <c r="X166" s="988"/>
      <c r="Y166" s="988"/>
    </row>
    <row r="167" spans="1:25" ht="12.75" customHeight="1" x14ac:dyDescent="0.2">
      <c r="A167" s="989"/>
      <c r="B167" s="987"/>
      <c r="C167" s="987"/>
      <c r="D167" s="987"/>
      <c r="E167" s="987"/>
      <c r="P167" s="941"/>
      <c r="R167" s="988"/>
      <c r="S167" s="988"/>
      <c r="T167" s="988"/>
      <c r="U167" s="988"/>
      <c r="V167" s="988"/>
      <c r="W167" s="988"/>
      <c r="X167" s="988"/>
      <c r="Y167" s="988"/>
    </row>
    <row r="168" spans="1:25" ht="12.75" customHeight="1" x14ac:dyDescent="0.2">
      <c r="A168" s="989"/>
      <c r="B168" s="987"/>
      <c r="C168" s="987"/>
      <c r="D168" s="987"/>
      <c r="E168" s="987"/>
      <c r="P168" s="941"/>
      <c r="R168" s="988"/>
      <c r="S168" s="988"/>
      <c r="T168" s="988"/>
      <c r="U168" s="988"/>
      <c r="V168" s="988"/>
      <c r="W168" s="988"/>
      <c r="X168" s="988"/>
      <c r="Y168" s="988"/>
    </row>
    <row r="169" spans="1:25" ht="12.75" customHeight="1" x14ac:dyDescent="0.2">
      <c r="A169" s="989"/>
      <c r="B169" s="987"/>
      <c r="C169" s="987"/>
      <c r="D169" s="987"/>
      <c r="E169" s="987"/>
      <c r="P169" s="941"/>
      <c r="R169" s="988"/>
      <c r="S169" s="988"/>
      <c r="T169" s="988"/>
      <c r="U169" s="988"/>
      <c r="V169" s="988"/>
      <c r="W169" s="988"/>
      <c r="X169" s="988"/>
      <c r="Y169" s="988"/>
    </row>
    <row r="170" spans="1:25" ht="12.75" customHeight="1" x14ac:dyDescent="0.2">
      <c r="A170" s="989"/>
      <c r="B170" s="987"/>
      <c r="C170" s="987"/>
      <c r="D170" s="987"/>
      <c r="E170" s="987"/>
      <c r="P170" s="941"/>
      <c r="R170" s="988"/>
      <c r="S170" s="988"/>
      <c r="T170" s="988"/>
      <c r="U170" s="988"/>
      <c r="V170" s="988"/>
      <c r="W170" s="988"/>
      <c r="X170" s="988"/>
      <c r="Y170" s="988"/>
    </row>
    <row r="171" spans="1:25" ht="12.75" customHeight="1" x14ac:dyDescent="0.2">
      <c r="A171" s="989"/>
      <c r="B171" s="987"/>
      <c r="C171" s="987"/>
      <c r="D171" s="987"/>
      <c r="E171" s="987"/>
      <c r="P171" s="941"/>
      <c r="R171" s="988"/>
      <c r="S171" s="988"/>
      <c r="T171" s="988"/>
      <c r="U171" s="988"/>
      <c r="V171" s="988"/>
      <c r="W171" s="988"/>
      <c r="X171" s="988"/>
      <c r="Y171" s="988"/>
    </row>
    <row r="172" spans="1:25" ht="12.75" customHeight="1" x14ac:dyDescent="0.2">
      <c r="A172" s="989"/>
      <c r="B172" s="987"/>
      <c r="C172" s="987"/>
      <c r="D172" s="987"/>
      <c r="E172" s="987"/>
      <c r="P172" s="941"/>
      <c r="R172" s="988"/>
      <c r="S172" s="988"/>
      <c r="T172" s="988"/>
      <c r="U172" s="988"/>
      <c r="V172" s="988"/>
      <c r="W172" s="988"/>
      <c r="X172" s="988"/>
      <c r="Y172" s="988"/>
    </row>
    <row r="173" spans="1:25" ht="12.75" customHeight="1" x14ac:dyDescent="0.2">
      <c r="A173" s="989"/>
      <c r="B173" s="987"/>
      <c r="C173" s="987"/>
      <c r="D173" s="987"/>
      <c r="E173" s="987"/>
      <c r="P173" s="941"/>
      <c r="R173" s="988"/>
      <c r="S173" s="988"/>
      <c r="T173" s="988"/>
      <c r="U173" s="988"/>
      <c r="V173" s="988"/>
      <c r="W173" s="988"/>
      <c r="X173" s="988"/>
      <c r="Y173" s="988"/>
    </row>
    <row r="174" spans="1:25" ht="12.75" customHeight="1" x14ac:dyDescent="0.2">
      <c r="A174" s="989"/>
      <c r="B174" s="987"/>
      <c r="C174" s="987"/>
      <c r="D174" s="987"/>
      <c r="E174" s="987"/>
      <c r="P174" s="941"/>
      <c r="R174" s="988"/>
      <c r="S174" s="988"/>
      <c r="T174" s="988"/>
      <c r="U174" s="988"/>
      <c r="V174" s="988"/>
      <c r="W174" s="988"/>
      <c r="X174" s="988"/>
      <c r="Y174" s="988"/>
    </row>
    <row r="175" spans="1:25" ht="12.75" customHeight="1" x14ac:dyDescent="0.2">
      <c r="A175" s="987"/>
      <c r="B175" s="987"/>
      <c r="C175" s="987"/>
      <c r="D175" s="987"/>
      <c r="E175" s="987"/>
      <c r="P175" s="941"/>
      <c r="R175" s="988"/>
      <c r="S175" s="988"/>
      <c r="T175" s="988"/>
      <c r="U175" s="988"/>
      <c r="V175" s="988"/>
      <c r="W175" s="988"/>
      <c r="X175" s="988"/>
      <c r="Y175" s="988"/>
    </row>
    <row r="176" spans="1:25" ht="12.75" customHeight="1" x14ac:dyDescent="0.2">
      <c r="A176" s="987"/>
      <c r="B176" s="987"/>
      <c r="C176" s="987"/>
      <c r="D176" s="987"/>
      <c r="E176" s="987"/>
      <c r="P176" s="941"/>
      <c r="R176" s="988"/>
      <c r="S176" s="988"/>
      <c r="T176" s="988"/>
      <c r="U176" s="988"/>
      <c r="V176" s="988"/>
      <c r="W176" s="988"/>
      <c r="X176" s="988"/>
      <c r="Y176" s="988"/>
    </row>
    <row r="177" spans="1:25" ht="12.75" customHeight="1" x14ac:dyDescent="0.2">
      <c r="A177" s="987"/>
      <c r="B177" s="987"/>
      <c r="C177" s="987"/>
      <c r="D177" s="987"/>
      <c r="E177" s="987"/>
      <c r="P177" s="941"/>
      <c r="R177" s="988"/>
      <c r="S177" s="988"/>
      <c r="T177" s="988"/>
      <c r="U177" s="988"/>
      <c r="V177" s="988"/>
      <c r="W177" s="988"/>
      <c r="X177" s="988"/>
      <c r="Y177" s="988"/>
    </row>
    <row r="178" spans="1:25" ht="12.75" customHeight="1" x14ac:dyDescent="0.2">
      <c r="A178" s="987"/>
      <c r="B178" s="987"/>
      <c r="C178" s="987"/>
      <c r="D178" s="987"/>
      <c r="E178" s="987"/>
      <c r="P178" s="941"/>
      <c r="R178" s="988"/>
      <c r="S178" s="988"/>
      <c r="T178" s="988"/>
      <c r="U178" s="988"/>
      <c r="V178" s="988"/>
      <c r="W178" s="988"/>
      <c r="X178" s="988"/>
      <c r="Y178" s="988"/>
    </row>
    <row r="179" spans="1:25" ht="12.75" customHeight="1" x14ac:dyDescent="0.2">
      <c r="A179" s="987"/>
      <c r="B179" s="987"/>
      <c r="C179" s="987"/>
      <c r="D179" s="987"/>
      <c r="E179" s="987"/>
      <c r="P179" s="941"/>
      <c r="R179" s="988"/>
      <c r="S179" s="988"/>
      <c r="T179" s="988"/>
      <c r="U179" s="988"/>
      <c r="V179" s="988"/>
      <c r="W179" s="988"/>
      <c r="X179" s="988"/>
      <c r="Y179" s="988"/>
    </row>
    <row r="180" spans="1:25" ht="12.75" customHeight="1" x14ac:dyDescent="0.2">
      <c r="A180" s="987"/>
      <c r="B180" s="987"/>
      <c r="C180" s="987"/>
      <c r="D180" s="987"/>
      <c r="E180" s="987"/>
      <c r="P180" s="941"/>
      <c r="R180" s="988"/>
      <c r="S180" s="988"/>
      <c r="T180" s="988"/>
      <c r="U180" s="988"/>
      <c r="V180" s="988"/>
      <c r="W180" s="988"/>
      <c r="X180" s="988"/>
      <c r="Y180" s="988"/>
    </row>
    <row r="181" spans="1:25" ht="12.75" customHeight="1" x14ac:dyDescent="0.2">
      <c r="A181" s="987"/>
      <c r="B181" s="987"/>
      <c r="C181" s="987"/>
      <c r="D181" s="987"/>
      <c r="E181" s="987"/>
      <c r="P181" s="941"/>
      <c r="R181" s="988"/>
      <c r="S181" s="988"/>
      <c r="T181" s="988"/>
      <c r="U181" s="988"/>
      <c r="V181" s="988"/>
      <c r="W181" s="988"/>
      <c r="X181" s="988"/>
      <c r="Y181" s="988"/>
    </row>
    <row r="182" spans="1:25" ht="12.75" customHeight="1" x14ac:dyDescent="0.2">
      <c r="A182" s="987"/>
      <c r="B182" s="987"/>
      <c r="C182" s="987"/>
      <c r="D182" s="987"/>
      <c r="E182" s="987"/>
      <c r="P182" s="941"/>
      <c r="R182" s="988"/>
      <c r="S182" s="988"/>
      <c r="T182" s="988"/>
      <c r="U182" s="988"/>
      <c r="V182" s="988"/>
      <c r="W182" s="988"/>
      <c r="X182" s="988"/>
      <c r="Y182" s="988"/>
    </row>
    <row r="183" spans="1:25" ht="12.75" customHeight="1" x14ac:dyDescent="0.2">
      <c r="A183" s="987"/>
      <c r="B183" s="987"/>
      <c r="C183" s="987"/>
      <c r="D183" s="987"/>
      <c r="E183" s="987"/>
      <c r="P183" s="941"/>
      <c r="R183" s="988"/>
      <c r="S183" s="988"/>
      <c r="T183" s="988"/>
      <c r="U183" s="988"/>
      <c r="V183" s="988"/>
      <c r="W183" s="988"/>
      <c r="X183" s="988"/>
      <c r="Y183" s="988"/>
    </row>
    <row r="184" spans="1:25" x14ac:dyDescent="0.2">
      <c r="A184" s="987"/>
      <c r="B184" s="987"/>
      <c r="C184" s="987"/>
      <c r="D184" s="987"/>
      <c r="E184" s="987"/>
      <c r="P184" s="941"/>
      <c r="R184" s="988"/>
      <c r="S184" s="988"/>
      <c r="T184" s="988"/>
      <c r="U184" s="988"/>
      <c r="V184" s="988"/>
      <c r="W184" s="988"/>
      <c r="X184" s="988"/>
      <c r="Y184" s="988"/>
    </row>
    <row r="185" spans="1:25" x14ac:dyDescent="0.2">
      <c r="A185" s="987"/>
      <c r="B185" s="987"/>
      <c r="C185" s="987"/>
      <c r="D185" s="987"/>
      <c r="E185" s="987"/>
      <c r="P185" s="941"/>
      <c r="R185" s="988"/>
      <c r="S185" s="988"/>
      <c r="T185" s="988"/>
      <c r="U185" s="988"/>
      <c r="V185" s="988"/>
      <c r="W185" s="988"/>
      <c r="X185" s="988"/>
      <c r="Y185" s="988"/>
    </row>
    <row r="186" spans="1:25" x14ac:dyDescent="0.2">
      <c r="A186" s="987"/>
      <c r="B186" s="987"/>
      <c r="C186" s="987"/>
      <c r="D186" s="987"/>
      <c r="E186" s="987"/>
      <c r="P186" s="941"/>
      <c r="R186" s="988"/>
      <c r="S186" s="988"/>
      <c r="T186" s="988"/>
      <c r="U186" s="988"/>
      <c r="V186" s="988"/>
      <c r="W186" s="988"/>
      <c r="X186" s="988"/>
      <c r="Y186" s="988"/>
    </row>
    <row r="187" spans="1:25" x14ac:dyDescent="0.2">
      <c r="A187" s="987"/>
      <c r="B187" s="987"/>
      <c r="C187" s="987"/>
      <c r="D187" s="987"/>
      <c r="E187" s="987"/>
      <c r="P187" s="941"/>
      <c r="R187" s="988"/>
      <c r="S187" s="988"/>
      <c r="T187" s="988"/>
      <c r="U187" s="988"/>
      <c r="V187" s="988"/>
      <c r="W187" s="988"/>
      <c r="X187" s="988"/>
      <c r="Y187" s="988"/>
    </row>
    <row r="188" spans="1:25" x14ac:dyDescent="0.2">
      <c r="A188" s="987"/>
      <c r="B188" s="987"/>
      <c r="C188" s="987"/>
      <c r="D188" s="987"/>
      <c r="E188" s="987"/>
      <c r="P188" s="941"/>
      <c r="R188" s="988"/>
      <c r="S188" s="988"/>
      <c r="T188" s="988"/>
      <c r="U188" s="988"/>
      <c r="V188" s="988"/>
      <c r="W188" s="988"/>
      <c r="X188" s="988"/>
      <c r="Y188" s="988"/>
    </row>
    <row r="189" spans="1:25" x14ac:dyDescent="0.2">
      <c r="A189" s="987"/>
      <c r="B189" s="987"/>
      <c r="C189" s="987"/>
      <c r="D189" s="987"/>
      <c r="E189" s="987"/>
      <c r="P189" s="941"/>
      <c r="R189" s="988"/>
      <c r="S189" s="988"/>
      <c r="T189" s="988"/>
      <c r="U189" s="988"/>
      <c r="V189" s="988"/>
      <c r="W189" s="988"/>
      <c r="X189" s="988"/>
      <c r="Y189" s="988"/>
    </row>
    <row r="190" spans="1:25" x14ac:dyDescent="0.2">
      <c r="A190" s="987"/>
      <c r="B190" s="987"/>
      <c r="C190" s="987"/>
      <c r="D190" s="987"/>
      <c r="E190" s="987"/>
      <c r="P190" s="941"/>
      <c r="R190" s="988"/>
      <c r="S190" s="988"/>
      <c r="T190" s="988"/>
      <c r="U190" s="988"/>
      <c r="V190" s="988"/>
      <c r="W190" s="988"/>
      <c r="X190" s="988"/>
      <c r="Y190" s="988"/>
    </row>
    <row r="191" spans="1:25" x14ac:dyDescent="0.2">
      <c r="A191" s="987"/>
      <c r="B191" s="987"/>
      <c r="C191" s="987"/>
      <c r="D191" s="987"/>
      <c r="E191" s="987"/>
      <c r="P191" s="941"/>
      <c r="R191" s="988"/>
      <c r="S191" s="988"/>
      <c r="T191" s="988"/>
      <c r="U191" s="988"/>
      <c r="V191" s="988"/>
      <c r="W191" s="988"/>
      <c r="X191" s="988"/>
      <c r="Y191" s="988"/>
    </row>
    <row r="192" spans="1:25" x14ac:dyDescent="0.2">
      <c r="A192" s="987"/>
      <c r="B192" s="987"/>
      <c r="C192" s="987"/>
      <c r="D192" s="987"/>
      <c r="E192" s="987"/>
      <c r="P192" s="941"/>
      <c r="R192" s="988"/>
      <c r="S192" s="988"/>
      <c r="T192" s="988"/>
      <c r="U192" s="988"/>
      <c r="V192" s="988"/>
      <c r="W192" s="988"/>
      <c r="X192" s="988"/>
      <c r="Y192" s="988"/>
    </row>
    <row r="193" spans="1:25" x14ac:dyDescent="0.2">
      <c r="A193" s="987"/>
      <c r="B193" s="987"/>
      <c r="C193" s="987"/>
      <c r="D193" s="987"/>
      <c r="E193" s="987"/>
      <c r="P193" s="941"/>
      <c r="R193" s="988"/>
      <c r="S193" s="988"/>
      <c r="T193" s="988"/>
      <c r="U193" s="988"/>
      <c r="V193" s="988"/>
      <c r="W193" s="988"/>
      <c r="X193" s="988"/>
      <c r="Y193" s="988"/>
    </row>
    <row r="194" spans="1:25" x14ac:dyDescent="0.2">
      <c r="A194" s="987"/>
      <c r="B194" s="987"/>
      <c r="C194" s="987"/>
      <c r="D194" s="987"/>
      <c r="E194" s="987"/>
      <c r="P194" s="941"/>
      <c r="R194" s="988"/>
      <c r="S194" s="988"/>
      <c r="T194" s="988"/>
      <c r="U194" s="988"/>
      <c r="V194" s="988"/>
      <c r="W194" s="988"/>
      <c r="X194" s="988"/>
      <c r="Y194" s="988"/>
    </row>
    <row r="195" spans="1:25" x14ac:dyDescent="0.2">
      <c r="A195" s="987"/>
      <c r="B195" s="987"/>
      <c r="C195" s="987"/>
      <c r="D195" s="987"/>
      <c r="E195" s="987"/>
      <c r="P195" s="941"/>
      <c r="R195" s="988"/>
      <c r="S195" s="988"/>
      <c r="T195" s="988"/>
      <c r="U195" s="988"/>
      <c r="V195" s="988"/>
      <c r="W195" s="988"/>
      <c r="X195" s="988"/>
      <c r="Y195" s="988"/>
    </row>
    <row r="196" spans="1:25" x14ac:dyDescent="0.2">
      <c r="A196" s="987"/>
      <c r="B196" s="987"/>
      <c r="C196" s="987"/>
      <c r="D196" s="987"/>
      <c r="E196" s="987"/>
      <c r="P196" s="941"/>
      <c r="R196" s="988"/>
      <c r="S196" s="988"/>
      <c r="T196" s="988"/>
      <c r="U196" s="988"/>
      <c r="V196" s="988"/>
      <c r="W196" s="988"/>
      <c r="X196" s="988"/>
      <c r="Y196" s="988"/>
    </row>
    <row r="197" spans="1:25" x14ac:dyDescent="0.2">
      <c r="A197" s="987"/>
      <c r="B197" s="987"/>
      <c r="C197" s="987"/>
      <c r="D197" s="987"/>
      <c r="E197" s="987"/>
      <c r="P197" s="941"/>
      <c r="R197" s="988"/>
      <c r="S197" s="988"/>
      <c r="T197" s="988"/>
      <c r="U197" s="988"/>
      <c r="V197" s="988"/>
      <c r="W197" s="988"/>
      <c r="X197" s="988"/>
      <c r="Y197" s="988"/>
    </row>
    <row r="198" spans="1:25" x14ac:dyDescent="0.2">
      <c r="A198" s="987"/>
      <c r="B198" s="987"/>
      <c r="C198" s="987"/>
      <c r="D198" s="987"/>
      <c r="E198" s="987"/>
      <c r="P198" s="941"/>
      <c r="R198" s="988"/>
      <c r="S198" s="988"/>
      <c r="T198" s="988"/>
      <c r="U198" s="988"/>
      <c r="V198" s="988"/>
      <c r="W198" s="988"/>
      <c r="X198" s="988"/>
      <c r="Y198" s="988"/>
    </row>
    <row r="199" spans="1:25" x14ac:dyDescent="0.2">
      <c r="A199" s="987"/>
      <c r="B199" s="987"/>
      <c r="C199" s="987"/>
      <c r="D199" s="987"/>
      <c r="E199" s="987"/>
      <c r="P199" s="941"/>
      <c r="R199" s="988"/>
      <c r="S199" s="988"/>
      <c r="T199" s="988"/>
      <c r="U199" s="988"/>
      <c r="V199" s="988"/>
      <c r="W199" s="988"/>
      <c r="X199" s="988"/>
      <c r="Y199" s="988"/>
    </row>
    <row r="200" spans="1:25" x14ac:dyDescent="0.2">
      <c r="A200" s="987"/>
      <c r="B200" s="987"/>
      <c r="C200" s="987"/>
      <c r="D200" s="987"/>
      <c r="E200" s="987"/>
      <c r="P200" s="941"/>
      <c r="R200" s="988"/>
      <c r="S200" s="988"/>
      <c r="T200" s="988"/>
      <c r="U200" s="988"/>
      <c r="V200" s="988"/>
      <c r="W200" s="988"/>
      <c r="X200" s="988"/>
      <c r="Y200" s="988"/>
    </row>
    <row r="201" spans="1:25" x14ac:dyDescent="0.2">
      <c r="A201" s="987"/>
      <c r="B201" s="987"/>
      <c r="C201" s="987"/>
      <c r="D201" s="987"/>
      <c r="E201" s="987"/>
      <c r="P201" s="941"/>
      <c r="R201" s="988"/>
      <c r="S201" s="988"/>
      <c r="T201" s="988"/>
      <c r="U201" s="988"/>
      <c r="V201" s="988"/>
      <c r="W201" s="988"/>
      <c r="X201" s="988"/>
      <c r="Y201" s="988"/>
    </row>
    <row r="202" spans="1:25" x14ac:dyDescent="0.2">
      <c r="A202" s="987"/>
      <c r="B202" s="987"/>
      <c r="C202" s="987"/>
      <c r="D202" s="987"/>
      <c r="E202" s="987"/>
      <c r="P202" s="941"/>
      <c r="R202" s="988"/>
      <c r="S202" s="988"/>
      <c r="T202" s="988"/>
      <c r="U202" s="988"/>
      <c r="V202" s="988"/>
      <c r="W202" s="988"/>
      <c r="X202" s="988"/>
      <c r="Y202" s="988"/>
    </row>
    <row r="203" spans="1:25" x14ac:dyDescent="0.2">
      <c r="A203" s="987"/>
      <c r="B203" s="987"/>
      <c r="C203" s="987"/>
      <c r="D203" s="987"/>
      <c r="E203" s="987"/>
      <c r="P203" s="941"/>
      <c r="R203" s="988"/>
      <c r="S203" s="988"/>
      <c r="T203" s="988"/>
      <c r="U203" s="988"/>
      <c r="V203" s="988"/>
      <c r="W203" s="988"/>
      <c r="X203" s="988"/>
      <c r="Y203" s="988"/>
    </row>
    <row r="204" spans="1:25" x14ac:dyDescent="0.2">
      <c r="A204" s="987"/>
      <c r="B204" s="987"/>
      <c r="C204" s="987"/>
      <c r="D204" s="987"/>
      <c r="E204" s="987"/>
      <c r="P204" s="941"/>
      <c r="R204" s="988"/>
      <c r="S204" s="988"/>
      <c r="T204" s="988"/>
      <c r="U204" s="988"/>
      <c r="V204" s="988"/>
      <c r="W204" s="988"/>
      <c r="X204" s="988"/>
      <c r="Y204" s="988"/>
    </row>
    <row r="205" spans="1:25" x14ac:dyDescent="0.2">
      <c r="A205" s="987"/>
      <c r="B205" s="987"/>
      <c r="C205" s="987"/>
      <c r="D205" s="987"/>
      <c r="E205" s="987"/>
      <c r="P205" s="941"/>
      <c r="R205" s="988"/>
      <c r="S205" s="988"/>
      <c r="T205" s="988"/>
      <c r="U205" s="988"/>
      <c r="V205" s="988"/>
      <c r="W205" s="988"/>
      <c r="X205" s="988"/>
      <c r="Y205" s="988"/>
    </row>
    <row r="206" spans="1:25" x14ac:dyDescent="0.2">
      <c r="A206" s="987"/>
      <c r="B206" s="987"/>
      <c r="C206" s="987"/>
      <c r="D206" s="987"/>
      <c r="E206" s="987"/>
      <c r="P206" s="941"/>
      <c r="R206" s="988"/>
      <c r="S206" s="988"/>
      <c r="T206" s="988"/>
      <c r="U206" s="988"/>
      <c r="V206" s="988"/>
      <c r="W206" s="988"/>
      <c r="X206" s="988"/>
      <c r="Y206" s="988"/>
    </row>
    <row r="207" spans="1:25" x14ac:dyDescent="0.2">
      <c r="A207" s="987"/>
      <c r="B207" s="987"/>
      <c r="C207" s="987"/>
      <c r="D207" s="987"/>
      <c r="E207" s="987"/>
      <c r="P207" s="941"/>
      <c r="R207" s="988"/>
      <c r="S207" s="988"/>
      <c r="T207" s="988"/>
      <c r="U207" s="988"/>
      <c r="V207" s="988"/>
      <c r="W207" s="988"/>
      <c r="X207" s="988"/>
      <c r="Y207" s="988"/>
    </row>
    <row r="208" spans="1:25" x14ac:dyDescent="0.2">
      <c r="A208" s="987"/>
      <c r="B208" s="987"/>
      <c r="C208" s="987"/>
      <c r="D208" s="987"/>
      <c r="E208" s="987"/>
      <c r="P208" s="941"/>
      <c r="R208" s="988"/>
      <c r="S208" s="988"/>
      <c r="T208" s="988"/>
      <c r="U208" s="988"/>
      <c r="V208" s="988"/>
      <c r="W208" s="988"/>
      <c r="X208" s="988"/>
      <c r="Y208" s="988"/>
    </row>
    <row r="209" spans="1:25" x14ac:dyDescent="0.2">
      <c r="A209" s="987"/>
      <c r="B209" s="987"/>
      <c r="C209" s="987"/>
      <c r="D209" s="987"/>
      <c r="E209" s="987"/>
      <c r="P209" s="941"/>
      <c r="R209" s="988"/>
      <c r="S209" s="988"/>
      <c r="T209" s="988"/>
      <c r="U209" s="988"/>
      <c r="V209" s="988"/>
      <c r="W209" s="988"/>
      <c r="X209" s="988"/>
      <c r="Y209" s="988"/>
    </row>
    <row r="210" spans="1:25" x14ac:dyDescent="0.2">
      <c r="A210" s="987"/>
      <c r="B210" s="987"/>
      <c r="C210" s="987"/>
      <c r="D210" s="987"/>
      <c r="E210" s="987"/>
      <c r="P210" s="941"/>
      <c r="R210" s="988"/>
      <c r="S210" s="988"/>
      <c r="T210" s="988"/>
      <c r="U210" s="988"/>
      <c r="V210" s="988"/>
      <c r="W210" s="988"/>
      <c r="X210" s="988"/>
      <c r="Y210" s="988"/>
    </row>
    <row r="211" spans="1:25" x14ac:dyDescent="0.2">
      <c r="A211" s="987"/>
      <c r="B211" s="987"/>
      <c r="C211" s="987"/>
      <c r="D211" s="987"/>
      <c r="E211" s="987"/>
      <c r="P211" s="941"/>
      <c r="R211" s="988"/>
      <c r="S211" s="988"/>
      <c r="T211" s="988"/>
      <c r="U211" s="988"/>
      <c r="V211" s="988"/>
      <c r="W211" s="988"/>
      <c r="X211" s="988"/>
      <c r="Y211" s="988"/>
    </row>
    <row r="212" spans="1:25" x14ac:dyDescent="0.2">
      <c r="A212" s="987"/>
      <c r="B212" s="987"/>
      <c r="C212" s="987"/>
      <c r="D212" s="987"/>
      <c r="E212" s="987"/>
      <c r="P212" s="941"/>
      <c r="R212" s="988"/>
      <c r="S212" s="988"/>
      <c r="T212" s="988"/>
      <c r="U212" s="988"/>
      <c r="V212" s="988"/>
      <c r="W212" s="988"/>
      <c r="X212" s="988"/>
      <c r="Y212" s="988"/>
    </row>
    <row r="213" spans="1:25" x14ac:dyDescent="0.2">
      <c r="A213" s="987"/>
      <c r="B213" s="987"/>
      <c r="C213" s="987"/>
      <c r="D213" s="987"/>
      <c r="E213" s="987"/>
      <c r="P213" s="941"/>
      <c r="R213" s="988"/>
      <c r="S213" s="988"/>
      <c r="T213" s="988"/>
      <c r="U213" s="988"/>
      <c r="V213" s="988"/>
      <c r="W213" s="988"/>
      <c r="X213" s="988"/>
      <c r="Y213" s="988"/>
    </row>
    <row r="214" spans="1:25" x14ac:dyDescent="0.2">
      <c r="A214" s="987"/>
      <c r="B214" s="987"/>
      <c r="C214" s="987"/>
      <c r="D214" s="987"/>
      <c r="E214" s="987"/>
      <c r="P214" s="941"/>
      <c r="R214" s="988"/>
      <c r="S214" s="988"/>
      <c r="T214" s="988"/>
      <c r="U214" s="988"/>
      <c r="V214" s="988"/>
      <c r="W214" s="988"/>
      <c r="X214" s="988"/>
      <c r="Y214" s="988"/>
    </row>
    <row r="215" spans="1:25" x14ac:dyDescent="0.2">
      <c r="A215" s="987"/>
      <c r="B215" s="987"/>
      <c r="C215" s="987"/>
      <c r="D215" s="987"/>
      <c r="E215" s="987"/>
      <c r="P215" s="941"/>
      <c r="R215" s="988"/>
      <c r="S215" s="988"/>
      <c r="T215" s="988"/>
      <c r="U215" s="988"/>
      <c r="V215" s="988"/>
      <c r="W215" s="988"/>
      <c r="X215" s="988"/>
      <c r="Y215" s="988"/>
    </row>
    <row r="216" spans="1:25" x14ac:dyDescent="0.2">
      <c r="A216" s="987"/>
      <c r="B216" s="987"/>
      <c r="C216" s="987"/>
      <c r="D216" s="987"/>
      <c r="E216" s="987"/>
      <c r="P216" s="941"/>
      <c r="R216" s="988"/>
      <c r="S216" s="988"/>
      <c r="T216" s="988"/>
      <c r="U216" s="988"/>
      <c r="V216" s="988"/>
      <c r="W216" s="988"/>
      <c r="X216" s="988"/>
      <c r="Y216" s="988"/>
    </row>
    <row r="217" spans="1:25" x14ac:dyDescent="0.2">
      <c r="A217" s="987"/>
      <c r="B217" s="987"/>
      <c r="C217" s="987"/>
      <c r="D217" s="987"/>
      <c r="E217" s="987"/>
      <c r="P217" s="941"/>
      <c r="R217" s="988"/>
      <c r="S217" s="988"/>
      <c r="T217" s="988"/>
      <c r="U217" s="988"/>
      <c r="V217" s="988"/>
      <c r="W217" s="988"/>
      <c r="X217" s="988"/>
      <c r="Y217" s="988"/>
    </row>
    <row r="218" spans="1:25" x14ac:dyDescent="0.2">
      <c r="A218" s="987"/>
      <c r="B218" s="987"/>
      <c r="C218" s="987"/>
      <c r="D218" s="987"/>
      <c r="E218" s="987"/>
      <c r="P218" s="941"/>
      <c r="R218" s="988"/>
      <c r="S218" s="988"/>
      <c r="T218" s="988"/>
      <c r="U218" s="988"/>
      <c r="V218" s="988"/>
      <c r="W218" s="988"/>
      <c r="X218" s="988"/>
      <c r="Y218" s="988"/>
    </row>
    <row r="219" spans="1:25" x14ac:dyDescent="0.2">
      <c r="A219" s="987"/>
      <c r="B219" s="987"/>
      <c r="C219" s="987"/>
      <c r="D219" s="987"/>
      <c r="E219" s="987"/>
      <c r="P219" s="941"/>
      <c r="R219" s="988"/>
      <c r="S219" s="988"/>
      <c r="T219" s="988"/>
      <c r="U219" s="988"/>
      <c r="V219" s="988"/>
      <c r="W219" s="988"/>
      <c r="X219" s="988"/>
      <c r="Y219" s="988"/>
    </row>
    <row r="220" spans="1:25" x14ac:dyDescent="0.2">
      <c r="A220" s="987"/>
      <c r="B220" s="987"/>
      <c r="C220" s="987"/>
      <c r="D220" s="987"/>
      <c r="E220" s="987"/>
      <c r="P220" s="941"/>
      <c r="R220" s="988"/>
      <c r="S220" s="988"/>
      <c r="T220" s="988"/>
      <c r="U220" s="988"/>
      <c r="V220" s="988"/>
      <c r="W220" s="988"/>
      <c r="X220" s="988"/>
      <c r="Y220" s="988"/>
    </row>
    <row r="221" spans="1:25" x14ac:dyDescent="0.2">
      <c r="A221" s="987"/>
      <c r="B221" s="987"/>
      <c r="C221" s="987"/>
      <c r="D221" s="987"/>
      <c r="E221" s="987"/>
      <c r="P221" s="941"/>
      <c r="R221" s="988"/>
      <c r="S221" s="988"/>
      <c r="T221" s="988"/>
      <c r="U221" s="988"/>
      <c r="V221" s="988"/>
      <c r="W221" s="988"/>
      <c r="X221" s="988"/>
      <c r="Y221" s="988"/>
    </row>
    <row r="222" spans="1:25" x14ac:dyDescent="0.2">
      <c r="A222" s="987"/>
      <c r="B222" s="987"/>
      <c r="C222" s="987"/>
      <c r="D222" s="987"/>
      <c r="E222" s="987"/>
      <c r="P222" s="941"/>
      <c r="R222" s="988"/>
      <c r="S222" s="988"/>
      <c r="T222" s="988"/>
      <c r="U222" s="988"/>
      <c r="V222" s="988"/>
      <c r="W222" s="988"/>
      <c r="X222" s="988"/>
      <c r="Y222" s="988"/>
    </row>
    <row r="223" spans="1:25" x14ac:dyDescent="0.2">
      <c r="A223" s="987"/>
      <c r="B223" s="987"/>
      <c r="C223" s="987"/>
      <c r="D223" s="987"/>
      <c r="E223" s="987"/>
      <c r="P223" s="941"/>
      <c r="R223" s="988"/>
      <c r="S223" s="988"/>
      <c r="T223" s="988"/>
      <c r="U223" s="988"/>
      <c r="V223" s="988"/>
      <c r="W223" s="988"/>
      <c r="X223" s="988"/>
      <c r="Y223" s="988"/>
    </row>
    <row r="224" spans="1:25" x14ac:dyDescent="0.2">
      <c r="A224" s="987"/>
      <c r="B224" s="987"/>
      <c r="C224" s="987"/>
      <c r="D224" s="987"/>
      <c r="E224" s="987"/>
      <c r="P224" s="941"/>
      <c r="R224" s="988"/>
      <c r="S224" s="988"/>
      <c r="T224" s="988"/>
      <c r="U224" s="988"/>
      <c r="V224" s="988"/>
      <c r="W224" s="988"/>
      <c r="X224" s="988"/>
      <c r="Y224" s="988"/>
    </row>
    <row r="225" spans="1:25" x14ac:dyDescent="0.2">
      <c r="A225" s="987"/>
      <c r="B225" s="987"/>
      <c r="C225" s="987"/>
      <c r="D225" s="987"/>
      <c r="E225" s="987"/>
      <c r="P225" s="941"/>
      <c r="R225" s="988"/>
      <c r="S225" s="988"/>
      <c r="T225" s="988"/>
      <c r="U225" s="988"/>
      <c r="V225" s="988"/>
      <c r="W225" s="988"/>
      <c r="X225" s="988"/>
      <c r="Y225" s="988"/>
    </row>
    <row r="226" spans="1:25" x14ac:dyDescent="0.2">
      <c r="A226" s="987"/>
      <c r="B226" s="987"/>
      <c r="C226" s="987"/>
      <c r="D226" s="987"/>
      <c r="E226" s="987"/>
      <c r="P226" s="941"/>
      <c r="R226" s="988"/>
      <c r="S226" s="988"/>
      <c r="T226" s="988"/>
      <c r="U226" s="988"/>
      <c r="V226" s="988"/>
      <c r="W226" s="988"/>
      <c r="X226" s="988"/>
      <c r="Y226" s="988"/>
    </row>
    <row r="227" spans="1:25" x14ac:dyDescent="0.2">
      <c r="A227" s="987"/>
      <c r="B227" s="987"/>
      <c r="C227" s="987"/>
      <c r="D227" s="987"/>
      <c r="E227" s="987"/>
      <c r="P227" s="941"/>
      <c r="R227" s="988"/>
      <c r="S227" s="988"/>
      <c r="T227" s="988"/>
      <c r="U227" s="988"/>
      <c r="V227" s="988"/>
      <c r="W227" s="988"/>
      <c r="X227" s="988"/>
      <c r="Y227" s="988"/>
    </row>
    <row r="228" spans="1:25" x14ac:dyDescent="0.2">
      <c r="A228" s="987"/>
      <c r="B228" s="987"/>
      <c r="C228" s="987"/>
      <c r="D228" s="987"/>
      <c r="E228" s="987"/>
      <c r="P228" s="941"/>
      <c r="R228" s="988"/>
      <c r="S228" s="988"/>
      <c r="T228" s="988"/>
      <c r="U228" s="988"/>
      <c r="V228" s="988"/>
      <c r="W228" s="988"/>
      <c r="X228" s="988"/>
      <c r="Y228" s="988"/>
    </row>
    <row r="229" spans="1:25" x14ac:dyDescent="0.2">
      <c r="A229" s="987"/>
      <c r="B229" s="987"/>
      <c r="C229" s="987"/>
      <c r="D229" s="987"/>
      <c r="E229" s="987"/>
      <c r="P229" s="941"/>
      <c r="R229" s="988"/>
      <c r="S229" s="988"/>
      <c r="T229" s="988"/>
      <c r="U229" s="988"/>
      <c r="V229" s="988"/>
      <c r="W229" s="988"/>
      <c r="X229" s="988"/>
      <c r="Y229" s="988"/>
    </row>
    <row r="230" spans="1:25" x14ac:dyDescent="0.2">
      <c r="A230" s="987"/>
      <c r="B230" s="987"/>
      <c r="C230" s="987"/>
      <c r="D230" s="987"/>
      <c r="E230" s="987"/>
      <c r="P230" s="941"/>
      <c r="R230" s="988"/>
      <c r="S230" s="988"/>
      <c r="T230" s="988"/>
      <c r="U230" s="988"/>
      <c r="V230" s="988"/>
      <c r="W230" s="988"/>
      <c r="X230" s="988"/>
      <c r="Y230" s="988"/>
    </row>
    <row r="231" spans="1:25" x14ac:dyDescent="0.2">
      <c r="A231" s="987"/>
      <c r="B231" s="987"/>
      <c r="C231" s="987"/>
      <c r="D231" s="987"/>
      <c r="E231" s="987"/>
      <c r="P231" s="941"/>
      <c r="R231" s="988"/>
      <c r="S231" s="988"/>
      <c r="T231" s="988"/>
      <c r="U231" s="988"/>
      <c r="V231" s="988"/>
      <c r="W231" s="988"/>
      <c r="X231" s="988"/>
      <c r="Y231" s="988"/>
    </row>
    <row r="232" spans="1:25" x14ac:dyDescent="0.2">
      <c r="A232" s="987"/>
      <c r="B232" s="987"/>
      <c r="C232" s="987"/>
      <c r="D232" s="987"/>
      <c r="E232" s="987"/>
      <c r="P232" s="941"/>
      <c r="R232" s="988"/>
      <c r="S232" s="988"/>
      <c r="T232" s="988"/>
      <c r="U232" s="988"/>
      <c r="V232" s="988"/>
      <c r="W232" s="988"/>
      <c r="X232" s="988"/>
      <c r="Y232" s="988"/>
    </row>
    <row r="233" spans="1:25" x14ac:dyDescent="0.2">
      <c r="A233" s="987"/>
      <c r="B233" s="987"/>
      <c r="C233" s="987"/>
      <c r="D233" s="987"/>
      <c r="E233" s="987"/>
      <c r="P233" s="941"/>
      <c r="R233" s="988"/>
      <c r="S233" s="988"/>
      <c r="T233" s="988"/>
      <c r="U233" s="988"/>
      <c r="V233" s="988"/>
      <c r="W233" s="988"/>
      <c r="X233" s="988"/>
      <c r="Y233" s="988"/>
    </row>
    <row r="234" spans="1:25" x14ac:dyDescent="0.2">
      <c r="A234" s="987"/>
      <c r="B234" s="987"/>
      <c r="C234" s="987"/>
      <c r="D234" s="987"/>
      <c r="E234" s="987"/>
      <c r="P234" s="941"/>
      <c r="R234" s="988"/>
      <c r="S234" s="988"/>
      <c r="T234" s="988"/>
      <c r="U234" s="988"/>
      <c r="V234" s="988"/>
      <c r="W234" s="988"/>
      <c r="X234" s="988"/>
      <c r="Y234" s="988"/>
    </row>
    <row r="235" spans="1:25" x14ac:dyDescent="0.2">
      <c r="A235" s="987"/>
      <c r="B235" s="987"/>
      <c r="C235" s="987"/>
      <c r="D235" s="987"/>
      <c r="E235" s="987"/>
      <c r="P235" s="941"/>
      <c r="R235" s="988"/>
      <c r="S235" s="988"/>
      <c r="T235" s="988"/>
      <c r="U235" s="988"/>
      <c r="V235" s="988"/>
      <c r="W235" s="988"/>
      <c r="X235" s="988"/>
      <c r="Y235" s="988"/>
    </row>
    <row r="236" spans="1:25" x14ac:dyDescent="0.2">
      <c r="A236" s="987"/>
      <c r="B236" s="987"/>
      <c r="C236" s="987"/>
      <c r="D236" s="987"/>
      <c r="E236" s="987"/>
      <c r="P236" s="941"/>
      <c r="R236" s="988"/>
      <c r="S236" s="988"/>
      <c r="T236" s="988"/>
      <c r="U236" s="988"/>
      <c r="V236" s="988"/>
      <c r="W236" s="988"/>
      <c r="X236" s="988"/>
      <c r="Y236" s="988"/>
    </row>
    <row r="237" spans="1:25" x14ac:dyDescent="0.2">
      <c r="A237" s="987"/>
      <c r="B237" s="987"/>
      <c r="C237" s="987"/>
      <c r="D237" s="987"/>
      <c r="E237" s="987"/>
      <c r="P237" s="941"/>
      <c r="R237" s="988"/>
      <c r="S237" s="988"/>
      <c r="T237" s="988"/>
      <c r="U237" s="988"/>
      <c r="V237" s="988"/>
      <c r="W237" s="988"/>
      <c r="X237" s="988"/>
      <c r="Y237" s="988"/>
    </row>
    <row r="238" spans="1:25" x14ac:dyDescent="0.2">
      <c r="A238" s="987"/>
      <c r="B238" s="987"/>
      <c r="C238" s="987"/>
      <c r="D238" s="987"/>
      <c r="E238" s="987"/>
      <c r="P238" s="941"/>
      <c r="R238" s="988"/>
      <c r="S238" s="988"/>
      <c r="T238" s="988"/>
      <c r="U238" s="988"/>
      <c r="V238" s="988"/>
      <c r="W238" s="988"/>
      <c r="X238" s="988"/>
      <c r="Y238" s="988"/>
    </row>
    <row r="239" spans="1:25" x14ac:dyDescent="0.2">
      <c r="A239" s="987"/>
      <c r="B239" s="987"/>
      <c r="C239" s="987"/>
      <c r="D239" s="987"/>
      <c r="E239" s="987"/>
      <c r="P239" s="941"/>
      <c r="R239" s="988"/>
      <c r="S239" s="988"/>
      <c r="T239" s="988"/>
      <c r="U239" s="988"/>
      <c r="V239" s="988"/>
      <c r="W239" s="988"/>
      <c r="X239" s="988"/>
      <c r="Y239" s="988"/>
    </row>
    <row r="240" spans="1:25" x14ac:dyDescent="0.2">
      <c r="A240" s="987"/>
      <c r="B240" s="987"/>
      <c r="C240" s="987"/>
      <c r="D240" s="987"/>
      <c r="E240" s="987"/>
      <c r="P240" s="941"/>
      <c r="R240" s="988"/>
      <c r="S240" s="988"/>
      <c r="T240" s="988"/>
      <c r="U240" s="988"/>
      <c r="V240" s="988"/>
      <c r="W240" s="988"/>
      <c r="X240" s="988"/>
      <c r="Y240" s="988"/>
    </row>
    <row r="241" spans="1:25" x14ac:dyDescent="0.2">
      <c r="A241" s="987"/>
      <c r="B241" s="987"/>
      <c r="C241" s="987"/>
      <c r="D241" s="987"/>
      <c r="E241" s="987"/>
      <c r="P241" s="941"/>
      <c r="R241" s="988"/>
      <c r="S241" s="988"/>
      <c r="T241" s="988"/>
      <c r="U241" s="988"/>
      <c r="V241" s="988"/>
      <c r="W241" s="988"/>
      <c r="X241" s="988"/>
      <c r="Y241" s="988"/>
    </row>
    <row r="242" spans="1:25" x14ac:dyDescent="0.2">
      <c r="A242" s="987"/>
      <c r="B242" s="987"/>
      <c r="C242" s="987"/>
      <c r="D242" s="987"/>
      <c r="E242" s="987"/>
      <c r="P242" s="941"/>
      <c r="R242" s="988"/>
      <c r="S242" s="988"/>
      <c r="T242" s="988"/>
      <c r="U242" s="988"/>
      <c r="V242" s="988"/>
      <c r="W242" s="988"/>
      <c r="X242" s="988"/>
      <c r="Y242" s="988"/>
    </row>
    <row r="243" spans="1:25" x14ac:dyDescent="0.2">
      <c r="A243" s="987"/>
      <c r="B243" s="987"/>
      <c r="C243" s="987"/>
      <c r="D243" s="987"/>
      <c r="E243" s="987"/>
      <c r="P243" s="941"/>
      <c r="R243" s="988"/>
      <c r="S243" s="988"/>
      <c r="T243" s="988"/>
      <c r="U243" s="988"/>
      <c r="V243" s="988"/>
      <c r="W243" s="988"/>
      <c r="X243" s="988"/>
      <c r="Y243" s="988"/>
    </row>
    <row r="244" spans="1:25" x14ac:dyDescent="0.2">
      <c r="A244" s="987"/>
      <c r="B244" s="987"/>
      <c r="C244" s="987"/>
      <c r="D244" s="987"/>
      <c r="E244" s="987"/>
      <c r="P244" s="941"/>
      <c r="R244" s="988"/>
      <c r="S244" s="988"/>
      <c r="T244" s="988"/>
      <c r="U244" s="988"/>
      <c r="V244" s="988"/>
      <c r="W244" s="988"/>
      <c r="X244" s="988"/>
      <c r="Y244" s="988"/>
    </row>
    <row r="245" spans="1:25" x14ac:dyDescent="0.2">
      <c r="A245" s="987"/>
      <c r="B245" s="987"/>
      <c r="C245" s="987"/>
      <c r="D245" s="987"/>
      <c r="E245" s="987"/>
      <c r="P245" s="941"/>
      <c r="R245" s="988"/>
      <c r="S245" s="988"/>
      <c r="T245" s="988"/>
      <c r="U245" s="988"/>
      <c r="V245" s="988"/>
      <c r="W245" s="988"/>
      <c r="X245" s="988"/>
      <c r="Y245" s="988"/>
    </row>
    <row r="246" spans="1:25" x14ac:dyDescent="0.2">
      <c r="A246" s="987"/>
      <c r="B246" s="987"/>
      <c r="C246" s="987"/>
      <c r="D246" s="987"/>
      <c r="E246" s="987"/>
      <c r="P246" s="941"/>
      <c r="R246" s="988"/>
      <c r="S246" s="988"/>
      <c r="T246" s="988"/>
      <c r="U246" s="988"/>
      <c r="V246" s="988"/>
      <c r="W246" s="988"/>
      <c r="X246" s="988"/>
      <c r="Y246" s="988"/>
    </row>
    <row r="247" spans="1:25" x14ac:dyDescent="0.2">
      <c r="A247" s="987"/>
      <c r="B247" s="987"/>
      <c r="C247" s="987"/>
      <c r="D247" s="987"/>
      <c r="E247" s="987"/>
      <c r="P247" s="941"/>
      <c r="R247" s="988"/>
      <c r="S247" s="988"/>
      <c r="T247" s="988"/>
      <c r="U247" s="988"/>
      <c r="V247" s="988"/>
      <c r="W247" s="988"/>
      <c r="X247" s="988"/>
      <c r="Y247" s="988"/>
    </row>
    <row r="248" spans="1:25" x14ac:dyDescent="0.2">
      <c r="A248" s="987"/>
      <c r="B248" s="987"/>
      <c r="C248" s="987"/>
      <c r="D248" s="987"/>
      <c r="E248" s="987"/>
      <c r="P248" s="941"/>
      <c r="R248" s="988"/>
      <c r="S248" s="988"/>
      <c r="T248" s="988"/>
      <c r="U248" s="988"/>
      <c r="V248" s="988"/>
      <c r="W248" s="988"/>
      <c r="X248" s="988"/>
      <c r="Y248" s="988"/>
    </row>
    <row r="249" spans="1:25" x14ac:dyDescent="0.2">
      <c r="A249" s="987"/>
      <c r="B249" s="987"/>
      <c r="C249" s="987"/>
      <c r="D249" s="987"/>
      <c r="E249" s="987"/>
      <c r="P249" s="941"/>
      <c r="R249" s="988"/>
      <c r="S249" s="988"/>
      <c r="T249" s="988"/>
      <c r="U249" s="988"/>
      <c r="V249" s="988"/>
      <c r="W249" s="988"/>
      <c r="X249" s="988"/>
      <c r="Y249" s="988"/>
    </row>
    <row r="250" spans="1:25" x14ac:dyDescent="0.2">
      <c r="A250" s="987"/>
      <c r="B250" s="987"/>
      <c r="C250" s="987"/>
      <c r="D250" s="987"/>
      <c r="E250" s="987"/>
      <c r="P250" s="941"/>
      <c r="R250" s="988"/>
      <c r="S250" s="988"/>
      <c r="T250" s="988"/>
      <c r="U250" s="988"/>
      <c r="V250" s="988"/>
      <c r="W250" s="988"/>
      <c r="X250" s="988"/>
      <c r="Y250" s="988"/>
    </row>
    <row r="251" spans="1:25" x14ac:dyDescent="0.2">
      <c r="A251" s="987"/>
      <c r="B251" s="987"/>
      <c r="C251" s="987"/>
      <c r="D251" s="987"/>
      <c r="E251" s="987"/>
      <c r="P251" s="941"/>
      <c r="R251" s="988"/>
      <c r="S251" s="988"/>
      <c r="T251" s="988"/>
      <c r="U251" s="988"/>
      <c r="V251" s="988"/>
      <c r="W251" s="988"/>
      <c r="X251" s="988"/>
      <c r="Y251" s="988"/>
    </row>
    <row r="252" spans="1:25" x14ac:dyDescent="0.2">
      <c r="A252" s="987"/>
      <c r="B252" s="987"/>
      <c r="C252" s="987"/>
      <c r="D252" s="987"/>
      <c r="E252" s="987"/>
      <c r="P252" s="941"/>
      <c r="R252" s="988"/>
      <c r="S252" s="988"/>
      <c r="T252" s="988"/>
      <c r="U252" s="988"/>
      <c r="V252" s="988"/>
      <c r="W252" s="988"/>
      <c r="X252" s="988"/>
      <c r="Y252" s="988"/>
    </row>
    <row r="253" spans="1:25" x14ac:dyDescent="0.2">
      <c r="A253" s="987"/>
      <c r="B253" s="987"/>
      <c r="C253" s="987"/>
      <c r="D253" s="987"/>
      <c r="E253" s="987"/>
      <c r="P253" s="941"/>
      <c r="R253" s="988"/>
      <c r="S253" s="988"/>
      <c r="T253" s="988"/>
      <c r="U253" s="988"/>
      <c r="V253" s="988"/>
      <c r="W253" s="988"/>
      <c r="X253" s="988"/>
      <c r="Y253" s="988"/>
    </row>
    <row r="254" spans="1:25" x14ac:dyDescent="0.2">
      <c r="A254" s="987"/>
      <c r="B254" s="987"/>
      <c r="C254" s="987"/>
      <c r="D254" s="987"/>
      <c r="E254" s="987"/>
      <c r="P254" s="941"/>
      <c r="R254" s="988"/>
      <c r="S254" s="988"/>
      <c r="T254" s="988"/>
      <c r="U254" s="988"/>
      <c r="V254" s="988"/>
      <c r="W254" s="988"/>
      <c r="X254" s="988"/>
      <c r="Y254" s="988"/>
    </row>
    <row r="255" spans="1:25" x14ac:dyDescent="0.2">
      <c r="A255" s="987"/>
      <c r="B255" s="987"/>
      <c r="C255" s="987"/>
      <c r="D255" s="987"/>
      <c r="E255" s="987"/>
      <c r="P255" s="941"/>
      <c r="R255" s="988"/>
      <c r="S255" s="988"/>
      <c r="T255" s="988"/>
      <c r="U255" s="988"/>
      <c r="V255" s="988"/>
      <c r="W255" s="988"/>
      <c r="X255" s="988"/>
      <c r="Y255" s="988"/>
    </row>
    <row r="256" spans="1:25" x14ac:dyDescent="0.2">
      <c r="A256" s="987"/>
      <c r="B256" s="987"/>
      <c r="C256" s="987"/>
      <c r="D256" s="987"/>
      <c r="E256" s="987"/>
      <c r="P256" s="941"/>
      <c r="R256" s="988"/>
      <c r="S256" s="988"/>
      <c r="T256" s="988"/>
      <c r="U256" s="988"/>
      <c r="V256" s="988"/>
      <c r="W256" s="988"/>
      <c r="X256" s="988"/>
      <c r="Y256" s="988"/>
    </row>
    <row r="257" spans="1:25" x14ac:dyDescent="0.2">
      <c r="A257" s="987"/>
      <c r="B257" s="987"/>
      <c r="C257" s="987"/>
      <c r="D257" s="987"/>
      <c r="E257" s="987"/>
      <c r="P257" s="941"/>
      <c r="R257" s="988"/>
      <c r="S257" s="988"/>
      <c r="T257" s="988"/>
      <c r="U257" s="988"/>
      <c r="V257" s="988"/>
      <c r="W257" s="988"/>
      <c r="X257" s="988"/>
      <c r="Y257" s="988"/>
    </row>
    <row r="258" spans="1:25" x14ac:dyDescent="0.2">
      <c r="A258" s="987"/>
      <c r="B258" s="987"/>
      <c r="C258" s="987"/>
      <c r="D258" s="987"/>
      <c r="E258" s="987"/>
      <c r="P258" s="941"/>
      <c r="R258" s="988"/>
      <c r="S258" s="988"/>
      <c r="T258" s="988"/>
      <c r="U258" s="988"/>
      <c r="V258" s="988"/>
      <c r="W258" s="988"/>
      <c r="X258" s="988"/>
      <c r="Y258" s="988"/>
    </row>
    <row r="259" spans="1:25" x14ac:dyDescent="0.2">
      <c r="A259" s="987"/>
      <c r="B259" s="987"/>
      <c r="C259" s="987"/>
      <c r="D259" s="987"/>
      <c r="E259" s="987"/>
      <c r="P259" s="941"/>
      <c r="R259" s="988"/>
      <c r="S259" s="988"/>
      <c r="T259" s="988"/>
      <c r="U259" s="988"/>
      <c r="V259" s="988"/>
      <c r="W259" s="988"/>
      <c r="X259" s="988"/>
      <c r="Y259" s="988"/>
    </row>
    <row r="260" spans="1:25" x14ac:dyDescent="0.2">
      <c r="A260" s="987"/>
      <c r="B260" s="987"/>
      <c r="C260" s="987"/>
      <c r="D260" s="987"/>
      <c r="E260" s="987"/>
      <c r="P260" s="941"/>
      <c r="R260" s="988"/>
      <c r="S260" s="988"/>
      <c r="T260" s="988"/>
      <c r="U260" s="988"/>
      <c r="V260" s="988"/>
      <c r="W260" s="988"/>
      <c r="X260" s="988"/>
      <c r="Y260" s="988"/>
    </row>
    <row r="261" spans="1:25" x14ac:dyDescent="0.2">
      <c r="A261" s="987"/>
      <c r="B261" s="987"/>
      <c r="C261" s="987"/>
      <c r="D261" s="987"/>
      <c r="E261" s="987"/>
      <c r="P261" s="941"/>
      <c r="R261" s="988"/>
      <c r="S261" s="988"/>
      <c r="T261" s="988"/>
      <c r="U261" s="988"/>
      <c r="V261" s="988"/>
      <c r="W261" s="988"/>
      <c r="X261" s="988"/>
      <c r="Y261" s="988"/>
    </row>
    <row r="262" spans="1:25" x14ac:dyDescent="0.2">
      <c r="A262" s="987"/>
      <c r="B262" s="987"/>
      <c r="C262" s="987"/>
      <c r="D262" s="987"/>
      <c r="E262" s="987"/>
      <c r="P262" s="941"/>
      <c r="R262" s="988"/>
      <c r="S262" s="988"/>
      <c r="T262" s="988"/>
      <c r="U262" s="988"/>
      <c r="V262" s="988"/>
      <c r="W262" s="988"/>
      <c r="X262" s="988"/>
      <c r="Y262" s="988"/>
    </row>
    <row r="263" spans="1:25" x14ac:dyDescent="0.2">
      <c r="A263" s="987"/>
      <c r="B263" s="987"/>
      <c r="C263" s="987"/>
      <c r="D263" s="987"/>
      <c r="E263" s="987"/>
      <c r="P263" s="941"/>
      <c r="R263" s="988"/>
      <c r="S263" s="988"/>
      <c r="T263" s="988"/>
      <c r="U263" s="988"/>
      <c r="V263" s="988"/>
      <c r="W263" s="988"/>
      <c r="X263" s="988"/>
      <c r="Y263" s="988"/>
    </row>
    <row r="264" spans="1:25" x14ac:dyDescent="0.2">
      <c r="A264" s="987"/>
      <c r="B264" s="987"/>
      <c r="C264" s="987"/>
      <c r="D264" s="987"/>
      <c r="E264" s="987"/>
      <c r="P264" s="941"/>
      <c r="R264" s="988"/>
      <c r="S264" s="988"/>
      <c r="T264" s="988"/>
      <c r="U264" s="988"/>
      <c r="V264" s="988"/>
      <c r="W264" s="988"/>
      <c r="X264" s="988"/>
      <c r="Y264" s="988"/>
    </row>
    <row r="265" spans="1:25" x14ac:dyDescent="0.2">
      <c r="A265" s="987"/>
      <c r="B265" s="987"/>
      <c r="C265" s="987"/>
      <c r="D265" s="987"/>
      <c r="E265" s="987"/>
      <c r="P265" s="941"/>
      <c r="R265" s="988"/>
      <c r="S265" s="988"/>
      <c r="T265" s="988"/>
      <c r="U265" s="988"/>
      <c r="V265" s="988"/>
      <c r="W265" s="988"/>
      <c r="X265" s="988"/>
      <c r="Y265" s="988"/>
    </row>
    <row r="266" spans="1:25" x14ac:dyDescent="0.2">
      <c r="A266" s="987"/>
      <c r="B266" s="987"/>
      <c r="C266" s="987"/>
      <c r="D266" s="987"/>
      <c r="E266" s="987"/>
      <c r="P266" s="941"/>
      <c r="R266" s="988"/>
      <c r="S266" s="988"/>
      <c r="T266" s="988"/>
      <c r="U266" s="988"/>
      <c r="V266" s="988"/>
      <c r="W266" s="988"/>
      <c r="X266" s="988"/>
      <c r="Y266" s="988"/>
    </row>
    <row r="267" spans="1:25" x14ac:dyDescent="0.2">
      <c r="A267" s="987"/>
      <c r="B267" s="987"/>
      <c r="C267" s="987"/>
      <c r="D267" s="987"/>
      <c r="E267" s="987"/>
      <c r="P267" s="941"/>
      <c r="R267" s="988"/>
      <c r="S267" s="988"/>
      <c r="T267" s="988"/>
      <c r="U267" s="988"/>
      <c r="V267" s="988"/>
      <c r="W267" s="988"/>
      <c r="X267" s="988"/>
      <c r="Y267" s="988"/>
    </row>
    <row r="268" spans="1:25" x14ac:dyDescent="0.2">
      <c r="A268" s="987"/>
      <c r="B268" s="987"/>
      <c r="C268" s="987"/>
      <c r="D268" s="987"/>
      <c r="E268" s="987"/>
      <c r="P268" s="941"/>
      <c r="R268" s="988"/>
      <c r="S268" s="988"/>
      <c r="T268" s="988"/>
      <c r="U268" s="988"/>
      <c r="V268" s="988"/>
      <c r="W268" s="988"/>
      <c r="X268" s="988"/>
      <c r="Y268" s="988"/>
    </row>
    <row r="269" spans="1:25" x14ac:dyDescent="0.2">
      <c r="A269" s="987"/>
      <c r="B269" s="987"/>
      <c r="C269" s="987"/>
      <c r="D269" s="987"/>
      <c r="E269" s="987"/>
      <c r="P269" s="941"/>
      <c r="R269" s="988"/>
      <c r="S269" s="988"/>
      <c r="T269" s="988"/>
      <c r="U269" s="988"/>
      <c r="V269" s="988"/>
      <c r="W269" s="988"/>
      <c r="X269" s="988"/>
      <c r="Y269" s="988"/>
    </row>
    <row r="270" spans="1:25" x14ac:dyDescent="0.2">
      <c r="A270" s="987"/>
      <c r="B270" s="987"/>
      <c r="C270" s="987"/>
      <c r="D270" s="987"/>
      <c r="E270" s="987"/>
      <c r="P270" s="941"/>
      <c r="R270" s="988"/>
      <c r="S270" s="988"/>
      <c r="T270" s="988"/>
      <c r="U270" s="988"/>
      <c r="V270" s="988"/>
      <c r="W270" s="988"/>
      <c r="X270" s="988"/>
      <c r="Y270" s="988"/>
    </row>
    <row r="271" spans="1:25" x14ac:dyDescent="0.2">
      <c r="A271" s="987"/>
      <c r="B271" s="987"/>
      <c r="C271" s="987"/>
      <c r="D271" s="987"/>
      <c r="E271" s="987"/>
      <c r="P271" s="941"/>
      <c r="R271" s="988"/>
      <c r="S271" s="988"/>
      <c r="T271" s="988"/>
      <c r="U271" s="988"/>
      <c r="V271" s="988"/>
      <c r="W271" s="988"/>
      <c r="X271" s="988"/>
      <c r="Y271" s="988"/>
    </row>
    <row r="272" spans="1:25" x14ac:dyDescent="0.2">
      <c r="A272" s="987"/>
      <c r="B272" s="987"/>
      <c r="C272" s="987"/>
      <c r="D272" s="987"/>
      <c r="E272" s="987"/>
      <c r="P272" s="941"/>
      <c r="R272" s="988"/>
      <c r="S272" s="988"/>
      <c r="T272" s="988"/>
      <c r="U272" s="988"/>
      <c r="V272" s="988"/>
      <c r="W272" s="988"/>
      <c r="X272" s="988"/>
      <c r="Y272" s="988"/>
    </row>
    <row r="273" spans="1:25" x14ac:dyDescent="0.2">
      <c r="A273" s="987"/>
      <c r="B273" s="987"/>
      <c r="C273" s="987"/>
      <c r="D273" s="987"/>
      <c r="E273" s="987"/>
      <c r="P273" s="941"/>
      <c r="R273" s="988"/>
      <c r="S273" s="988"/>
      <c r="T273" s="988"/>
      <c r="U273" s="988"/>
      <c r="V273" s="988"/>
      <c r="W273" s="988"/>
      <c r="X273" s="988"/>
      <c r="Y273" s="988"/>
    </row>
    <row r="274" spans="1:25" x14ac:dyDescent="0.2">
      <c r="A274" s="987"/>
      <c r="B274" s="987"/>
      <c r="C274" s="987"/>
      <c r="D274" s="987"/>
      <c r="E274" s="987"/>
      <c r="P274" s="941"/>
      <c r="R274" s="988"/>
      <c r="S274" s="988"/>
      <c r="T274" s="988"/>
      <c r="U274" s="988"/>
      <c r="V274" s="988"/>
      <c r="W274" s="988"/>
      <c r="X274" s="988"/>
      <c r="Y274" s="988"/>
    </row>
    <row r="275" spans="1:25" x14ac:dyDescent="0.2">
      <c r="A275" s="987"/>
      <c r="B275" s="987"/>
      <c r="C275" s="987"/>
      <c r="D275" s="987"/>
      <c r="E275" s="987"/>
      <c r="P275" s="941"/>
      <c r="R275" s="988"/>
      <c r="S275" s="988"/>
      <c r="T275" s="988"/>
      <c r="U275" s="988"/>
      <c r="V275" s="988"/>
      <c r="W275" s="988"/>
      <c r="X275" s="988"/>
      <c r="Y275" s="988"/>
    </row>
    <row r="276" spans="1:25" x14ac:dyDescent="0.2">
      <c r="A276" s="987"/>
      <c r="B276" s="987"/>
      <c r="C276" s="987"/>
      <c r="D276" s="987"/>
      <c r="E276" s="987"/>
      <c r="P276" s="941"/>
      <c r="R276" s="988"/>
      <c r="S276" s="988"/>
      <c r="T276" s="988"/>
      <c r="U276" s="988"/>
      <c r="V276" s="988"/>
      <c r="W276" s="988"/>
      <c r="X276" s="988"/>
      <c r="Y276" s="988"/>
    </row>
    <row r="277" spans="1:25" x14ac:dyDescent="0.2">
      <c r="A277" s="987"/>
      <c r="B277" s="987"/>
      <c r="C277" s="987"/>
      <c r="D277" s="987"/>
      <c r="E277" s="987"/>
      <c r="P277" s="941"/>
      <c r="R277" s="988"/>
      <c r="S277" s="988"/>
      <c r="T277" s="988"/>
      <c r="U277" s="988"/>
      <c r="V277" s="988"/>
      <c r="W277" s="988"/>
      <c r="X277" s="988"/>
      <c r="Y277" s="988"/>
    </row>
    <row r="278" spans="1:25" x14ac:dyDescent="0.2">
      <c r="A278" s="987"/>
      <c r="B278" s="987"/>
      <c r="C278" s="987"/>
      <c r="D278" s="987"/>
      <c r="E278" s="987"/>
      <c r="P278" s="941"/>
      <c r="R278" s="988"/>
      <c r="S278" s="988"/>
      <c r="T278" s="988"/>
      <c r="U278" s="988"/>
      <c r="V278" s="988"/>
      <c r="W278" s="988"/>
      <c r="X278" s="988"/>
      <c r="Y278" s="988"/>
    </row>
    <row r="279" spans="1:25" x14ac:dyDescent="0.2">
      <c r="A279" s="987"/>
      <c r="B279" s="987"/>
      <c r="C279" s="987"/>
      <c r="D279" s="987"/>
      <c r="E279" s="987"/>
      <c r="P279" s="941"/>
      <c r="R279" s="988"/>
      <c r="S279" s="988"/>
      <c r="T279" s="988"/>
      <c r="U279" s="988"/>
      <c r="V279" s="988"/>
      <c r="W279" s="988"/>
      <c r="X279" s="988"/>
      <c r="Y279" s="988"/>
    </row>
    <row r="280" spans="1:25" x14ac:dyDescent="0.2">
      <c r="A280" s="987"/>
      <c r="B280" s="987"/>
      <c r="C280" s="987"/>
      <c r="D280" s="987"/>
      <c r="E280" s="987"/>
      <c r="P280" s="941"/>
      <c r="R280" s="988"/>
      <c r="S280" s="988"/>
      <c r="T280" s="988"/>
      <c r="U280" s="988"/>
      <c r="V280" s="988"/>
      <c r="W280" s="988"/>
      <c r="X280" s="988"/>
      <c r="Y280" s="988"/>
    </row>
    <row r="281" spans="1:25" x14ac:dyDescent="0.2">
      <c r="A281" s="987"/>
      <c r="B281" s="987"/>
      <c r="C281" s="987"/>
      <c r="D281" s="987"/>
      <c r="E281" s="987"/>
      <c r="P281" s="941"/>
      <c r="R281" s="988"/>
      <c r="S281" s="988"/>
      <c r="T281" s="988"/>
      <c r="U281" s="988"/>
      <c r="V281" s="988"/>
      <c r="W281" s="988"/>
      <c r="X281" s="988"/>
      <c r="Y281" s="988"/>
    </row>
    <row r="282" spans="1:25" x14ac:dyDescent="0.2">
      <c r="A282" s="987"/>
      <c r="B282" s="987"/>
      <c r="C282" s="987"/>
      <c r="D282" s="987"/>
      <c r="E282" s="987"/>
      <c r="P282" s="941"/>
      <c r="R282" s="988"/>
      <c r="S282" s="988"/>
      <c r="T282" s="988"/>
      <c r="U282" s="988"/>
      <c r="V282" s="988"/>
      <c r="W282" s="988"/>
      <c r="X282" s="988"/>
      <c r="Y282" s="988"/>
    </row>
    <row r="283" spans="1:25" x14ac:dyDescent="0.2">
      <c r="A283" s="987"/>
      <c r="B283" s="987"/>
      <c r="C283" s="987"/>
      <c r="D283" s="987"/>
      <c r="E283" s="987"/>
      <c r="P283" s="941"/>
      <c r="R283" s="988"/>
      <c r="S283" s="988"/>
      <c r="T283" s="988"/>
      <c r="U283" s="988"/>
      <c r="V283" s="988"/>
      <c r="W283" s="988"/>
      <c r="X283" s="988"/>
      <c r="Y283" s="988"/>
    </row>
    <row r="284" spans="1:25" x14ac:dyDescent="0.2">
      <c r="A284" s="987"/>
      <c r="B284" s="987"/>
      <c r="C284" s="987"/>
      <c r="D284" s="987"/>
      <c r="E284" s="987"/>
      <c r="P284" s="941"/>
      <c r="R284" s="988"/>
      <c r="S284" s="988"/>
      <c r="T284" s="988"/>
      <c r="U284" s="988"/>
      <c r="V284" s="988"/>
      <c r="W284" s="988"/>
      <c r="X284" s="988"/>
      <c r="Y284" s="988"/>
    </row>
    <row r="285" spans="1:25" x14ac:dyDescent="0.2">
      <c r="A285" s="987"/>
      <c r="B285" s="987"/>
      <c r="C285" s="987"/>
      <c r="D285" s="987"/>
      <c r="E285" s="987"/>
      <c r="P285" s="941"/>
      <c r="R285" s="988"/>
      <c r="S285" s="988"/>
      <c r="T285" s="988"/>
      <c r="U285" s="988"/>
      <c r="V285" s="988"/>
      <c r="W285" s="988"/>
      <c r="X285" s="988"/>
      <c r="Y285" s="988"/>
    </row>
    <row r="286" spans="1:25" x14ac:dyDescent="0.2">
      <c r="A286" s="987"/>
      <c r="B286" s="987"/>
      <c r="C286" s="987"/>
      <c r="D286" s="987"/>
      <c r="E286" s="987"/>
      <c r="P286" s="941"/>
      <c r="R286" s="988"/>
      <c r="S286" s="988"/>
      <c r="T286" s="988"/>
      <c r="U286" s="988"/>
      <c r="V286" s="988"/>
      <c r="W286" s="988"/>
      <c r="X286" s="988"/>
      <c r="Y286" s="988"/>
    </row>
    <row r="287" spans="1:25" x14ac:dyDescent="0.2">
      <c r="A287" s="987"/>
      <c r="B287" s="987"/>
      <c r="C287" s="987"/>
      <c r="D287" s="987"/>
      <c r="E287" s="987"/>
      <c r="P287" s="941"/>
      <c r="R287" s="988"/>
      <c r="S287" s="988"/>
      <c r="T287" s="988"/>
      <c r="U287" s="988"/>
      <c r="V287" s="988"/>
      <c r="W287" s="988"/>
      <c r="X287" s="988"/>
      <c r="Y287" s="988"/>
    </row>
    <row r="288" spans="1:25" x14ac:dyDescent="0.2">
      <c r="A288" s="987"/>
      <c r="B288" s="987"/>
      <c r="C288" s="987"/>
      <c r="D288" s="987"/>
      <c r="E288" s="987"/>
      <c r="P288" s="941"/>
      <c r="R288" s="988"/>
      <c r="S288" s="988"/>
      <c r="T288" s="988"/>
      <c r="U288" s="988"/>
      <c r="V288" s="988"/>
      <c r="W288" s="988"/>
      <c r="X288" s="988"/>
      <c r="Y288" s="988"/>
    </row>
    <row r="289" spans="1:25" x14ac:dyDescent="0.2">
      <c r="A289" s="987"/>
      <c r="B289" s="987"/>
      <c r="C289" s="987"/>
      <c r="D289" s="987"/>
      <c r="E289" s="987"/>
      <c r="P289" s="941"/>
      <c r="R289" s="988"/>
      <c r="S289" s="988"/>
      <c r="T289" s="988"/>
      <c r="U289" s="988"/>
      <c r="V289" s="988"/>
      <c r="W289" s="988"/>
      <c r="X289" s="988"/>
      <c r="Y289" s="988"/>
    </row>
    <row r="290" spans="1:25" x14ac:dyDescent="0.2">
      <c r="A290" s="987"/>
      <c r="B290" s="987"/>
      <c r="C290" s="987"/>
      <c r="D290" s="987"/>
      <c r="E290" s="987"/>
      <c r="P290" s="941"/>
      <c r="R290" s="988"/>
      <c r="S290" s="988"/>
      <c r="T290" s="988"/>
      <c r="U290" s="988"/>
      <c r="V290" s="988"/>
      <c r="W290" s="988"/>
      <c r="X290" s="988"/>
      <c r="Y290" s="988"/>
    </row>
    <row r="291" spans="1:25" x14ac:dyDescent="0.2">
      <c r="A291" s="987"/>
      <c r="B291" s="987"/>
      <c r="C291" s="987"/>
      <c r="D291" s="987"/>
      <c r="E291" s="987"/>
      <c r="P291" s="941"/>
      <c r="R291" s="988"/>
      <c r="S291" s="988"/>
      <c r="T291" s="988"/>
      <c r="U291" s="988"/>
      <c r="V291" s="988"/>
      <c r="W291" s="988"/>
      <c r="X291" s="988"/>
      <c r="Y291" s="988"/>
    </row>
    <row r="292" spans="1:25" x14ac:dyDescent="0.2">
      <c r="A292" s="987"/>
      <c r="B292" s="987"/>
      <c r="C292" s="987"/>
      <c r="D292" s="987"/>
      <c r="E292" s="987"/>
      <c r="P292" s="941"/>
      <c r="R292" s="988"/>
      <c r="S292" s="988"/>
      <c r="T292" s="988"/>
      <c r="U292" s="988"/>
      <c r="V292" s="988"/>
      <c r="W292" s="988"/>
      <c r="X292" s="988"/>
      <c r="Y292" s="988"/>
    </row>
    <row r="293" spans="1:25" x14ac:dyDescent="0.2">
      <c r="A293" s="987"/>
      <c r="B293" s="987"/>
      <c r="C293" s="987"/>
      <c r="D293" s="987"/>
      <c r="E293" s="987"/>
      <c r="P293" s="941"/>
      <c r="R293" s="988"/>
      <c r="S293" s="988"/>
      <c r="T293" s="988"/>
      <c r="U293" s="988"/>
      <c r="V293" s="988"/>
      <c r="W293" s="988"/>
      <c r="X293" s="988"/>
      <c r="Y293" s="988"/>
    </row>
    <row r="294" spans="1:25" x14ac:dyDescent="0.2">
      <c r="A294" s="987"/>
      <c r="B294" s="987"/>
      <c r="C294" s="987"/>
      <c r="D294" s="987"/>
      <c r="E294" s="987"/>
      <c r="P294" s="941"/>
      <c r="R294" s="988"/>
      <c r="S294" s="988"/>
      <c r="T294" s="988"/>
      <c r="U294" s="988"/>
      <c r="V294" s="988"/>
      <c r="W294" s="988"/>
      <c r="X294" s="988"/>
      <c r="Y294" s="988"/>
    </row>
    <row r="295" spans="1:25" x14ac:dyDescent="0.2">
      <c r="A295" s="987"/>
      <c r="B295" s="987"/>
      <c r="C295" s="987"/>
      <c r="D295" s="987"/>
      <c r="E295" s="987"/>
      <c r="P295" s="941"/>
      <c r="R295" s="988"/>
      <c r="S295" s="988"/>
      <c r="T295" s="988"/>
      <c r="U295" s="988"/>
      <c r="V295" s="988"/>
      <c r="W295" s="988"/>
      <c r="X295" s="988"/>
      <c r="Y295" s="988"/>
    </row>
    <row r="296" spans="1:25" x14ac:dyDescent="0.2">
      <c r="A296" s="987"/>
      <c r="B296" s="987"/>
      <c r="C296" s="987"/>
      <c r="D296" s="987"/>
      <c r="E296" s="987"/>
      <c r="P296" s="941"/>
      <c r="R296" s="988"/>
      <c r="S296" s="988"/>
      <c r="T296" s="988"/>
      <c r="U296" s="988"/>
      <c r="V296" s="988"/>
      <c r="W296" s="988"/>
      <c r="X296" s="988"/>
      <c r="Y296" s="988"/>
    </row>
    <row r="297" spans="1:25" x14ac:dyDescent="0.2">
      <c r="A297" s="987"/>
      <c r="B297" s="987"/>
      <c r="C297" s="987"/>
      <c r="D297" s="987"/>
      <c r="E297" s="987"/>
      <c r="P297" s="941"/>
      <c r="R297" s="988"/>
      <c r="S297" s="988"/>
      <c r="T297" s="988"/>
      <c r="U297" s="988"/>
      <c r="V297" s="988"/>
      <c r="W297" s="988"/>
      <c r="X297" s="988"/>
      <c r="Y297" s="988"/>
    </row>
    <row r="298" spans="1:25" x14ac:dyDescent="0.2">
      <c r="A298" s="987"/>
      <c r="B298" s="987"/>
      <c r="C298" s="987"/>
      <c r="D298" s="987"/>
      <c r="E298" s="987"/>
      <c r="P298" s="941"/>
      <c r="R298" s="988"/>
      <c r="S298" s="988"/>
      <c r="T298" s="988"/>
      <c r="U298" s="988"/>
      <c r="V298" s="988"/>
      <c r="W298" s="988"/>
      <c r="X298" s="988"/>
      <c r="Y298" s="988"/>
    </row>
    <row r="299" spans="1:25" x14ac:dyDescent="0.2">
      <c r="A299" s="987"/>
      <c r="B299" s="987"/>
      <c r="C299" s="987"/>
      <c r="D299" s="987"/>
      <c r="E299" s="987"/>
      <c r="P299" s="941"/>
      <c r="R299" s="988"/>
      <c r="S299" s="988"/>
      <c r="T299" s="988"/>
      <c r="U299" s="988"/>
      <c r="V299" s="988"/>
      <c r="W299" s="988"/>
      <c r="X299" s="988"/>
      <c r="Y299" s="988"/>
    </row>
    <row r="300" spans="1:25" x14ac:dyDescent="0.2">
      <c r="A300" s="987"/>
      <c r="B300" s="987"/>
      <c r="C300" s="987"/>
      <c r="D300" s="987"/>
      <c r="E300" s="987"/>
      <c r="P300" s="941"/>
      <c r="R300" s="988"/>
      <c r="S300" s="988"/>
      <c r="T300" s="988"/>
      <c r="U300" s="988"/>
      <c r="V300" s="988"/>
      <c r="W300" s="988"/>
      <c r="X300" s="988"/>
      <c r="Y300" s="988"/>
    </row>
    <row r="301" spans="1:25" x14ac:dyDescent="0.2">
      <c r="A301" s="987"/>
      <c r="B301" s="987"/>
      <c r="C301" s="987"/>
      <c r="D301" s="987"/>
      <c r="E301" s="987"/>
      <c r="P301" s="941"/>
      <c r="R301" s="988"/>
      <c r="S301" s="988"/>
      <c r="T301" s="988"/>
      <c r="U301" s="988"/>
      <c r="V301" s="988"/>
      <c r="W301" s="988"/>
      <c r="X301" s="988"/>
      <c r="Y301" s="988"/>
    </row>
    <row r="302" spans="1:25" x14ac:dyDescent="0.2">
      <c r="A302" s="987"/>
      <c r="B302" s="987"/>
      <c r="C302" s="987"/>
      <c r="D302" s="987"/>
      <c r="E302" s="987"/>
      <c r="P302" s="941"/>
      <c r="R302" s="988"/>
      <c r="S302" s="988"/>
      <c r="T302" s="988"/>
      <c r="U302" s="988"/>
      <c r="V302" s="988"/>
      <c r="W302" s="988"/>
      <c r="X302" s="988"/>
      <c r="Y302" s="988"/>
    </row>
    <row r="303" spans="1:25" x14ac:dyDescent="0.2">
      <c r="A303" s="987"/>
      <c r="B303" s="987"/>
      <c r="C303" s="987"/>
      <c r="D303" s="987"/>
      <c r="E303" s="987"/>
      <c r="P303" s="941"/>
      <c r="R303" s="988"/>
      <c r="S303" s="988"/>
      <c r="T303" s="988"/>
      <c r="U303" s="988"/>
      <c r="V303" s="988"/>
      <c r="W303" s="988"/>
      <c r="X303" s="988"/>
      <c r="Y303" s="988"/>
    </row>
    <row r="304" spans="1:25" x14ac:dyDescent="0.2">
      <c r="A304" s="987"/>
      <c r="B304" s="987"/>
      <c r="C304" s="987"/>
      <c r="D304" s="987"/>
      <c r="E304" s="987"/>
      <c r="P304" s="941"/>
      <c r="R304" s="988"/>
      <c r="S304" s="988"/>
      <c r="T304" s="988"/>
      <c r="U304" s="988"/>
      <c r="V304" s="988"/>
      <c r="W304" s="988"/>
      <c r="X304" s="988"/>
      <c r="Y304" s="988"/>
    </row>
    <row r="305" spans="1:25" x14ac:dyDescent="0.2">
      <c r="A305" s="987"/>
      <c r="B305" s="987"/>
      <c r="C305" s="987"/>
      <c r="D305" s="987"/>
      <c r="E305" s="987"/>
      <c r="P305" s="941"/>
      <c r="R305" s="988"/>
      <c r="S305" s="988"/>
      <c r="T305" s="988"/>
      <c r="U305" s="988"/>
      <c r="V305" s="988"/>
      <c r="W305" s="988"/>
      <c r="X305" s="988"/>
      <c r="Y305" s="988"/>
    </row>
    <row r="306" spans="1:25" x14ac:dyDescent="0.2">
      <c r="A306" s="987"/>
      <c r="B306" s="987"/>
      <c r="C306" s="987"/>
      <c r="D306" s="987"/>
      <c r="E306" s="987"/>
      <c r="P306" s="941"/>
      <c r="R306" s="988"/>
      <c r="S306" s="988"/>
      <c r="T306" s="988"/>
      <c r="U306" s="988"/>
      <c r="V306" s="988"/>
      <c r="W306" s="988"/>
      <c r="X306" s="988"/>
      <c r="Y306" s="988"/>
    </row>
    <row r="307" spans="1:25" x14ac:dyDescent="0.2">
      <c r="A307" s="987"/>
      <c r="B307" s="987"/>
      <c r="C307" s="987"/>
      <c r="D307" s="987"/>
      <c r="E307" s="987"/>
      <c r="P307" s="941"/>
      <c r="R307" s="988"/>
      <c r="S307" s="988"/>
      <c r="T307" s="988"/>
      <c r="U307" s="988"/>
      <c r="V307" s="988"/>
      <c r="W307" s="988"/>
      <c r="X307" s="988"/>
      <c r="Y307" s="988"/>
    </row>
    <row r="308" spans="1:25" x14ac:dyDescent="0.2">
      <c r="A308" s="987"/>
      <c r="B308" s="987"/>
      <c r="C308" s="987"/>
      <c r="D308" s="987"/>
      <c r="E308" s="987"/>
      <c r="P308" s="941"/>
      <c r="R308" s="988"/>
      <c r="S308" s="988"/>
      <c r="T308" s="988"/>
      <c r="U308" s="988"/>
      <c r="V308" s="988"/>
      <c r="W308" s="988"/>
      <c r="X308" s="988"/>
      <c r="Y308" s="988"/>
    </row>
    <row r="309" spans="1:25" x14ac:dyDescent="0.2">
      <c r="A309" s="987"/>
      <c r="B309" s="987"/>
      <c r="C309" s="987"/>
      <c r="D309" s="987"/>
      <c r="E309" s="987"/>
      <c r="P309" s="941"/>
      <c r="R309" s="988"/>
      <c r="S309" s="988"/>
      <c r="T309" s="988"/>
      <c r="U309" s="988"/>
      <c r="V309" s="988"/>
      <c r="W309" s="988"/>
      <c r="X309" s="988"/>
      <c r="Y309" s="988"/>
    </row>
    <row r="310" spans="1:25" x14ac:dyDescent="0.2">
      <c r="A310" s="987"/>
      <c r="B310" s="987"/>
      <c r="C310" s="987"/>
      <c r="D310" s="987"/>
      <c r="E310" s="987"/>
      <c r="P310" s="941"/>
      <c r="R310" s="988"/>
      <c r="S310" s="988"/>
      <c r="T310" s="988"/>
      <c r="U310" s="988"/>
      <c r="V310" s="988"/>
      <c r="W310" s="988"/>
      <c r="X310" s="988"/>
      <c r="Y310" s="988"/>
    </row>
    <row r="311" spans="1:25" x14ac:dyDescent="0.2">
      <c r="A311" s="987"/>
      <c r="B311" s="987"/>
      <c r="C311" s="987"/>
      <c r="D311" s="987"/>
      <c r="E311" s="987"/>
      <c r="P311" s="941"/>
      <c r="R311" s="988"/>
      <c r="S311" s="988"/>
      <c r="T311" s="988"/>
      <c r="U311" s="988"/>
      <c r="V311" s="988"/>
      <c r="W311" s="988"/>
      <c r="X311" s="988"/>
      <c r="Y311" s="988"/>
    </row>
    <row r="312" spans="1:25" x14ac:dyDescent="0.2">
      <c r="A312" s="987"/>
      <c r="B312" s="987"/>
      <c r="C312" s="987"/>
      <c r="D312" s="987"/>
      <c r="E312" s="987"/>
      <c r="P312" s="941"/>
      <c r="R312" s="988"/>
      <c r="S312" s="988"/>
      <c r="T312" s="988"/>
      <c r="U312" s="988"/>
      <c r="V312" s="988"/>
      <c r="W312" s="988"/>
      <c r="X312" s="988"/>
      <c r="Y312" s="988"/>
    </row>
    <row r="313" spans="1:25" x14ac:dyDescent="0.2">
      <c r="A313" s="987"/>
      <c r="B313" s="987"/>
      <c r="C313" s="987"/>
      <c r="D313" s="987"/>
      <c r="E313" s="987"/>
      <c r="P313" s="941"/>
      <c r="R313" s="988"/>
      <c r="S313" s="988"/>
      <c r="T313" s="988"/>
      <c r="U313" s="988"/>
      <c r="V313" s="988"/>
      <c r="W313" s="988"/>
      <c r="X313" s="988"/>
      <c r="Y313" s="988"/>
    </row>
    <row r="314" spans="1:25" x14ac:dyDescent="0.2">
      <c r="A314" s="987"/>
      <c r="B314" s="987"/>
      <c r="C314" s="987"/>
      <c r="D314" s="987"/>
      <c r="E314" s="987"/>
      <c r="P314" s="941"/>
      <c r="R314" s="988"/>
      <c r="S314" s="988"/>
      <c r="T314" s="988"/>
      <c r="U314" s="988"/>
      <c r="V314" s="988"/>
      <c r="W314" s="988"/>
      <c r="X314" s="988"/>
      <c r="Y314" s="988"/>
    </row>
    <row r="315" spans="1:25" x14ac:dyDescent="0.2">
      <c r="A315" s="987"/>
      <c r="B315" s="987"/>
      <c r="C315" s="987"/>
      <c r="D315" s="987"/>
      <c r="E315" s="987"/>
      <c r="P315" s="941"/>
      <c r="R315" s="988"/>
      <c r="S315" s="988"/>
      <c r="T315" s="988"/>
      <c r="U315" s="988"/>
      <c r="V315" s="988"/>
      <c r="W315" s="988"/>
      <c r="X315" s="988"/>
      <c r="Y315" s="988"/>
    </row>
    <row r="316" spans="1:25" x14ac:dyDescent="0.2">
      <c r="A316" s="987"/>
      <c r="B316" s="987"/>
      <c r="C316" s="987"/>
      <c r="D316" s="987"/>
      <c r="E316" s="987"/>
      <c r="P316" s="941"/>
      <c r="R316" s="988"/>
      <c r="S316" s="988"/>
      <c r="T316" s="988"/>
      <c r="U316" s="988"/>
      <c r="V316" s="988"/>
      <c r="W316" s="988"/>
      <c r="X316" s="988"/>
      <c r="Y316" s="988"/>
    </row>
    <row r="317" spans="1:25" x14ac:dyDescent="0.2">
      <c r="A317" s="987"/>
      <c r="B317" s="987"/>
      <c r="C317" s="987"/>
      <c r="D317" s="987"/>
      <c r="E317" s="987"/>
      <c r="P317" s="941"/>
      <c r="R317" s="988"/>
      <c r="S317" s="988"/>
      <c r="T317" s="988"/>
      <c r="U317" s="988"/>
      <c r="V317" s="988"/>
      <c r="W317" s="988"/>
      <c r="X317" s="988"/>
      <c r="Y317" s="988"/>
    </row>
    <row r="318" spans="1:25" x14ac:dyDescent="0.2">
      <c r="A318" s="987"/>
      <c r="B318" s="987"/>
      <c r="C318" s="987"/>
      <c r="D318" s="987"/>
      <c r="E318" s="987"/>
      <c r="P318" s="941"/>
      <c r="R318" s="988"/>
      <c r="S318" s="988"/>
      <c r="T318" s="988"/>
      <c r="U318" s="988"/>
      <c r="V318" s="988"/>
      <c r="W318" s="988"/>
      <c r="X318" s="988"/>
      <c r="Y318" s="988"/>
    </row>
    <row r="319" spans="1:25" x14ac:dyDescent="0.2">
      <c r="A319" s="987"/>
      <c r="B319" s="987"/>
      <c r="C319" s="987"/>
      <c r="D319" s="987"/>
      <c r="E319" s="987"/>
      <c r="P319" s="941"/>
      <c r="R319" s="988"/>
      <c r="S319" s="988"/>
      <c r="T319" s="988"/>
      <c r="U319" s="988"/>
      <c r="V319" s="988"/>
      <c r="W319" s="988"/>
      <c r="X319" s="988"/>
      <c r="Y319" s="988"/>
    </row>
    <row r="320" spans="1:25" x14ac:dyDescent="0.2">
      <c r="A320" s="987"/>
      <c r="B320" s="987"/>
      <c r="C320" s="987"/>
      <c r="D320" s="987"/>
      <c r="E320" s="987"/>
      <c r="P320" s="941"/>
      <c r="R320" s="988"/>
      <c r="S320" s="988"/>
      <c r="T320" s="988"/>
      <c r="U320" s="988"/>
      <c r="V320" s="988"/>
      <c r="W320" s="988"/>
      <c r="X320" s="988"/>
      <c r="Y320" s="988"/>
    </row>
    <row r="321" spans="1:25" x14ac:dyDescent="0.2">
      <c r="A321" s="987"/>
      <c r="B321" s="987"/>
      <c r="C321" s="987"/>
      <c r="D321" s="987"/>
      <c r="E321" s="987"/>
      <c r="P321" s="941"/>
      <c r="R321" s="988"/>
      <c r="S321" s="988"/>
      <c r="T321" s="988"/>
      <c r="U321" s="988"/>
      <c r="V321" s="988"/>
      <c r="W321" s="988"/>
      <c r="X321" s="988"/>
      <c r="Y321" s="988"/>
    </row>
    <row r="322" spans="1:25" x14ac:dyDescent="0.2">
      <c r="A322" s="987"/>
      <c r="B322" s="987"/>
      <c r="C322" s="987"/>
      <c r="D322" s="987"/>
      <c r="E322" s="987"/>
      <c r="P322" s="941"/>
      <c r="R322" s="988"/>
      <c r="S322" s="988"/>
      <c r="T322" s="988"/>
      <c r="U322" s="988"/>
      <c r="V322" s="988"/>
      <c r="W322" s="988"/>
      <c r="X322" s="988"/>
      <c r="Y322" s="988"/>
    </row>
    <row r="323" spans="1:25" x14ac:dyDescent="0.2">
      <c r="A323" s="987"/>
      <c r="B323" s="987"/>
      <c r="C323" s="987"/>
      <c r="D323" s="987"/>
      <c r="E323" s="987"/>
      <c r="P323" s="941"/>
      <c r="R323" s="988"/>
      <c r="S323" s="988"/>
      <c r="T323" s="988"/>
      <c r="U323" s="988"/>
      <c r="V323" s="988"/>
      <c r="W323" s="988"/>
      <c r="X323" s="988"/>
      <c r="Y323" s="988"/>
    </row>
    <row r="324" spans="1:25" x14ac:dyDescent="0.2">
      <c r="A324" s="987"/>
      <c r="B324" s="987"/>
      <c r="C324" s="987"/>
      <c r="D324" s="987"/>
      <c r="E324" s="987"/>
      <c r="P324" s="941"/>
      <c r="R324" s="988"/>
      <c r="S324" s="988"/>
      <c r="T324" s="988"/>
      <c r="U324" s="988"/>
      <c r="V324" s="988"/>
      <c r="W324" s="988"/>
      <c r="X324" s="988"/>
      <c r="Y324" s="988"/>
    </row>
    <row r="325" spans="1:25" x14ac:dyDescent="0.2">
      <c r="A325" s="987"/>
      <c r="B325" s="987"/>
      <c r="C325" s="987"/>
      <c r="D325" s="987"/>
      <c r="E325" s="987"/>
      <c r="P325" s="941"/>
      <c r="R325" s="988"/>
      <c r="S325" s="988"/>
      <c r="T325" s="988"/>
      <c r="U325" s="988"/>
      <c r="V325" s="988"/>
      <c r="W325" s="988"/>
      <c r="X325" s="988"/>
      <c r="Y325" s="988"/>
    </row>
    <row r="326" spans="1:25" x14ac:dyDescent="0.2">
      <c r="A326" s="987"/>
      <c r="B326" s="987"/>
      <c r="C326" s="987"/>
      <c r="D326" s="987"/>
      <c r="E326" s="987"/>
      <c r="P326" s="941"/>
      <c r="R326" s="988"/>
      <c r="S326" s="988"/>
      <c r="T326" s="988"/>
      <c r="U326" s="988"/>
      <c r="V326" s="988"/>
      <c r="W326" s="988"/>
      <c r="X326" s="988"/>
      <c r="Y326" s="988"/>
    </row>
    <row r="327" spans="1:25" x14ac:dyDescent="0.2">
      <c r="A327" s="987"/>
      <c r="B327" s="987"/>
      <c r="C327" s="987"/>
      <c r="D327" s="987"/>
      <c r="E327" s="987"/>
      <c r="P327" s="941"/>
      <c r="R327" s="988"/>
      <c r="S327" s="988"/>
      <c r="T327" s="988"/>
      <c r="U327" s="988"/>
      <c r="V327" s="988"/>
      <c r="W327" s="988"/>
      <c r="X327" s="988"/>
      <c r="Y327" s="988"/>
    </row>
    <row r="328" spans="1:25" x14ac:dyDescent="0.2">
      <c r="A328" s="987"/>
      <c r="B328" s="987"/>
      <c r="C328" s="987"/>
      <c r="D328" s="987"/>
      <c r="E328" s="987"/>
      <c r="P328" s="941"/>
      <c r="R328" s="988"/>
      <c r="S328" s="988"/>
      <c r="T328" s="988"/>
      <c r="U328" s="988"/>
      <c r="V328" s="988"/>
      <c r="W328" s="988"/>
      <c r="X328" s="988"/>
      <c r="Y328" s="988"/>
    </row>
    <row r="329" spans="1:25" x14ac:dyDescent="0.2">
      <c r="A329" s="987"/>
      <c r="B329" s="987"/>
      <c r="C329" s="987"/>
      <c r="D329" s="987"/>
      <c r="E329" s="987"/>
      <c r="P329" s="941"/>
      <c r="R329" s="988"/>
      <c r="S329" s="988"/>
      <c r="T329" s="988"/>
      <c r="U329" s="988"/>
      <c r="V329" s="988"/>
      <c r="W329" s="988"/>
      <c r="X329" s="988"/>
      <c r="Y329" s="988"/>
    </row>
    <row r="330" spans="1:25" x14ac:dyDescent="0.2">
      <c r="A330" s="987"/>
      <c r="B330" s="987"/>
      <c r="C330" s="987"/>
      <c r="D330" s="987"/>
      <c r="E330" s="987"/>
      <c r="P330" s="941"/>
      <c r="R330" s="988"/>
      <c r="S330" s="988"/>
      <c r="T330" s="988"/>
      <c r="U330" s="988"/>
      <c r="V330" s="988"/>
      <c r="W330" s="988"/>
      <c r="X330" s="988"/>
      <c r="Y330" s="988"/>
    </row>
    <row r="331" spans="1:25" x14ac:dyDescent="0.2">
      <c r="A331" s="987"/>
      <c r="B331" s="987"/>
      <c r="C331" s="987"/>
      <c r="D331" s="987"/>
      <c r="E331" s="987"/>
      <c r="P331" s="941"/>
      <c r="R331" s="988"/>
      <c r="S331" s="988"/>
      <c r="T331" s="988"/>
      <c r="U331" s="988"/>
      <c r="V331" s="988"/>
      <c r="W331" s="988"/>
      <c r="X331" s="988"/>
      <c r="Y331" s="988"/>
    </row>
    <row r="332" spans="1:25" x14ac:dyDescent="0.2">
      <c r="A332" s="987"/>
      <c r="B332" s="987"/>
      <c r="C332" s="987"/>
      <c r="D332" s="987"/>
      <c r="E332" s="987"/>
      <c r="P332" s="941"/>
      <c r="R332" s="988"/>
      <c r="S332" s="988"/>
      <c r="T332" s="988"/>
      <c r="U332" s="988"/>
      <c r="V332" s="988"/>
      <c r="W332" s="988"/>
      <c r="X332" s="988"/>
      <c r="Y332" s="988"/>
    </row>
    <row r="333" spans="1:25" x14ac:dyDescent="0.2">
      <c r="A333" s="987"/>
      <c r="B333" s="987"/>
      <c r="C333" s="987"/>
      <c r="D333" s="987"/>
      <c r="E333" s="987"/>
      <c r="P333" s="941"/>
      <c r="R333" s="988"/>
      <c r="S333" s="988"/>
      <c r="T333" s="988"/>
      <c r="U333" s="988"/>
      <c r="V333" s="988"/>
      <c r="W333" s="988"/>
      <c r="X333" s="988"/>
      <c r="Y333" s="988"/>
    </row>
    <row r="334" spans="1:25" x14ac:dyDescent="0.2">
      <c r="A334" s="987"/>
      <c r="B334" s="987"/>
      <c r="C334" s="987"/>
      <c r="D334" s="987"/>
      <c r="E334" s="987"/>
      <c r="P334" s="941"/>
      <c r="R334" s="988"/>
      <c r="S334" s="988"/>
      <c r="T334" s="988"/>
      <c r="U334" s="988"/>
      <c r="V334" s="988"/>
      <c r="W334" s="988"/>
      <c r="X334" s="988"/>
      <c r="Y334" s="988"/>
    </row>
    <row r="335" spans="1:25" x14ac:dyDescent="0.2">
      <c r="A335" s="987"/>
      <c r="B335" s="987"/>
      <c r="C335" s="987"/>
      <c r="D335" s="987"/>
      <c r="E335" s="987"/>
      <c r="P335" s="941"/>
      <c r="R335" s="988"/>
      <c r="S335" s="988"/>
      <c r="T335" s="988"/>
      <c r="U335" s="988"/>
      <c r="V335" s="988"/>
      <c r="W335" s="988"/>
      <c r="X335" s="988"/>
      <c r="Y335" s="988"/>
    </row>
    <row r="336" spans="1:25" x14ac:dyDescent="0.2">
      <c r="A336" s="987"/>
      <c r="B336" s="987"/>
      <c r="C336" s="987"/>
      <c r="D336" s="987"/>
      <c r="E336" s="987"/>
      <c r="P336" s="941"/>
      <c r="R336" s="988"/>
      <c r="S336" s="988"/>
      <c r="T336" s="988"/>
      <c r="U336" s="988"/>
      <c r="V336" s="988"/>
      <c r="W336" s="988"/>
      <c r="X336" s="988"/>
      <c r="Y336" s="988"/>
    </row>
    <row r="337" spans="1:25" x14ac:dyDescent="0.2">
      <c r="A337" s="987"/>
      <c r="B337" s="987"/>
      <c r="C337" s="987"/>
      <c r="D337" s="987"/>
      <c r="E337" s="987"/>
      <c r="P337" s="941"/>
      <c r="R337" s="988"/>
      <c r="S337" s="988"/>
      <c r="T337" s="988"/>
      <c r="U337" s="988"/>
      <c r="V337" s="988"/>
      <c r="W337" s="988"/>
      <c r="X337" s="988"/>
      <c r="Y337" s="988"/>
    </row>
    <row r="338" spans="1:25" x14ac:dyDescent="0.2">
      <c r="A338" s="987"/>
      <c r="B338" s="987"/>
      <c r="C338" s="987"/>
      <c r="D338" s="987"/>
      <c r="E338" s="987"/>
      <c r="P338" s="941"/>
      <c r="R338" s="988"/>
      <c r="S338" s="988"/>
      <c r="T338" s="988"/>
      <c r="U338" s="988"/>
      <c r="V338" s="988"/>
      <c r="W338" s="988"/>
      <c r="X338" s="988"/>
      <c r="Y338" s="988"/>
    </row>
    <row r="339" spans="1:25" x14ac:dyDescent="0.2">
      <c r="A339" s="987"/>
      <c r="B339" s="987"/>
      <c r="C339" s="987"/>
      <c r="D339" s="987"/>
      <c r="E339" s="987"/>
      <c r="P339" s="941"/>
      <c r="R339" s="988"/>
      <c r="S339" s="988"/>
      <c r="T339" s="988"/>
      <c r="U339" s="988"/>
      <c r="V339" s="988"/>
      <c r="W339" s="988"/>
      <c r="X339" s="988"/>
      <c r="Y339" s="988"/>
    </row>
    <row r="340" spans="1:25" x14ac:dyDescent="0.2">
      <c r="A340" s="987"/>
      <c r="B340" s="987"/>
      <c r="C340" s="987"/>
      <c r="D340" s="987"/>
      <c r="E340" s="987"/>
      <c r="P340" s="941"/>
      <c r="R340" s="988"/>
      <c r="S340" s="988"/>
      <c r="T340" s="988"/>
      <c r="U340" s="988"/>
      <c r="V340" s="988"/>
      <c r="W340" s="988"/>
      <c r="X340" s="988"/>
      <c r="Y340" s="988"/>
    </row>
    <row r="341" spans="1:25" x14ac:dyDescent="0.2">
      <c r="A341" s="987"/>
      <c r="B341" s="987"/>
      <c r="C341" s="987"/>
      <c r="D341" s="987"/>
      <c r="E341" s="987"/>
      <c r="P341" s="941"/>
      <c r="R341" s="988"/>
      <c r="S341" s="988"/>
      <c r="T341" s="988"/>
      <c r="U341" s="988"/>
      <c r="V341" s="988"/>
      <c r="W341" s="988"/>
      <c r="X341" s="988"/>
      <c r="Y341" s="988"/>
    </row>
    <row r="342" spans="1:25" x14ac:dyDescent="0.2">
      <c r="A342" s="987"/>
      <c r="B342" s="987"/>
      <c r="C342" s="987"/>
      <c r="D342" s="987"/>
      <c r="E342" s="987"/>
      <c r="P342" s="941"/>
      <c r="R342" s="988"/>
      <c r="S342" s="988"/>
      <c r="T342" s="988"/>
      <c r="U342" s="988"/>
      <c r="V342" s="988"/>
      <c r="W342" s="988"/>
      <c r="X342" s="988"/>
      <c r="Y342" s="988"/>
    </row>
    <row r="343" spans="1:25" x14ac:dyDescent="0.2">
      <c r="A343" s="987"/>
      <c r="B343" s="987"/>
      <c r="C343" s="987"/>
      <c r="D343" s="987"/>
      <c r="E343" s="987"/>
      <c r="R343" s="988"/>
      <c r="S343" s="988"/>
      <c r="T343" s="988"/>
      <c r="U343" s="988"/>
      <c r="V343" s="988"/>
      <c r="W343" s="988"/>
      <c r="X343" s="988"/>
      <c r="Y343" s="988"/>
    </row>
    <row r="344" spans="1:25" x14ac:dyDescent="0.2">
      <c r="A344" s="987"/>
      <c r="B344" s="987"/>
      <c r="C344" s="987"/>
      <c r="D344" s="987"/>
      <c r="E344" s="987"/>
      <c r="R344" s="988"/>
      <c r="S344" s="988"/>
      <c r="T344" s="988"/>
      <c r="U344" s="988"/>
      <c r="V344" s="988"/>
      <c r="W344" s="988"/>
      <c r="X344" s="988"/>
      <c r="Y344" s="988"/>
    </row>
    <row r="345" spans="1:25" x14ac:dyDescent="0.2">
      <c r="A345" s="987"/>
      <c r="B345" s="987"/>
      <c r="C345" s="987"/>
      <c r="D345" s="987"/>
      <c r="E345" s="987"/>
      <c r="R345" s="988"/>
      <c r="S345" s="988"/>
      <c r="T345" s="988"/>
      <c r="U345" s="988"/>
      <c r="V345" s="988"/>
      <c r="W345" s="988"/>
      <c r="X345" s="988"/>
      <c r="Y345" s="988"/>
    </row>
    <row r="346" spans="1:25" x14ac:dyDescent="0.2">
      <c r="A346" s="987"/>
      <c r="B346" s="987"/>
      <c r="C346" s="987"/>
      <c r="D346" s="987"/>
      <c r="E346" s="987"/>
      <c r="R346" s="988"/>
      <c r="S346" s="988"/>
      <c r="T346" s="988"/>
      <c r="U346" s="988"/>
      <c r="V346" s="988"/>
      <c r="W346" s="988"/>
      <c r="X346" s="988"/>
      <c r="Y346" s="988"/>
    </row>
    <row r="347" spans="1:25" x14ac:dyDescent="0.2">
      <c r="A347" s="987"/>
      <c r="B347" s="987"/>
      <c r="C347" s="987"/>
      <c r="D347" s="987"/>
      <c r="E347" s="987"/>
      <c r="R347" s="988"/>
      <c r="S347" s="988"/>
      <c r="T347" s="988"/>
      <c r="U347" s="988"/>
      <c r="V347" s="988"/>
      <c r="W347" s="988"/>
      <c r="X347" s="988"/>
      <c r="Y347" s="988"/>
    </row>
    <row r="348" spans="1:25" x14ac:dyDescent="0.2">
      <c r="A348" s="987"/>
      <c r="B348" s="987"/>
      <c r="C348" s="987"/>
      <c r="D348" s="987"/>
      <c r="E348" s="987"/>
      <c r="R348" s="988"/>
      <c r="S348" s="988"/>
      <c r="T348" s="988"/>
      <c r="U348" s="988"/>
      <c r="V348" s="988"/>
      <c r="W348" s="988"/>
      <c r="X348" s="988"/>
      <c r="Y348" s="988"/>
    </row>
    <row r="349" spans="1:25" x14ac:dyDescent="0.2">
      <c r="A349" s="987"/>
      <c r="B349" s="987"/>
      <c r="C349" s="987"/>
      <c r="D349" s="987"/>
      <c r="E349" s="987"/>
      <c r="R349" s="988"/>
      <c r="S349" s="988"/>
      <c r="T349" s="988"/>
      <c r="U349" s="988"/>
      <c r="V349" s="988"/>
      <c r="W349" s="988"/>
      <c r="X349" s="988"/>
      <c r="Y349" s="988"/>
    </row>
    <row r="350" spans="1:25" x14ac:dyDescent="0.2">
      <c r="A350" s="987"/>
      <c r="B350" s="987"/>
      <c r="C350" s="987"/>
      <c r="D350" s="987"/>
      <c r="E350" s="987"/>
      <c r="R350" s="988"/>
      <c r="S350" s="988"/>
      <c r="T350" s="988"/>
      <c r="U350" s="988"/>
      <c r="V350" s="988"/>
      <c r="W350" s="988"/>
      <c r="X350" s="988"/>
      <c r="Y350" s="988"/>
    </row>
    <row r="351" spans="1:25" x14ac:dyDescent="0.2">
      <c r="A351" s="987"/>
      <c r="B351" s="987"/>
      <c r="C351" s="987"/>
      <c r="D351" s="987"/>
      <c r="E351" s="987"/>
      <c r="R351" s="988"/>
      <c r="S351" s="988"/>
      <c r="T351" s="988"/>
      <c r="U351" s="988"/>
      <c r="V351" s="988"/>
      <c r="W351" s="988"/>
      <c r="X351" s="988"/>
      <c r="Y351" s="988"/>
    </row>
    <row r="352" spans="1:25" x14ac:dyDescent="0.2">
      <c r="A352" s="987"/>
      <c r="B352" s="987"/>
      <c r="C352" s="987"/>
      <c r="D352" s="987"/>
      <c r="E352" s="987"/>
      <c r="R352" s="988"/>
      <c r="S352" s="988"/>
      <c r="T352" s="988"/>
      <c r="U352" s="988"/>
      <c r="V352" s="988"/>
      <c r="W352" s="988"/>
      <c r="X352" s="988"/>
      <c r="Y352" s="988"/>
    </row>
    <row r="353" spans="1:25" x14ac:dyDescent="0.2">
      <c r="A353" s="987"/>
      <c r="B353" s="987"/>
      <c r="C353" s="987"/>
      <c r="D353" s="987"/>
      <c r="E353" s="987"/>
      <c r="R353" s="988"/>
      <c r="S353" s="988"/>
      <c r="T353" s="988"/>
      <c r="U353" s="988"/>
      <c r="V353" s="988"/>
      <c r="W353" s="988"/>
      <c r="X353" s="988"/>
      <c r="Y353" s="988"/>
    </row>
    <row r="354" spans="1:25" x14ac:dyDescent="0.2">
      <c r="A354" s="987"/>
      <c r="B354" s="987"/>
      <c r="C354" s="987"/>
      <c r="D354" s="987"/>
      <c r="E354" s="987"/>
      <c r="R354" s="988"/>
      <c r="S354" s="988"/>
      <c r="T354" s="988"/>
      <c r="U354" s="988"/>
      <c r="V354" s="988"/>
      <c r="W354" s="988"/>
      <c r="X354" s="988"/>
      <c r="Y354" s="988"/>
    </row>
    <row r="355" spans="1:25" x14ac:dyDescent="0.2">
      <c r="A355" s="987"/>
      <c r="B355" s="987"/>
      <c r="C355" s="987"/>
      <c r="D355" s="987"/>
      <c r="E355" s="987"/>
      <c r="R355" s="988"/>
      <c r="S355" s="988"/>
      <c r="T355" s="988"/>
      <c r="U355" s="988"/>
      <c r="V355" s="988"/>
      <c r="W355" s="988"/>
      <c r="X355" s="988"/>
      <c r="Y355" s="988"/>
    </row>
    <row r="356" spans="1:25" x14ac:dyDescent="0.2">
      <c r="A356" s="987"/>
      <c r="B356" s="987"/>
      <c r="C356" s="987"/>
      <c r="D356" s="987"/>
      <c r="E356" s="987"/>
      <c r="R356" s="988"/>
      <c r="S356" s="988"/>
      <c r="T356" s="988"/>
      <c r="U356" s="988"/>
      <c r="V356" s="988"/>
      <c r="W356" s="988"/>
      <c r="X356" s="988"/>
      <c r="Y356" s="988"/>
    </row>
    <row r="357" spans="1:25" x14ac:dyDescent="0.2">
      <c r="A357" s="987"/>
      <c r="B357" s="987"/>
      <c r="C357" s="987"/>
      <c r="D357" s="987"/>
      <c r="E357" s="987"/>
      <c r="P357" s="990"/>
      <c r="R357" s="988"/>
      <c r="S357" s="988"/>
      <c r="T357" s="988"/>
      <c r="U357" s="988"/>
      <c r="V357" s="988"/>
      <c r="W357" s="988"/>
      <c r="X357" s="988"/>
      <c r="Y357" s="988"/>
    </row>
    <row r="358" spans="1:25" x14ac:dyDescent="0.2">
      <c r="A358" s="987"/>
      <c r="B358" s="987"/>
      <c r="C358" s="987"/>
      <c r="D358" s="987"/>
      <c r="E358" s="987"/>
      <c r="R358" s="988"/>
      <c r="S358" s="988"/>
      <c r="T358" s="988"/>
      <c r="U358" s="988"/>
      <c r="V358" s="988"/>
      <c r="W358" s="988"/>
      <c r="X358" s="988"/>
      <c r="Y358" s="988"/>
    </row>
    <row r="359" spans="1:25" x14ac:dyDescent="0.2">
      <c r="A359" s="987"/>
      <c r="B359" s="987"/>
      <c r="C359" s="987"/>
      <c r="D359" s="987"/>
      <c r="E359" s="987"/>
      <c r="R359" s="988"/>
      <c r="S359" s="988"/>
      <c r="T359" s="988"/>
      <c r="U359" s="988"/>
      <c r="V359" s="988"/>
      <c r="W359" s="988"/>
      <c r="X359" s="988"/>
      <c r="Y359" s="988"/>
    </row>
    <row r="360" spans="1:25" x14ac:dyDescent="0.2">
      <c r="A360" s="987"/>
      <c r="B360" s="987"/>
      <c r="C360" s="987"/>
      <c r="D360" s="987"/>
      <c r="E360" s="987"/>
      <c r="R360" s="988"/>
      <c r="S360" s="988"/>
      <c r="T360" s="988"/>
      <c r="U360" s="988"/>
      <c r="V360" s="988"/>
      <c r="W360" s="988"/>
      <c r="X360" s="988"/>
      <c r="Y360" s="988"/>
    </row>
    <row r="361" spans="1:25" x14ac:dyDescent="0.2">
      <c r="A361" s="987"/>
      <c r="B361" s="987"/>
      <c r="C361" s="987"/>
      <c r="D361" s="987"/>
      <c r="E361" s="987"/>
      <c r="R361" s="988"/>
      <c r="S361" s="988"/>
      <c r="T361" s="988"/>
      <c r="U361" s="988"/>
      <c r="V361" s="988"/>
      <c r="W361" s="988"/>
      <c r="X361" s="988"/>
      <c r="Y361" s="988"/>
    </row>
    <row r="362" spans="1:25" x14ac:dyDescent="0.2">
      <c r="A362" s="987"/>
      <c r="B362" s="987"/>
      <c r="C362" s="987"/>
      <c r="D362" s="987"/>
      <c r="E362" s="987"/>
      <c r="R362" s="988"/>
      <c r="S362" s="988"/>
      <c r="T362" s="988"/>
      <c r="U362" s="988"/>
      <c r="V362" s="988"/>
      <c r="W362" s="988"/>
      <c r="X362" s="988"/>
      <c r="Y362" s="988"/>
    </row>
    <row r="363" spans="1:25" x14ac:dyDescent="0.2">
      <c r="A363" s="987"/>
      <c r="B363" s="987"/>
      <c r="C363" s="987"/>
      <c r="D363" s="987"/>
      <c r="E363" s="987"/>
      <c r="R363" s="988"/>
      <c r="S363" s="988"/>
      <c r="T363" s="988"/>
      <c r="U363" s="988"/>
      <c r="V363" s="988"/>
      <c r="W363" s="988"/>
      <c r="X363" s="988"/>
      <c r="Y363" s="988"/>
    </row>
    <row r="364" spans="1:25" x14ac:dyDescent="0.2">
      <c r="A364" s="987"/>
      <c r="B364" s="987"/>
      <c r="C364" s="987"/>
      <c r="D364" s="987"/>
      <c r="E364" s="987"/>
      <c r="R364" s="988"/>
      <c r="S364" s="988"/>
      <c r="T364" s="988"/>
      <c r="U364" s="988"/>
      <c r="V364" s="988"/>
      <c r="W364" s="988"/>
      <c r="X364" s="988"/>
      <c r="Y364" s="988"/>
    </row>
    <row r="365" spans="1:25" x14ac:dyDescent="0.2">
      <c r="A365" s="987"/>
      <c r="B365" s="987"/>
      <c r="C365" s="987"/>
      <c r="D365" s="987"/>
      <c r="E365" s="987"/>
      <c r="R365" s="988"/>
      <c r="S365" s="988"/>
      <c r="T365" s="988"/>
      <c r="U365" s="988"/>
      <c r="V365" s="988"/>
      <c r="W365" s="988"/>
      <c r="X365" s="988"/>
      <c r="Y365" s="988"/>
    </row>
    <row r="366" spans="1:25" x14ac:dyDescent="0.2">
      <c r="A366" s="987"/>
      <c r="B366" s="987"/>
      <c r="C366" s="987"/>
      <c r="D366" s="987"/>
      <c r="E366" s="987"/>
      <c r="P366" s="990"/>
      <c r="R366" s="988"/>
      <c r="S366" s="988"/>
      <c r="T366" s="988"/>
      <c r="U366" s="988"/>
      <c r="V366" s="988"/>
      <c r="W366" s="988"/>
      <c r="X366" s="988"/>
      <c r="Y366" s="988"/>
    </row>
    <row r="367" spans="1:25" x14ac:dyDescent="0.2">
      <c r="A367" s="987"/>
      <c r="B367" s="987"/>
      <c r="C367" s="987"/>
      <c r="D367" s="987"/>
      <c r="E367" s="987"/>
      <c r="R367" s="988"/>
      <c r="S367" s="988"/>
      <c r="T367" s="988"/>
      <c r="U367" s="988"/>
      <c r="V367" s="988"/>
      <c r="W367" s="988"/>
      <c r="X367" s="988"/>
      <c r="Y367" s="988"/>
    </row>
    <row r="368" spans="1:25" x14ac:dyDescent="0.2">
      <c r="A368" s="987"/>
      <c r="B368" s="987"/>
      <c r="C368" s="987"/>
      <c r="D368" s="987"/>
      <c r="E368" s="987"/>
      <c r="R368" s="988"/>
      <c r="S368" s="988"/>
      <c r="T368" s="988"/>
      <c r="U368" s="988"/>
      <c r="V368" s="988"/>
      <c r="W368" s="988"/>
      <c r="X368" s="988"/>
      <c r="Y368" s="988"/>
    </row>
    <row r="369" spans="1:25" x14ac:dyDescent="0.2">
      <c r="A369" s="987"/>
      <c r="B369" s="987"/>
      <c r="C369" s="987"/>
      <c r="D369" s="987"/>
      <c r="E369" s="987"/>
      <c r="R369" s="988"/>
      <c r="S369" s="988"/>
      <c r="T369" s="988"/>
      <c r="U369" s="988"/>
      <c r="V369" s="988"/>
      <c r="W369" s="988"/>
      <c r="X369" s="988"/>
      <c r="Y369" s="988"/>
    </row>
    <row r="370" spans="1:25" x14ac:dyDescent="0.2">
      <c r="A370" s="987"/>
      <c r="B370" s="987"/>
      <c r="C370" s="987"/>
      <c r="D370" s="987"/>
      <c r="E370" s="987"/>
      <c r="R370" s="988"/>
      <c r="S370" s="988"/>
      <c r="T370" s="988"/>
      <c r="U370" s="988"/>
      <c r="V370" s="988"/>
      <c r="W370" s="988"/>
      <c r="X370" s="988"/>
      <c r="Y370" s="988"/>
    </row>
    <row r="371" spans="1:25" x14ac:dyDescent="0.2">
      <c r="A371" s="987"/>
      <c r="B371" s="987"/>
      <c r="C371" s="987"/>
      <c r="D371" s="987"/>
      <c r="E371" s="987"/>
      <c r="R371" s="988"/>
      <c r="S371" s="988"/>
      <c r="T371" s="988"/>
      <c r="U371" s="988"/>
      <c r="V371" s="988"/>
      <c r="W371" s="988"/>
      <c r="X371" s="988"/>
      <c r="Y371" s="988"/>
    </row>
    <row r="372" spans="1:25" x14ac:dyDescent="0.2">
      <c r="A372" s="987"/>
      <c r="B372" s="987"/>
      <c r="C372" s="987"/>
      <c r="D372" s="987"/>
      <c r="E372" s="987"/>
      <c r="R372" s="988"/>
      <c r="S372" s="988"/>
      <c r="T372" s="988"/>
      <c r="U372" s="988"/>
      <c r="V372" s="988"/>
      <c r="W372" s="988"/>
      <c r="X372" s="988"/>
      <c r="Y372" s="988"/>
    </row>
    <row r="373" spans="1:25" x14ac:dyDescent="0.2">
      <c r="A373" s="987"/>
      <c r="B373" s="987"/>
      <c r="C373" s="987"/>
      <c r="D373" s="987"/>
      <c r="E373" s="987"/>
      <c r="R373" s="988"/>
      <c r="S373" s="988"/>
      <c r="T373" s="988"/>
      <c r="U373" s="988"/>
      <c r="V373" s="988"/>
      <c r="W373" s="988"/>
      <c r="X373" s="988"/>
      <c r="Y373" s="988"/>
    </row>
    <row r="374" spans="1:25" x14ac:dyDescent="0.2">
      <c r="A374" s="987"/>
      <c r="B374" s="987"/>
      <c r="C374" s="987"/>
      <c r="D374" s="987"/>
      <c r="E374" s="987"/>
      <c r="R374" s="988"/>
      <c r="S374" s="988"/>
      <c r="T374" s="988"/>
      <c r="U374" s="988"/>
      <c r="V374" s="988"/>
      <c r="W374" s="988"/>
      <c r="X374" s="988"/>
      <c r="Y374" s="988"/>
    </row>
    <row r="375" spans="1:25" x14ac:dyDescent="0.2">
      <c r="A375" s="987"/>
      <c r="B375" s="987"/>
      <c r="C375" s="987"/>
      <c r="D375" s="987"/>
      <c r="E375" s="987"/>
      <c r="R375" s="988"/>
      <c r="S375" s="988"/>
      <c r="T375" s="988"/>
      <c r="U375" s="988"/>
      <c r="V375" s="988"/>
      <c r="W375" s="988"/>
      <c r="X375" s="988"/>
      <c r="Y375" s="988"/>
    </row>
    <row r="376" spans="1:25" x14ac:dyDescent="0.2">
      <c r="A376" s="987"/>
      <c r="B376" s="987"/>
      <c r="C376" s="987"/>
      <c r="D376" s="987"/>
      <c r="E376" s="987"/>
      <c r="R376" s="988"/>
      <c r="S376" s="988"/>
      <c r="T376" s="988"/>
      <c r="U376" s="988"/>
      <c r="V376" s="988"/>
      <c r="W376" s="988"/>
      <c r="X376" s="988"/>
      <c r="Y376" s="988"/>
    </row>
    <row r="377" spans="1:25" x14ac:dyDescent="0.2">
      <c r="A377" s="987"/>
      <c r="B377" s="987"/>
      <c r="C377" s="987"/>
      <c r="D377" s="987"/>
      <c r="E377" s="987"/>
      <c r="R377" s="988"/>
      <c r="S377" s="988"/>
      <c r="T377" s="988"/>
      <c r="U377" s="988"/>
      <c r="V377" s="988"/>
      <c r="W377" s="988"/>
      <c r="X377" s="988"/>
      <c r="Y377" s="988"/>
    </row>
    <row r="378" spans="1:25" x14ac:dyDescent="0.2">
      <c r="A378" s="987"/>
      <c r="B378" s="987"/>
      <c r="C378" s="987"/>
      <c r="D378" s="987"/>
      <c r="E378" s="987"/>
      <c r="R378" s="988"/>
      <c r="S378" s="988"/>
      <c r="T378" s="988"/>
      <c r="U378" s="988"/>
      <c r="V378" s="988"/>
      <c r="W378" s="988"/>
      <c r="X378" s="988"/>
      <c r="Y378" s="988"/>
    </row>
    <row r="379" spans="1:25" x14ac:dyDescent="0.2">
      <c r="A379" s="987"/>
      <c r="B379" s="987"/>
      <c r="C379" s="987"/>
      <c r="D379" s="987"/>
      <c r="E379" s="987"/>
      <c r="R379" s="988"/>
      <c r="S379" s="988"/>
      <c r="T379" s="988"/>
      <c r="U379" s="988"/>
      <c r="V379" s="988"/>
      <c r="W379" s="988"/>
      <c r="X379" s="988"/>
      <c r="Y379" s="988"/>
    </row>
    <row r="380" spans="1:25" x14ac:dyDescent="0.2">
      <c r="A380" s="987"/>
      <c r="B380" s="987"/>
      <c r="C380" s="987"/>
      <c r="D380" s="987"/>
      <c r="E380" s="987"/>
      <c r="R380" s="988"/>
      <c r="S380" s="988"/>
      <c r="T380" s="988"/>
      <c r="U380" s="988"/>
      <c r="V380" s="988"/>
      <c r="W380" s="988"/>
      <c r="X380" s="988"/>
      <c r="Y380" s="988"/>
    </row>
    <row r="381" spans="1:25" x14ac:dyDescent="0.2">
      <c r="A381" s="987"/>
      <c r="B381" s="987"/>
      <c r="C381" s="987"/>
      <c r="D381" s="987"/>
      <c r="E381" s="987"/>
      <c r="R381" s="988"/>
      <c r="S381" s="988"/>
      <c r="T381" s="988"/>
      <c r="U381" s="988"/>
      <c r="V381" s="988"/>
      <c r="W381" s="988"/>
      <c r="X381" s="988"/>
      <c r="Y381" s="988"/>
    </row>
    <row r="382" spans="1:25" x14ac:dyDescent="0.2">
      <c r="A382" s="987"/>
      <c r="B382" s="987"/>
      <c r="C382" s="987"/>
      <c r="D382" s="987"/>
      <c r="E382" s="987"/>
      <c r="R382" s="988"/>
      <c r="S382" s="988"/>
      <c r="T382" s="988"/>
      <c r="U382" s="988"/>
      <c r="V382" s="988"/>
      <c r="W382" s="988"/>
      <c r="X382" s="988"/>
      <c r="Y382" s="988"/>
    </row>
    <row r="383" spans="1:25" x14ac:dyDescent="0.2">
      <c r="A383" s="987"/>
      <c r="B383" s="987"/>
      <c r="C383" s="987"/>
      <c r="D383" s="987"/>
      <c r="E383" s="987"/>
      <c r="R383" s="988"/>
      <c r="S383" s="988"/>
      <c r="T383" s="988"/>
      <c r="U383" s="988"/>
      <c r="V383" s="988"/>
      <c r="W383" s="988"/>
      <c r="X383" s="988"/>
      <c r="Y383" s="988"/>
    </row>
    <row r="384" spans="1:25" x14ac:dyDescent="0.2">
      <c r="A384" s="987"/>
      <c r="B384" s="987"/>
      <c r="C384" s="987"/>
      <c r="D384" s="987"/>
      <c r="E384" s="987"/>
      <c r="R384" s="988"/>
      <c r="S384" s="988"/>
      <c r="T384" s="988"/>
      <c r="U384" s="988"/>
      <c r="V384" s="988"/>
      <c r="W384" s="988"/>
      <c r="X384" s="988"/>
      <c r="Y384" s="988"/>
    </row>
    <row r="385" spans="1:25" x14ac:dyDescent="0.2">
      <c r="A385" s="987"/>
      <c r="B385" s="987"/>
      <c r="C385" s="987"/>
      <c r="D385" s="987"/>
      <c r="E385" s="987"/>
      <c r="P385" s="990"/>
      <c r="R385" s="988"/>
      <c r="S385" s="988"/>
      <c r="T385" s="988"/>
      <c r="U385" s="988"/>
      <c r="V385" s="988"/>
      <c r="W385" s="988"/>
      <c r="X385" s="988"/>
      <c r="Y385" s="988"/>
    </row>
    <row r="386" spans="1:25" x14ac:dyDescent="0.2">
      <c r="A386" s="987"/>
      <c r="B386" s="987"/>
      <c r="C386" s="987"/>
      <c r="D386" s="987"/>
      <c r="E386" s="987"/>
      <c r="R386" s="988"/>
      <c r="S386" s="988"/>
      <c r="T386" s="988"/>
      <c r="U386" s="988"/>
      <c r="V386" s="988"/>
      <c r="W386" s="988"/>
      <c r="X386" s="988"/>
      <c r="Y386" s="988"/>
    </row>
    <row r="387" spans="1:25" x14ac:dyDescent="0.2">
      <c r="A387" s="987"/>
      <c r="B387" s="987"/>
      <c r="C387" s="987"/>
      <c r="D387" s="987"/>
      <c r="E387" s="987"/>
      <c r="R387" s="988"/>
      <c r="S387" s="988"/>
      <c r="T387" s="988"/>
      <c r="U387" s="988"/>
      <c r="V387" s="988"/>
      <c r="W387" s="988"/>
      <c r="X387" s="988"/>
      <c r="Y387" s="988"/>
    </row>
    <row r="388" spans="1:25" x14ac:dyDescent="0.2">
      <c r="A388" s="987"/>
      <c r="B388" s="987"/>
      <c r="C388" s="987"/>
      <c r="D388" s="987"/>
      <c r="E388" s="987"/>
      <c r="R388" s="988"/>
      <c r="S388" s="988"/>
      <c r="T388" s="988"/>
      <c r="U388" s="988"/>
      <c r="V388" s="988"/>
      <c r="W388" s="988"/>
      <c r="X388" s="988"/>
      <c r="Y388" s="988"/>
    </row>
    <row r="389" spans="1:25" x14ac:dyDescent="0.2">
      <c r="A389" s="987"/>
      <c r="B389" s="987"/>
      <c r="C389" s="987"/>
      <c r="D389" s="987"/>
      <c r="E389" s="987"/>
      <c r="P389" s="990"/>
      <c r="R389" s="988"/>
      <c r="S389" s="988"/>
      <c r="T389" s="988"/>
      <c r="U389" s="988"/>
      <c r="V389" s="988"/>
      <c r="W389" s="988"/>
      <c r="X389" s="988"/>
      <c r="Y389" s="988"/>
    </row>
    <row r="390" spans="1:25" x14ac:dyDescent="0.2">
      <c r="A390" s="987"/>
      <c r="B390" s="987"/>
      <c r="C390" s="987"/>
      <c r="D390" s="987"/>
      <c r="E390" s="987"/>
      <c r="R390" s="988"/>
      <c r="S390" s="988"/>
      <c r="T390" s="988"/>
      <c r="U390" s="988"/>
      <c r="V390" s="988"/>
      <c r="W390" s="988"/>
      <c r="X390" s="988"/>
      <c r="Y390" s="988"/>
    </row>
    <row r="391" spans="1:25" x14ac:dyDescent="0.2">
      <c r="A391" s="987"/>
      <c r="B391" s="987"/>
      <c r="C391" s="987"/>
      <c r="D391" s="987"/>
      <c r="E391" s="987"/>
      <c r="R391" s="988"/>
      <c r="S391" s="988"/>
      <c r="T391" s="988"/>
      <c r="U391" s="988"/>
      <c r="V391" s="988"/>
      <c r="W391" s="988"/>
      <c r="X391" s="988"/>
      <c r="Y391" s="988"/>
    </row>
    <row r="392" spans="1:25" x14ac:dyDescent="0.2">
      <c r="A392" s="987"/>
      <c r="B392" s="987"/>
      <c r="C392" s="987"/>
      <c r="D392" s="987"/>
      <c r="E392" s="987"/>
      <c r="R392" s="988"/>
      <c r="S392" s="988"/>
      <c r="T392" s="988"/>
      <c r="U392" s="988"/>
      <c r="V392" s="988"/>
      <c r="W392" s="988"/>
      <c r="X392" s="988"/>
      <c r="Y392" s="988"/>
    </row>
    <row r="393" spans="1:25" x14ac:dyDescent="0.2">
      <c r="A393" s="987"/>
      <c r="B393" s="987"/>
      <c r="C393" s="987"/>
      <c r="D393" s="987"/>
      <c r="E393" s="987"/>
      <c r="R393" s="988"/>
      <c r="S393" s="988"/>
      <c r="T393" s="988"/>
      <c r="U393" s="988"/>
      <c r="V393" s="988"/>
      <c r="W393" s="988"/>
      <c r="X393" s="988"/>
      <c r="Y393" s="988"/>
    </row>
    <row r="394" spans="1:25" x14ac:dyDescent="0.2">
      <c r="A394" s="987"/>
      <c r="B394" s="987"/>
      <c r="C394" s="987"/>
      <c r="D394" s="987"/>
      <c r="E394" s="987"/>
      <c r="R394" s="988"/>
      <c r="S394" s="988"/>
      <c r="T394" s="988"/>
      <c r="U394" s="988"/>
      <c r="V394" s="988"/>
      <c r="W394" s="988"/>
      <c r="X394" s="988"/>
      <c r="Y394" s="988"/>
    </row>
    <row r="395" spans="1:25" x14ac:dyDescent="0.2">
      <c r="A395" s="987"/>
      <c r="B395" s="987"/>
      <c r="C395" s="987"/>
      <c r="D395" s="987"/>
      <c r="E395" s="987"/>
      <c r="R395" s="988"/>
      <c r="S395" s="988"/>
      <c r="T395" s="988"/>
      <c r="U395" s="988"/>
      <c r="V395" s="988"/>
      <c r="W395" s="988"/>
      <c r="X395" s="988"/>
      <c r="Y395" s="988"/>
    </row>
    <row r="396" spans="1:25" x14ac:dyDescent="0.2">
      <c r="A396" s="987"/>
      <c r="B396" s="987"/>
      <c r="C396" s="987"/>
      <c r="D396" s="987"/>
      <c r="E396" s="987"/>
      <c r="R396" s="988"/>
      <c r="S396" s="988"/>
      <c r="T396" s="988"/>
      <c r="U396" s="988"/>
      <c r="V396" s="988"/>
      <c r="W396" s="988"/>
      <c r="X396" s="988"/>
      <c r="Y396" s="988"/>
    </row>
    <row r="397" spans="1:25" x14ac:dyDescent="0.2">
      <c r="A397" s="987"/>
      <c r="B397" s="987"/>
      <c r="C397" s="987"/>
      <c r="D397" s="987"/>
      <c r="E397" s="987"/>
      <c r="R397" s="988"/>
      <c r="S397" s="988"/>
      <c r="T397" s="988"/>
      <c r="U397" s="988"/>
      <c r="V397" s="988"/>
      <c r="W397" s="988"/>
      <c r="X397" s="988"/>
      <c r="Y397" s="988"/>
    </row>
    <row r="398" spans="1:25" x14ac:dyDescent="0.2">
      <c r="A398" s="987"/>
      <c r="B398" s="987"/>
      <c r="C398" s="987"/>
      <c r="D398" s="987"/>
      <c r="E398" s="987"/>
      <c r="R398" s="988"/>
      <c r="S398" s="988"/>
      <c r="T398" s="988"/>
      <c r="U398" s="988"/>
      <c r="V398" s="988"/>
      <c r="W398" s="988"/>
      <c r="X398" s="988"/>
      <c r="Y398" s="988"/>
    </row>
    <row r="399" spans="1:25" x14ac:dyDescent="0.2">
      <c r="A399" s="987"/>
      <c r="B399" s="987"/>
      <c r="C399" s="987"/>
      <c r="D399" s="987"/>
      <c r="E399" s="987"/>
      <c r="R399" s="988"/>
      <c r="S399" s="988"/>
      <c r="T399" s="988"/>
      <c r="U399" s="988"/>
      <c r="V399" s="988"/>
      <c r="W399" s="988"/>
      <c r="X399" s="988"/>
      <c r="Y399" s="988"/>
    </row>
    <row r="400" spans="1:25" x14ac:dyDescent="0.2">
      <c r="A400" s="987"/>
      <c r="B400" s="987"/>
      <c r="C400" s="987"/>
      <c r="D400" s="987"/>
      <c r="E400" s="987"/>
      <c r="R400" s="988"/>
      <c r="S400" s="988"/>
      <c r="T400" s="988"/>
      <c r="U400" s="988"/>
      <c r="V400" s="988"/>
      <c r="W400" s="988"/>
      <c r="X400" s="988"/>
      <c r="Y400" s="988"/>
    </row>
    <row r="401" spans="1:25" x14ac:dyDescent="0.2">
      <c r="A401" s="987"/>
      <c r="B401" s="987"/>
      <c r="C401" s="987"/>
      <c r="D401" s="987"/>
      <c r="E401" s="987"/>
      <c r="R401" s="988"/>
      <c r="S401" s="988"/>
      <c r="T401" s="988"/>
      <c r="U401" s="988"/>
      <c r="V401" s="988"/>
      <c r="W401" s="988"/>
      <c r="X401" s="988"/>
      <c r="Y401" s="988"/>
    </row>
    <row r="402" spans="1:25" x14ac:dyDescent="0.2">
      <c r="A402" s="987"/>
      <c r="B402" s="987"/>
      <c r="C402" s="987"/>
      <c r="D402" s="987"/>
      <c r="E402" s="987"/>
      <c r="R402" s="988"/>
      <c r="S402" s="988"/>
      <c r="T402" s="988"/>
      <c r="U402" s="988"/>
      <c r="V402" s="988"/>
      <c r="W402" s="988"/>
      <c r="X402" s="988"/>
      <c r="Y402" s="988"/>
    </row>
    <row r="403" spans="1:25" x14ac:dyDescent="0.2">
      <c r="A403" s="987"/>
      <c r="B403" s="987"/>
      <c r="C403" s="987"/>
      <c r="D403" s="987"/>
      <c r="E403" s="987"/>
      <c r="R403" s="988"/>
      <c r="S403" s="988"/>
      <c r="T403" s="988"/>
      <c r="U403" s="988"/>
      <c r="V403" s="988"/>
      <c r="W403" s="988"/>
      <c r="X403" s="988"/>
      <c r="Y403" s="988"/>
    </row>
    <row r="404" spans="1:25" x14ac:dyDescent="0.2">
      <c r="A404" s="987"/>
      <c r="B404" s="987"/>
      <c r="C404" s="987"/>
      <c r="D404" s="987"/>
      <c r="E404" s="987"/>
      <c r="R404" s="988"/>
      <c r="S404" s="988"/>
      <c r="T404" s="988"/>
      <c r="U404" s="988"/>
      <c r="V404" s="988"/>
      <c r="W404" s="988"/>
      <c r="X404" s="988"/>
      <c r="Y404" s="988"/>
    </row>
    <row r="405" spans="1:25" x14ac:dyDescent="0.2">
      <c r="A405" s="987"/>
      <c r="B405" s="987"/>
      <c r="C405" s="987"/>
      <c r="D405" s="987"/>
      <c r="E405" s="987"/>
      <c r="R405" s="988"/>
      <c r="S405" s="988"/>
      <c r="T405" s="988"/>
      <c r="U405" s="988"/>
      <c r="V405" s="988"/>
      <c r="W405" s="988"/>
      <c r="X405" s="988"/>
      <c r="Y405" s="988"/>
    </row>
    <row r="406" spans="1:25" x14ac:dyDescent="0.2">
      <c r="A406" s="987"/>
      <c r="B406" s="987"/>
      <c r="C406" s="987"/>
      <c r="D406" s="987"/>
      <c r="E406" s="987"/>
      <c r="R406" s="988"/>
      <c r="S406" s="988"/>
      <c r="T406" s="988"/>
      <c r="U406" s="988"/>
      <c r="V406" s="988"/>
      <c r="W406" s="988"/>
      <c r="X406" s="988"/>
      <c r="Y406" s="988"/>
    </row>
    <row r="407" spans="1:25" x14ac:dyDescent="0.2">
      <c r="A407" s="987"/>
      <c r="B407" s="987"/>
      <c r="C407" s="987"/>
      <c r="D407" s="987"/>
      <c r="E407" s="987"/>
      <c r="R407" s="988"/>
      <c r="S407" s="988"/>
      <c r="T407" s="988"/>
      <c r="U407" s="988"/>
      <c r="V407" s="988"/>
      <c r="W407" s="988"/>
      <c r="X407" s="988"/>
      <c r="Y407" s="988"/>
    </row>
    <row r="408" spans="1:25" x14ac:dyDescent="0.2">
      <c r="A408" s="987"/>
      <c r="B408" s="987"/>
      <c r="C408" s="987"/>
      <c r="D408" s="987"/>
      <c r="E408" s="987"/>
      <c r="R408" s="988"/>
      <c r="S408" s="988"/>
      <c r="T408" s="988"/>
      <c r="U408" s="988"/>
      <c r="V408" s="988"/>
      <c r="W408" s="988"/>
      <c r="X408" s="988"/>
      <c r="Y408" s="988"/>
    </row>
    <row r="409" spans="1:25" x14ac:dyDescent="0.2">
      <c r="A409" s="987"/>
      <c r="B409" s="987"/>
      <c r="C409" s="987"/>
      <c r="D409" s="987"/>
      <c r="E409" s="987"/>
      <c r="R409" s="988"/>
      <c r="S409" s="988"/>
      <c r="T409" s="988"/>
      <c r="U409" s="988"/>
      <c r="V409" s="988"/>
      <c r="W409" s="988"/>
      <c r="X409" s="988"/>
      <c r="Y409" s="988"/>
    </row>
    <row r="410" spans="1:25" x14ac:dyDescent="0.2">
      <c r="A410" s="987"/>
      <c r="B410" s="987"/>
      <c r="C410" s="987"/>
      <c r="D410" s="987"/>
      <c r="E410" s="987"/>
      <c r="R410" s="988"/>
      <c r="S410" s="988"/>
      <c r="T410" s="988"/>
      <c r="U410" s="988"/>
      <c r="V410" s="988"/>
      <c r="W410" s="988"/>
      <c r="X410" s="988"/>
      <c r="Y410" s="988"/>
    </row>
    <row r="411" spans="1:25" x14ac:dyDescent="0.2">
      <c r="A411" s="987"/>
      <c r="B411" s="987"/>
      <c r="C411" s="987"/>
      <c r="D411" s="987"/>
      <c r="E411" s="987"/>
      <c r="R411" s="988"/>
      <c r="S411" s="988"/>
      <c r="T411" s="988"/>
      <c r="U411" s="988"/>
      <c r="V411" s="988"/>
      <c r="W411" s="988"/>
      <c r="X411" s="988"/>
      <c r="Y411" s="988"/>
    </row>
    <row r="412" spans="1:25" x14ac:dyDescent="0.2">
      <c r="A412" s="987"/>
      <c r="B412" s="987"/>
      <c r="C412" s="987"/>
      <c r="D412" s="987"/>
      <c r="E412" s="987"/>
      <c r="R412" s="988"/>
      <c r="S412" s="988"/>
      <c r="T412" s="988"/>
      <c r="U412" s="988"/>
      <c r="V412" s="988"/>
      <c r="W412" s="988"/>
      <c r="X412" s="988"/>
      <c r="Y412" s="988"/>
    </row>
    <row r="413" spans="1:25" x14ac:dyDescent="0.2">
      <c r="A413" s="987"/>
      <c r="B413" s="987"/>
      <c r="C413" s="987"/>
      <c r="D413" s="987"/>
      <c r="E413" s="987"/>
      <c r="R413" s="988"/>
      <c r="S413" s="988"/>
      <c r="T413" s="988"/>
      <c r="U413" s="988"/>
      <c r="V413" s="988"/>
      <c r="W413" s="988"/>
      <c r="X413" s="988"/>
      <c r="Y413" s="988"/>
    </row>
    <row r="414" spans="1:25" x14ac:dyDescent="0.2">
      <c r="A414" s="987"/>
      <c r="B414" s="987"/>
      <c r="C414" s="987"/>
      <c r="D414" s="987"/>
      <c r="E414" s="987"/>
      <c r="R414" s="988"/>
      <c r="S414" s="988"/>
      <c r="T414" s="988"/>
      <c r="U414" s="988"/>
      <c r="V414" s="988"/>
      <c r="W414" s="988"/>
      <c r="X414" s="988"/>
      <c r="Y414" s="988"/>
    </row>
    <row r="415" spans="1:25" x14ac:dyDescent="0.2">
      <c r="A415" s="987"/>
      <c r="B415" s="987"/>
      <c r="C415" s="987"/>
      <c r="D415" s="987"/>
      <c r="E415" s="987"/>
      <c r="R415" s="988"/>
      <c r="S415" s="988"/>
      <c r="T415" s="988"/>
      <c r="U415" s="988"/>
      <c r="V415" s="988"/>
      <c r="W415" s="988"/>
      <c r="X415" s="988"/>
      <c r="Y415" s="988"/>
    </row>
    <row r="416" spans="1:25" x14ac:dyDescent="0.2">
      <c r="A416" s="987"/>
      <c r="B416" s="987"/>
      <c r="C416" s="987"/>
      <c r="D416" s="987"/>
      <c r="E416" s="987"/>
      <c r="R416" s="988"/>
      <c r="S416" s="988"/>
      <c r="T416" s="988"/>
      <c r="U416" s="988"/>
      <c r="V416" s="988"/>
      <c r="W416" s="988"/>
      <c r="X416" s="988"/>
      <c r="Y416" s="988"/>
    </row>
    <row r="417" spans="1:25" x14ac:dyDescent="0.2">
      <c r="A417" s="987"/>
      <c r="B417" s="987"/>
      <c r="C417" s="987"/>
      <c r="D417" s="987"/>
      <c r="E417" s="987"/>
      <c r="R417" s="988"/>
      <c r="S417" s="988"/>
      <c r="T417" s="988"/>
      <c r="U417" s="988"/>
      <c r="V417" s="988"/>
      <c r="W417" s="988"/>
      <c r="X417" s="988"/>
      <c r="Y417" s="988"/>
    </row>
    <row r="418" spans="1:25" x14ac:dyDescent="0.2">
      <c r="A418" s="987"/>
      <c r="B418" s="987"/>
      <c r="C418" s="987"/>
      <c r="D418" s="987"/>
      <c r="E418" s="987"/>
      <c r="R418" s="988"/>
      <c r="S418" s="988"/>
      <c r="T418" s="988"/>
      <c r="U418" s="988"/>
      <c r="V418" s="988"/>
      <c r="W418" s="988"/>
      <c r="X418" s="988"/>
      <c r="Y418" s="988"/>
    </row>
    <row r="419" spans="1:25" x14ac:dyDescent="0.2">
      <c r="A419" s="987"/>
      <c r="B419" s="987"/>
      <c r="C419" s="987"/>
      <c r="D419" s="987"/>
      <c r="E419" s="987"/>
      <c r="R419" s="988"/>
      <c r="S419" s="988"/>
      <c r="T419" s="988"/>
      <c r="U419" s="988"/>
      <c r="V419" s="988"/>
      <c r="W419" s="988"/>
      <c r="X419" s="988"/>
      <c r="Y419" s="988"/>
    </row>
    <row r="420" spans="1:25" x14ac:dyDescent="0.2">
      <c r="A420" s="987"/>
      <c r="B420" s="987"/>
      <c r="C420" s="987"/>
      <c r="D420" s="987"/>
      <c r="E420" s="987"/>
      <c r="R420" s="988"/>
      <c r="S420" s="988"/>
      <c r="T420" s="988"/>
      <c r="U420" s="988"/>
      <c r="V420" s="988"/>
      <c r="W420" s="988"/>
      <c r="X420" s="988"/>
      <c r="Y420" s="988"/>
    </row>
    <row r="421" spans="1:25" x14ac:dyDescent="0.2">
      <c r="A421" s="987"/>
      <c r="B421" s="987"/>
      <c r="C421" s="987"/>
      <c r="D421" s="987"/>
      <c r="E421" s="987"/>
      <c r="R421" s="988"/>
      <c r="S421" s="988"/>
      <c r="T421" s="988"/>
      <c r="U421" s="988"/>
      <c r="V421" s="988"/>
      <c r="W421" s="988"/>
      <c r="X421" s="988"/>
      <c r="Y421" s="988"/>
    </row>
    <row r="422" spans="1:25" x14ac:dyDescent="0.2">
      <c r="A422" s="987"/>
      <c r="B422" s="987"/>
      <c r="C422" s="987"/>
      <c r="D422" s="987"/>
      <c r="E422" s="987"/>
      <c r="R422" s="988"/>
      <c r="S422" s="988"/>
      <c r="T422" s="988"/>
      <c r="U422" s="988"/>
      <c r="V422" s="988"/>
      <c r="W422" s="988"/>
      <c r="X422" s="988"/>
      <c r="Y422" s="988"/>
    </row>
    <row r="423" spans="1:25" x14ac:dyDescent="0.2">
      <c r="A423" s="987"/>
      <c r="B423" s="987"/>
      <c r="C423" s="987"/>
      <c r="D423" s="987"/>
      <c r="E423" s="987"/>
      <c r="R423" s="988"/>
      <c r="S423" s="988"/>
      <c r="T423" s="988"/>
      <c r="U423" s="988"/>
      <c r="V423" s="988"/>
      <c r="W423" s="988"/>
      <c r="X423" s="988"/>
      <c r="Y423" s="988"/>
    </row>
    <row r="424" spans="1:25" x14ac:dyDescent="0.2">
      <c r="A424" s="987"/>
      <c r="B424" s="987"/>
      <c r="C424" s="987"/>
      <c r="D424" s="987"/>
      <c r="E424" s="987"/>
      <c r="R424" s="988"/>
      <c r="S424" s="988"/>
      <c r="T424" s="988"/>
      <c r="U424" s="988"/>
      <c r="V424" s="988"/>
      <c r="W424" s="988"/>
      <c r="X424" s="988"/>
      <c r="Y424" s="988"/>
    </row>
    <row r="425" spans="1:25" x14ac:dyDescent="0.2">
      <c r="A425" s="987"/>
      <c r="B425" s="987"/>
      <c r="C425" s="987"/>
      <c r="D425" s="987"/>
      <c r="E425" s="987"/>
      <c r="R425" s="988"/>
      <c r="S425" s="988"/>
      <c r="T425" s="988"/>
      <c r="U425" s="988"/>
      <c r="V425" s="988"/>
      <c r="W425" s="988"/>
      <c r="X425" s="988"/>
      <c r="Y425" s="988"/>
    </row>
    <row r="426" spans="1:25" x14ac:dyDescent="0.2">
      <c r="A426" s="987"/>
      <c r="B426" s="987"/>
      <c r="C426" s="987"/>
      <c r="D426" s="987"/>
      <c r="E426" s="987"/>
      <c r="R426" s="988"/>
      <c r="S426" s="988"/>
      <c r="T426" s="988"/>
      <c r="U426" s="988"/>
      <c r="V426" s="988"/>
      <c r="W426" s="988"/>
      <c r="X426" s="988"/>
      <c r="Y426" s="988"/>
    </row>
    <row r="427" spans="1:25" x14ac:dyDescent="0.2">
      <c r="A427" s="987"/>
      <c r="B427" s="987"/>
      <c r="C427" s="987"/>
      <c r="D427" s="987"/>
      <c r="E427" s="987"/>
      <c r="R427" s="988"/>
      <c r="S427" s="988"/>
      <c r="T427" s="988"/>
      <c r="U427" s="988"/>
      <c r="V427" s="988"/>
      <c r="W427" s="988"/>
      <c r="X427" s="988"/>
      <c r="Y427" s="988"/>
    </row>
    <row r="428" spans="1:25" x14ac:dyDescent="0.2">
      <c r="A428" s="987"/>
      <c r="B428" s="987"/>
      <c r="C428" s="987"/>
      <c r="D428" s="987"/>
      <c r="E428" s="987"/>
      <c r="R428" s="988"/>
      <c r="S428" s="988"/>
      <c r="T428" s="988"/>
      <c r="U428" s="988"/>
      <c r="V428" s="988"/>
      <c r="W428" s="988"/>
      <c r="X428" s="988"/>
      <c r="Y428" s="988"/>
    </row>
    <row r="429" spans="1:25" x14ac:dyDescent="0.2">
      <c r="A429" s="987"/>
      <c r="B429" s="987"/>
      <c r="C429" s="987"/>
      <c r="D429" s="987"/>
      <c r="E429" s="987"/>
      <c r="R429" s="988"/>
      <c r="S429" s="988"/>
      <c r="T429" s="988"/>
      <c r="U429" s="988"/>
      <c r="V429" s="988"/>
      <c r="W429" s="988"/>
      <c r="X429" s="988"/>
      <c r="Y429" s="988"/>
    </row>
    <row r="430" spans="1:25" x14ac:dyDescent="0.2">
      <c r="A430" s="987"/>
      <c r="B430" s="987"/>
      <c r="C430" s="987"/>
      <c r="D430" s="987"/>
      <c r="E430" s="987"/>
      <c r="R430" s="988"/>
      <c r="S430" s="988"/>
      <c r="T430" s="988"/>
      <c r="U430" s="988"/>
      <c r="V430" s="988"/>
      <c r="W430" s="988"/>
      <c r="X430" s="988"/>
      <c r="Y430" s="988"/>
    </row>
    <row r="431" spans="1:25" x14ac:dyDescent="0.2">
      <c r="A431" s="987"/>
      <c r="B431" s="987"/>
      <c r="C431" s="987"/>
      <c r="D431" s="987"/>
      <c r="E431" s="987"/>
      <c r="R431" s="988"/>
      <c r="S431" s="988"/>
      <c r="T431" s="988"/>
      <c r="U431" s="988"/>
      <c r="V431" s="988"/>
      <c r="W431" s="988"/>
      <c r="X431" s="988"/>
      <c r="Y431" s="988"/>
    </row>
    <row r="432" spans="1:25" x14ac:dyDescent="0.2">
      <c r="A432" s="987"/>
      <c r="B432" s="987"/>
      <c r="C432" s="987"/>
      <c r="D432" s="987"/>
      <c r="E432" s="987"/>
      <c r="R432" s="988"/>
      <c r="S432" s="988"/>
      <c r="T432" s="988"/>
      <c r="U432" s="988"/>
      <c r="V432" s="988"/>
      <c r="W432" s="988"/>
      <c r="X432" s="988"/>
      <c r="Y432" s="988"/>
    </row>
    <row r="433" spans="1:25" x14ac:dyDescent="0.2">
      <c r="A433" s="987"/>
      <c r="B433" s="987"/>
      <c r="C433" s="987"/>
      <c r="D433" s="987"/>
      <c r="E433" s="987"/>
      <c r="R433" s="988"/>
      <c r="S433" s="988"/>
      <c r="T433" s="988"/>
      <c r="U433" s="988"/>
      <c r="V433" s="988"/>
      <c r="W433" s="988"/>
      <c r="X433" s="988"/>
      <c r="Y433" s="988"/>
    </row>
    <row r="434" spans="1:25" x14ac:dyDescent="0.2">
      <c r="A434" s="987"/>
      <c r="B434" s="987"/>
      <c r="C434" s="987"/>
      <c r="D434" s="987"/>
      <c r="E434" s="987"/>
      <c r="R434" s="988"/>
      <c r="S434" s="988"/>
      <c r="T434" s="988"/>
      <c r="U434" s="988"/>
      <c r="V434" s="988"/>
      <c r="W434" s="988"/>
      <c r="X434" s="988"/>
      <c r="Y434" s="988"/>
    </row>
    <row r="435" spans="1:25" x14ac:dyDescent="0.2">
      <c r="A435" s="987"/>
      <c r="B435" s="987"/>
      <c r="C435" s="987"/>
      <c r="D435" s="987"/>
      <c r="E435" s="987"/>
      <c r="R435" s="988"/>
      <c r="S435" s="988"/>
      <c r="T435" s="988"/>
      <c r="U435" s="988"/>
      <c r="V435" s="988"/>
      <c r="W435" s="988"/>
      <c r="X435" s="988"/>
      <c r="Y435" s="988"/>
    </row>
    <row r="436" spans="1:25" x14ac:dyDescent="0.2">
      <c r="A436" s="987"/>
      <c r="B436" s="987"/>
      <c r="C436" s="987"/>
      <c r="D436" s="987"/>
      <c r="E436" s="987"/>
      <c r="R436" s="988"/>
      <c r="S436" s="988"/>
      <c r="T436" s="988"/>
      <c r="U436" s="988"/>
      <c r="V436" s="988"/>
      <c r="W436" s="988"/>
      <c r="X436" s="988"/>
      <c r="Y436" s="988"/>
    </row>
    <row r="437" spans="1:25" x14ac:dyDescent="0.2">
      <c r="A437" s="987"/>
      <c r="B437" s="987"/>
      <c r="C437" s="987"/>
      <c r="D437" s="987"/>
      <c r="E437" s="987"/>
      <c r="R437" s="988"/>
      <c r="S437" s="988"/>
      <c r="T437" s="988"/>
      <c r="U437" s="988"/>
      <c r="V437" s="988"/>
      <c r="W437" s="988"/>
      <c r="X437" s="988"/>
      <c r="Y437" s="988"/>
    </row>
    <row r="438" spans="1:25" x14ac:dyDescent="0.2">
      <c r="A438" s="987"/>
      <c r="B438" s="987"/>
      <c r="C438" s="987"/>
      <c r="D438" s="987"/>
      <c r="E438" s="987"/>
      <c r="R438" s="988"/>
      <c r="S438" s="988"/>
      <c r="T438" s="988"/>
      <c r="U438" s="988"/>
      <c r="V438" s="988"/>
      <c r="W438" s="988"/>
      <c r="X438" s="988"/>
      <c r="Y438" s="988"/>
    </row>
    <row r="439" spans="1:25" x14ac:dyDescent="0.2">
      <c r="A439" s="987"/>
      <c r="B439" s="987"/>
      <c r="C439" s="987"/>
      <c r="D439" s="987"/>
      <c r="E439" s="987"/>
      <c r="R439" s="988"/>
      <c r="S439" s="988"/>
      <c r="T439" s="988"/>
      <c r="U439" s="988"/>
      <c r="V439" s="988"/>
      <c r="W439" s="988"/>
      <c r="X439" s="988"/>
      <c r="Y439" s="988"/>
    </row>
    <row r="440" spans="1:25" x14ac:dyDescent="0.2">
      <c r="A440" s="987"/>
      <c r="B440" s="987"/>
      <c r="C440" s="987"/>
      <c r="D440" s="987"/>
      <c r="E440" s="987"/>
      <c r="R440" s="988"/>
      <c r="S440" s="988"/>
      <c r="T440" s="988"/>
      <c r="U440" s="988"/>
      <c r="V440" s="988"/>
      <c r="W440" s="988"/>
      <c r="X440" s="988"/>
      <c r="Y440" s="988"/>
    </row>
    <row r="441" spans="1:25" x14ac:dyDescent="0.2">
      <c r="A441" s="987"/>
      <c r="B441" s="987"/>
      <c r="C441" s="987"/>
      <c r="D441" s="987"/>
      <c r="E441" s="987"/>
      <c r="R441" s="988"/>
      <c r="S441" s="988"/>
      <c r="T441" s="988"/>
      <c r="U441" s="988"/>
      <c r="V441" s="988"/>
      <c r="W441" s="988"/>
      <c r="X441" s="988"/>
      <c r="Y441" s="988"/>
    </row>
    <row r="442" spans="1:25" x14ac:dyDescent="0.2">
      <c r="A442" s="987"/>
      <c r="B442" s="987"/>
      <c r="C442" s="987"/>
      <c r="D442" s="987"/>
      <c r="E442" s="987"/>
      <c r="R442" s="988"/>
      <c r="S442" s="988"/>
      <c r="T442" s="988"/>
      <c r="U442" s="988"/>
      <c r="V442" s="988"/>
      <c r="W442" s="988"/>
      <c r="X442" s="988"/>
      <c r="Y442" s="988"/>
    </row>
    <row r="443" spans="1:25" x14ac:dyDescent="0.2">
      <c r="A443" s="987"/>
      <c r="B443" s="987"/>
      <c r="C443" s="987"/>
      <c r="D443" s="987"/>
      <c r="E443" s="987"/>
      <c r="R443" s="988"/>
      <c r="S443" s="988"/>
      <c r="T443" s="988"/>
      <c r="U443" s="988"/>
      <c r="V443" s="988"/>
      <c r="W443" s="988"/>
      <c r="X443" s="988"/>
      <c r="Y443" s="988"/>
    </row>
    <row r="444" spans="1:25" x14ac:dyDescent="0.2">
      <c r="A444" s="987"/>
      <c r="B444" s="987"/>
      <c r="C444" s="987"/>
      <c r="D444" s="987"/>
      <c r="E444" s="987"/>
      <c r="R444" s="988"/>
      <c r="S444" s="988"/>
      <c r="T444" s="988"/>
      <c r="U444" s="988"/>
      <c r="V444" s="988"/>
      <c r="W444" s="988"/>
      <c r="X444" s="988"/>
      <c r="Y444" s="988"/>
    </row>
    <row r="445" spans="1:25" x14ac:dyDescent="0.2">
      <c r="A445" s="987"/>
      <c r="B445" s="987"/>
      <c r="C445" s="987"/>
      <c r="D445" s="987"/>
      <c r="E445" s="987"/>
      <c r="R445" s="988"/>
      <c r="S445" s="988"/>
      <c r="T445" s="988"/>
      <c r="U445" s="988"/>
      <c r="V445" s="988"/>
      <c r="W445" s="988"/>
      <c r="X445" s="988"/>
      <c r="Y445" s="988"/>
    </row>
    <row r="446" spans="1:25" x14ac:dyDescent="0.2">
      <c r="A446" s="987"/>
      <c r="B446" s="987"/>
      <c r="C446" s="987"/>
      <c r="D446" s="987"/>
      <c r="E446" s="987"/>
      <c r="R446" s="988"/>
      <c r="S446" s="988"/>
      <c r="T446" s="988"/>
      <c r="U446" s="988"/>
      <c r="V446" s="988"/>
      <c r="W446" s="988"/>
      <c r="X446" s="988"/>
      <c r="Y446" s="988"/>
    </row>
    <row r="447" spans="1:25" x14ac:dyDescent="0.2">
      <c r="A447" s="987"/>
      <c r="B447" s="987"/>
      <c r="C447" s="987"/>
      <c r="D447" s="987"/>
      <c r="E447" s="987"/>
      <c r="R447" s="988"/>
      <c r="S447" s="988"/>
      <c r="T447" s="988"/>
      <c r="U447" s="988"/>
      <c r="V447" s="988"/>
      <c r="W447" s="988"/>
      <c r="X447" s="988"/>
      <c r="Y447" s="988"/>
    </row>
    <row r="448" spans="1:25" x14ac:dyDescent="0.2">
      <c r="A448" s="987"/>
      <c r="B448" s="987"/>
      <c r="C448" s="987"/>
      <c r="D448" s="987"/>
      <c r="E448" s="987"/>
      <c r="R448" s="988"/>
      <c r="S448" s="988"/>
      <c r="T448" s="988"/>
      <c r="U448" s="988"/>
      <c r="V448" s="988"/>
      <c r="W448" s="988"/>
      <c r="X448" s="988"/>
      <c r="Y448" s="988"/>
    </row>
    <row r="449" spans="1:25" x14ac:dyDescent="0.2">
      <c r="A449" s="987"/>
      <c r="B449" s="987"/>
      <c r="C449" s="987"/>
      <c r="D449" s="987"/>
      <c r="E449" s="987"/>
      <c r="R449" s="988"/>
      <c r="S449" s="988"/>
      <c r="T449" s="988"/>
      <c r="U449" s="988"/>
      <c r="V449" s="988"/>
      <c r="W449" s="988"/>
      <c r="X449" s="988"/>
      <c r="Y449" s="988"/>
    </row>
    <row r="450" spans="1:25" x14ac:dyDescent="0.2">
      <c r="A450" s="987"/>
      <c r="B450" s="987"/>
      <c r="C450" s="987"/>
      <c r="D450" s="987"/>
      <c r="E450" s="987"/>
      <c r="R450" s="988"/>
      <c r="S450" s="988"/>
      <c r="T450" s="988"/>
      <c r="U450" s="988"/>
      <c r="V450" s="988"/>
      <c r="W450" s="988"/>
      <c r="X450" s="988"/>
      <c r="Y450" s="988"/>
    </row>
    <row r="451" spans="1:25" x14ac:dyDescent="0.2">
      <c r="A451" s="987"/>
      <c r="B451" s="987"/>
      <c r="C451" s="987"/>
      <c r="D451" s="987"/>
      <c r="E451" s="987"/>
      <c r="R451" s="988"/>
      <c r="S451" s="988"/>
      <c r="T451" s="988"/>
      <c r="U451" s="988"/>
      <c r="V451" s="988"/>
      <c r="W451" s="988"/>
      <c r="X451" s="988"/>
      <c r="Y451" s="988"/>
    </row>
    <row r="452" spans="1:25" x14ac:dyDescent="0.2">
      <c r="A452" s="987"/>
      <c r="B452" s="987"/>
      <c r="C452" s="987"/>
      <c r="D452" s="987"/>
      <c r="E452" s="987"/>
      <c r="R452" s="988"/>
      <c r="S452" s="988"/>
      <c r="T452" s="988"/>
      <c r="U452" s="988"/>
      <c r="V452" s="988"/>
      <c r="W452" s="988"/>
      <c r="X452" s="988"/>
      <c r="Y452" s="988"/>
    </row>
    <row r="453" spans="1:25" x14ac:dyDescent="0.2">
      <c r="A453" s="987"/>
      <c r="B453" s="987"/>
      <c r="C453" s="987"/>
      <c r="D453" s="987"/>
      <c r="E453" s="987"/>
      <c r="R453" s="988"/>
      <c r="S453" s="988"/>
      <c r="T453" s="988"/>
      <c r="U453" s="988"/>
      <c r="V453" s="988"/>
      <c r="W453" s="988"/>
      <c r="X453" s="988"/>
      <c r="Y453" s="988"/>
    </row>
    <row r="454" spans="1:25" x14ac:dyDescent="0.2">
      <c r="A454" s="987"/>
      <c r="B454" s="987"/>
      <c r="C454" s="987"/>
      <c r="D454" s="987"/>
      <c r="E454" s="987"/>
      <c r="R454" s="988"/>
      <c r="S454" s="988"/>
      <c r="T454" s="988"/>
      <c r="U454" s="988"/>
      <c r="V454" s="988"/>
      <c r="W454" s="988"/>
      <c r="X454" s="988"/>
      <c r="Y454" s="988"/>
    </row>
    <row r="455" spans="1:25" x14ac:dyDescent="0.2">
      <c r="A455" s="987"/>
      <c r="B455" s="987"/>
      <c r="C455" s="987"/>
      <c r="D455" s="987"/>
      <c r="E455" s="987"/>
      <c r="R455" s="988"/>
      <c r="S455" s="988"/>
      <c r="T455" s="988"/>
      <c r="U455" s="988"/>
      <c r="V455" s="988"/>
      <c r="W455" s="988"/>
      <c r="X455" s="988"/>
      <c r="Y455" s="988"/>
    </row>
    <row r="456" spans="1:25" x14ac:dyDescent="0.2">
      <c r="A456" s="987"/>
      <c r="B456" s="987"/>
      <c r="C456" s="987"/>
      <c r="D456" s="987"/>
      <c r="E456" s="987"/>
      <c r="R456" s="988"/>
      <c r="S456" s="988"/>
      <c r="T456" s="988"/>
      <c r="U456" s="988"/>
      <c r="V456" s="988"/>
      <c r="W456" s="988"/>
      <c r="X456" s="988"/>
      <c r="Y456" s="988"/>
    </row>
    <row r="457" spans="1:25" x14ac:dyDescent="0.2">
      <c r="A457" s="987"/>
      <c r="B457" s="987"/>
      <c r="C457" s="987"/>
      <c r="D457" s="987"/>
      <c r="E457" s="987"/>
      <c r="R457" s="988"/>
      <c r="S457" s="988"/>
      <c r="T457" s="988"/>
      <c r="U457" s="988"/>
      <c r="V457" s="988"/>
      <c r="W457" s="988"/>
      <c r="X457" s="988"/>
      <c r="Y457" s="988"/>
    </row>
    <row r="458" spans="1:25" x14ac:dyDescent="0.2">
      <c r="A458" s="987"/>
      <c r="B458" s="987"/>
      <c r="C458" s="987"/>
      <c r="D458" s="987"/>
      <c r="E458" s="987"/>
      <c r="R458" s="988"/>
      <c r="S458" s="988"/>
      <c r="T458" s="988"/>
      <c r="U458" s="988"/>
      <c r="V458" s="988"/>
      <c r="W458" s="988"/>
      <c r="X458" s="988"/>
      <c r="Y458" s="988"/>
    </row>
    <row r="459" spans="1:25" x14ac:dyDescent="0.2">
      <c r="A459" s="987"/>
      <c r="B459" s="987"/>
      <c r="C459" s="987"/>
      <c r="D459" s="987"/>
      <c r="E459" s="987"/>
      <c r="R459" s="988"/>
      <c r="S459" s="988"/>
      <c r="T459" s="988"/>
      <c r="U459" s="988"/>
      <c r="V459" s="988"/>
      <c r="W459" s="988"/>
      <c r="X459" s="988"/>
      <c r="Y459" s="988"/>
    </row>
    <row r="460" spans="1:25" x14ac:dyDescent="0.2">
      <c r="A460" s="987"/>
      <c r="B460" s="987"/>
      <c r="C460" s="987"/>
      <c r="D460" s="987"/>
      <c r="E460" s="987"/>
      <c r="R460" s="988"/>
      <c r="S460" s="988"/>
      <c r="T460" s="988"/>
      <c r="U460" s="988"/>
      <c r="V460" s="988"/>
      <c r="W460" s="988"/>
      <c r="X460" s="988"/>
      <c r="Y460" s="988"/>
    </row>
    <row r="461" spans="1:25" x14ac:dyDescent="0.2">
      <c r="A461" s="987"/>
      <c r="B461" s="987"/>
      <c r="C461" s="987"/>
      <c r="D461" s="987"/>
      <c r="E461" s="987"/>
      <c r="R461" s="988"/>
      <c r="S461" s="988"/>
      <c r="T461" s="988"/>
      <c r="U461" s="988"/>
      <c r="V461" s="988"/>
      <c r="W461" s="988"/>
      <c r="X461" s="988"/>
      <c r="Y461" s="988"/>
    </row>
    <row r="462" spans="1:25" x14ac:dyDescent="0.2">
      <c r="A462" s="987"/>
      <c r="B462" s="987"/>
      <c r="C462" s="987"/>
      <c r="D462" s="987"/>
      <c r="E462" s="987"/>
      <c r="R462" s="988"/>
      <c r="S462" s="988"/>
      <c r="T462" s="988"/>
      <c r="U462" s="988"/>
      <c r="V462" s="988"/>
      <c r="W462" s="988"/>
      <c r="X462" s="988"/>
      <c r="Y462" s="988"/>
    </row>
    <row r="463" spans="1:25" x14ac:dyDescent="0.2">
      <c r="A463" s="987"/>
      <c r="B463" s="987"/>
      <c r="C463" s="987"/>
      <c r="D463" s="987"/>
      <c r="E463" s="987"/>
      <c r="R463" s="988"/>
      <c r="S463" s="988"/>
      <c r="T463" s="988"/>
      <c r="U463" s="988"/>
      <c r="V463" s="988"/>
      <c r="W463" s="988"/>
      <c r="X463" s="988"/>
      <c r="Y463" s="988"/>
    </row>
    <row r="464" spans="1:25" x14ac:dyDescent="0.2">
      <c r="A464" s="987"/>
      <c r="B464" s="987"/>
      <c r="C464" s="987"/>
      <c r="D464" s="987"/>
      <c r="E464" s="987"/>
      <c r="R464" s="988"/>
      <c r="S464" s="988"/>
      <c r="T464" s="988"/>
      <c r="U464" s="988"/>
      <c r="V464" s="988"/>
      <c r="W464" s="988"/>
      <c r="X464" s="988"/>
      <c r="Y464" s="988"/>
    </row>
    <row r="465" spans="1:25" x14ac:dyDescent="0.2">
      <c r="A465" s="987"/>
      <c r="B465" s="987"/>
      <c r="C465" s="987"/>
      <c r="D465" s="987"/>
      <c r="E465" s="987"/>
      <c r="R465" s="988"/>
      <c r="S465" s="988"/>
      <c r="T465" s="988"/>
      <c r="U465" s="988"/>
      <c r="V465" s="988"/>
      <c r="W465" s="988"/>
      <c r="X465" s="988"/>
      <c r="Y465" s="988"/>
    </row>
    <row r="466" spans="1:25" x14ac:dyDescent="0.2">
      <c r="A466" s="987"/>
      <c r="B466" s="987"/>
      <c r="C466" s="987"/>
      <c r="D466" s="987"/>
      <c r="E466" s="987"/>
      <c r="R466" s="988"/>
      <c r="S466" s="988"/>
      <c r="T466" s="988"/>
      <c r="U466" s="988"/>
      <c r="V466" s="988"/>
      <c r="W466" s="988"/>
      <c r="X466" s="988"/>
      <c r="Y466" s="988"/>
    </row>
    <row r="467" spans="1:25" x14ac:dyDescent="0.2">
      <c r="A467" s="987"/>
      <c r="B467" s="987"/>
      <c r="C467" s="987"/>
      <c r="D467" s="987"/>
      <c r="E467" s="987"/>
      <c r="R467" s="988"/>
      <c r="S467" s="988"/>
      <c r="T467" s="988"/>
      <c r="U467" s="988"/>
      <c r="V467" s="988"/>
      <c r="W467" s="988"/>
      <c r="X467" s="988"/>
      <c r="Y467" s="988"/>
    </row>
    <row r="468" spans="1:25" x14ac:dyDescent="0.2">
      <c r="A468" s="987"/>
      <c r="B468" s="987"/>
      <c r="C468" s="987"/>
      <c r="D468" s="987"/>
      <c r="E468" s="987"/>
      <c r="R468" s="988"/>
      <c r="S468" s="988"/>
      <c r="T468" s="988"/>
      <c r="U468" s="988"/>
      <c r="V468" s="988"/>
      <c r="W468" s="988"/>
      <c r="X468" s="988"/>
      <c r="Y468" s="988"/>
    </row>
    <row r="469" spans="1:25" x14ac:dyDescent="0.2">
      <c r="A469" s="987"/>
      <c r="B469" s="987"/>
      <c r="C469" s="987"/>
      <c r="D469" s="987"/>
      <c r="E469" s="987"/>
      <c r="R469" s="988"/>
      <c r="S469" s="988"/>
      <c r="T469" s="988"/>
      <c r="U469" s="988"/>
      <c r="V469" s="988"/>
      <c r="W469" s="988"/>
      <c r="X469" s="988"/>
      <c r="Y469" s="988"/>
    </row>
    <row r="470" spans="1:25" x14ac:dyDescent="0.2">
      <c r="A470" s="987"/>
      <c r="B470" s="987"/>
      <c r="C470" s="987"/>
      <c r="D470" s="987"/>
      <c r="E470" s="987"/>
      <c r="R470" s="988"/>
      <c r="S470" s="988"/>
      <c r="T470" s="988"/>
      <c r="U470" s="988"/>
      <c r="V470" s="988"/>
      <c r="W470" s="988"/>
      <c r="X470" s="988"/>
      <c r="Y470" s="988"/>
    </row>
    <row r="471" spans="1:25" x14ac:dyDescent="0.2">
      <c r="A471" s="987"/>
      <c r="B471" s="987"/>
      <c r="C471" s="987"/>
      <c r="D471" s="987"/>
      <c r="E471" s="987"/>
      <c r="R471" s="988"/>
      <c r="S471" s="988"/>
      <c r="T471" s="988"/>
      <c r="U471" s="988"/>
      <c r="V471" s="988"/>
      <c r="W471" s="988"/>
      <c r="X471" s="988"/>
      <c r="Y471" s="988"/>
    </row>
    <row r="472" spans="1:25" x14ac:dyDescent="0.2">
      <c r="A472" s="987"/>
      <c r="B472" s="987"/>
      <c r="C472" s="987"/>
      <c r="D472" s="987"/>
      <c r="E472" s="987"/>
      <c r="R472" s="988"/>
      <c r="S472" s="988"/>
      <c r="T472" s="988"/>
      <c r="U472" s="988"/>
      <c r="V472" s="988"/>
      <c r="W472" s="988"/>
      <c r="X472" s="988"/>
      <c r="Y472" s="988"/>
    </row>
    <row r="473" spans="1:25" x14ac:dyDescent="0.2">
      <c r="A473" s="987"/>
      <c r="B473" s="987"/>
      <c r="C473" s="987"/>
      <c r="D473" s="987"/>
      <c r="E473" s="987"/>
      <c r="R473" s="988"/>
      <c r="S473" s="988"/>
      <c r="T473" s="988"/>
      <c r="U473" s="988"/>
      <c r="V473" s="988"/>
      <c r="W473" s="988"/>
      <c r="X473" s="988"/>
      <c r="Y473" s="988"/>
    </row>
    <row r="474" spans="1:25" x14ac:dyDescent="0.2">
      <c r="A474" s="987"/>
      <c r="B474" s="987"/>
      <c r="C474" s="987"/>
      <c r="D474" s="987"/>
      <c r="E474" s="987"/>
      <c r="R474" s="988"/>
      <c r="S474" s="988"/>
      <c r="T474" s="988"/>
      <c r="U474" s="988"/>
      <c r="V474" s="988"/>
      <c r="W474" s="988"/>
      <c r="X474" s="988"/>
      <c r="Y474" s="988"/>
    </row>
    <row r="475" spans="1:25" x14ac:dyDescent="0.2">
      <c r="A475" s="987"/>
      <c r="B475" s="987"/>
      <c r="C475" s="987"/>
      <c r="D475" s="987"/>
      <c r="E475" s="987"/>
      <c r="R475" s="988"/>
      <c r="S475" s="988"/>
      <c r="T475" s="988"/>
      <c r="U475" s="988"/>
      <c r="V475" s="988"/>
      <c r="W475" s="988"/>
      <c r="X475" s="988"/>
      <c r="Y475" s="988"/>
    </row>
    <row r="476" spans="1:25" x14ac:dyDescent="0.2">
      <c r="A476" s="987"/>
      <c r="B476" s="987"/>
      <c r="C476" s="987"/>
      <c r="D476" s="987"/>
      <c r="E476" s="987"/>
      <c r="R476" s="988"/>
      <c r="S476" s="988"/>
      <c r="T476" s="988"/>
      <c r="U476" s="988"/>
      <c r="V476" s="988"/>
      <c r="W476" s="988"/>
      <c r="X476" s="988"/>
      <c r="Y476" s="988"/>
    </row>
    <row r="477" spans="1:25" x14ac:dyDescent="0.2">
      <c r="A477" s="987"/>
      <c r="B477" s="987"/>
      <c r="C477" s="987"/>
      <c r="D477" s="987"/>
      <c r="E477" s="987"/>
      <c r="R477" s="988"/>
      <c r="S477" s="988"/>
      <c r="T477" s="988"/>
      <c r="U477" s="988"/>
      <c r="V477" s="988"/>
      <c r="W477" s="988"/>
      <c r="X477" s="988"/>
      <c r="Y477" s="988"/>
    </row>
    <row r="478" spans="1:25" x14ac:dyDescent="0.2">
      <c r="A478" s="987"/>
      <c r="B478" s="987"/>
      <c r="C478" s="987"/>
      <c r="D478" s="987"/>
      <c r="E478" s="987"/>
      <c r="R478" s="988"/>
      <c r="S478" s="988"/>
      <c r="T478" s="988"/>
      <c r="U478" s="988"/>
      <c r="V478" s="988"/>
      <c r="W478" s="988"/>
      <c r="X478" s="988"/>
      <c r="Y478" s="988"/>
    </row>
    <row r="479" spans="1:25" x14ac:dyDescent="0.2">
      <c r="A479" s="987"/>
      <c r="B479" s="987"/>
      <c r="C479" s="987"/>
      <c r="D479" s="987"/>
      <c r="E479" s="987"/>
      <c r="R479" s="988"/>
      <c r="S479" s="988"/>
      <c r="T479" s="988"/>
      <c r="U479" s="988"/>
      <c r="V479" s="988"/>
      <c r="W479" s="988"/>
      <c r="X479" s="988"/>
      <c r="Y479" s="988"/>
    </row>
    <row r="480" spans="1:25" x14ac:dyDescent="0.2">
      <c r="A480" s="987"/>
      <c r="B480" s="987"/>
      <c r="C480" s="987"/>
      <c r="D480" s="987"/>
      <c r="E480" s="987"/>
      <c r="R480" s="988"/>
      <c r="S480" s="988"/>
      <c r="T480" s="988"/>
      <c r="U480" s="988"/>
      <c r="V480" s="988"/>
      <c r="W480" s="988"/>
      <c r="X480" s="988"/>
      <c r="Y480" s="988"/>
    </row>
    <row r="481" spans="1:25" x14ac:dyDescent="0.2">
      <c r="A481" s="987"/>
      <c r="B481" s="987"/>
      <c r="C481" s="987"/>
      <c r="D481" s="987"/>
      <c r="E481" s="987"/>
      <c r="R481" s="988"/>
      <c r="S481" s="988"/>
      <c r="T481" s="988"/>
      <c r="U481" s="988"/>
      <c r="V481" s="988"/>
      <c r="W481" s="988"/>
      <c r="X481" s="988"/>
      <c r="Y481" s="988"/>
    </row>
    <row r="482" spans="1:25" x14ac:dyDescent="0.2">
      <c r="A482" s="987"/>
      <c r="B482" s="987"/>
      <c r="C482" s="987"/>
      <c r="D482" s="987"/>
      <c r="E482" s="987"/>
      <c r="R482" s="988"/>
      <c r="S482" s="988"/>
      <c r="T482" s="988"/>
      <c r="U482" s="988"/>
      <c r="V482" s="988"/>
      <c r="W482" s="988"/>
      <c r="X482" s="988"/>
      <c r="Y482" s="988"/>
    </row>
    <row r="483" spans="1:25" x14ac:dyDescent="0.2">
      <c r="A483" s="987"/>
      <c r="B483" s="987"/>
      <c r="C483" s="987"/>
      <c r="D483" s="987"/>
      <c r="E483" s="987"/>
      <c r="R483" s="988"/>
      <c r="S483" s="988"/>
      <c r="T483" s="988"/>
      <c r="U483" s="988"/>
      <c r="V483" s="988"/>
      <c r="W483" s="988"/>
      <c r="X483" s="988"/>
      <c r="Y483" s="988"/>
    </row>
    <row r="484" spans="1:25" x14ac:dyDescent="0.2">
      <c r="A484" s="987"/>
      <c r="B484" s="987"/>
      <c r="C484" s="987"/>
      <c r="D484" s="987"/>
      <c r="E484" s="987"/>
      <c r="R484" s="988"/>
      <c r="S484" s="988"/>
      <c r="T484" s="988"/>
      <c r="U484" s="988"/>
      <c r="V484" s="988"/>
      <c r="W484" s="988"/>
      <c r="X484" s="988"/>
      <c r="Y484" s="988"/>
    </row>
    <row r="485" spans="1:25" x14ac:dyDescent="0.2">
      <c r="A485" s="987"/>
      <c r="B485" s="987"/>
      <c r="C485" s="987"/>
      <c r="D485" s="987"/>
      <c r="E485" s="987"/>
      <c r="R485" s="988"/>
      <c r="S485" s="988"/>
      <c r="T485" s="988"/>
      <c r="U485" s="988"/>
      <c r="V485" s="988"/>
      <c r="W485" s="988"/>
      <c r="X485" s="988"/>
      <c r="Y485" s="988"/>
    </row>
    <row r="486" spans="1:25" x14ac:dyDescent="0.2">
      <c r="A486" s="987"/>
      <c r="B486" s="987"/>
      <c r="C486" s="987"/>
      <c r="D486" s="987"/>
      <c r="E486" s="987"/>
      <c r="R486" s="988"/>
      <c r="S486" s="988"/>
      <c r="T486" s="988"/>
      <c r="U486" s="988"/>
      <c r="V486" s="988"/>
      <c r="W486" s="988"/>
      <c r="X486" s="988"/>
      <c r="Y486" s="988"/>
    </row>
    <row r="487" spans="1:25" x14ac:dyDescent="0.2">
      <c r="A487" s="987"/>
      <c r="B487" s="987"/>
      <c r="C487" s="987"/>
      <c r="D487" s="987"/>
      <c r="E487" s="987"/>
      <c r="R487" s="988"/>
      <c r="S487" s="988"/>
      <c r="T487" s="988"/>
      <c r="U487" s="988"/>
      <c r="V487" s="988"/>
      <c r="W487" s="988"/>
      <c r="X487" s="988"/>
      <c r="Y487" s="988"/>
    </row>
    <row r="488" spans="1:25" x14ac:dyDescent="0.2">
      <c r="A488" s="987"/>
      <c r="B488" s="987"/>
      <c r="C488" s="987"/>
      <c r="D488" s="987"/>
      <c r="E488" s="987"/>
      <c r="R488" s="988"/>
      <c r="S488" s="988"/>
      <c r="T488" s="988"/>
      <c r="U488" s="988"/>
      <c r="V488" s="988"/>
      <c r="W488" s="988"/>
      <c r="X488" s="988"/>
      <c r="Y488" s="988"/>
    </row>
    <row r="489" spans="1:25" x14ac:dyDescent="0.2">
      <c r="A489" s="987"/>
      <c r="B489" s="987"/>
      <c r="C489" s="987"/>
      <c r="D489" s="987"/>
      <c r="E489" s="987"/>
      <c r="R489" s="988"/>
      <c r="S489" s="988"/>
      <c r="T489" s="988"/>
      <c r="U489" s="988"/>
      <c r="V489" s="988"/>
      <c r="W489" s="988"/>
      <c r="X489" s="988"/>
      <c r="Y489" s="988"/>
    </row>
    <row r="490" spans="1:25" x14ac:dyDescent="0.2">
      <c r="A490" s="987"/>
      <c r="B490" s="987"/>
      <c r="C490" s="987"/>
      <c r="D490" s="987"/>
      <c r="E490" s="987"/>
      <c r="R490" s="988"/>
      <c r="S490" s="988"/>
      <c r="T490" s="988"/>
      <c r="U490" s="988"/>
      <c r="V490" s="988"/>
      <c r="W490" s="988"/>
      <c r="X490" s="988"/>
      <c r="Y490" s="988"/>
    </row>
    <row r="491" spans="1:25" x14ac:dyDescent="0.2">
      <c r="A491" s="987"/>
      <c r="B491" s="987"/>
      <c r="C491" s="987"/>
      <c r="D491" s="987"/>
      <c r="E491" s="987"/>
      <c r="R491" s="988"/>
      <c r="S491" s="988"/>
      <c r="T491" s="988"/>
      <c r="U491" s="988"/>
      <c r="V491" s="988"/>
      <c r="W491" s="988"/>
      <c r="X491" s="988"/>
      <c r="Y491" s="988"/>
    </row>
    <row r="492" spans="1:25" x14ac:dyDescent="0.2">
      <c r="A492" s="987"/>
      <c r="B492" s="987"/>
      <c r="C492" s="987"/>
      <c r="D492" s="987"/>
      <c r="E492" s="987"/>
      <c r="R492" s="988"/>
      <c r="S492" s="988"/>
      <c r="T492" s="988"/>
      <c r="U492" s="988"/>
      <c r="V492" s="988"/>
      <c r="W492" s="988"/>
      <c r="X492" s="988"/>
      <c r="Y492" s="988"/>
    </row>
    <row r="493" spans="1:25" x14ac:dyDescent="0.2">
      <c r="A493" s="987"/>
      <c r="B493" s="987"/>
      <c r="C493" s="987"/>
      <c r="D493" s="987"/>
      <c r="E493" s="987"/>
      <c r="R493" s="988"/>
      <c r="S493" s="988"/>
      <c r="T493" s="988"/>
      <c r="U493" s="988"/>
      <c r="V493" s="988"/>
      <c r="W493" s="988"/>
      <c r="X493" s="988"/>
      <c r="Y493" s="988"/>
    </row>
    <row r="494" spans="1:25" x14ac:dyDescent="0.2">
      <c r="A494" s="987"/>
      <c r="B494" s="987"/>
      <c r="C494" s="987"/>
      <c r="D494" s="987"/>
      <c r="E494" s="987"/>
      <c r="R494" s="988"/>
      <c r="S494" s="988"/>
      <c r="T494" s="988"/>
      <c r="U494" s="988"/>
      <c r="V494" s="988"/>
      <c r="W494" s="988"/>
      <c r="X494" s="988"/>
      <c r="Y494" s="988"/>
    </row>
    <row r="495" spans="1:25" x14ac:dyDescent="0.2">
      <c r="A495" s="987"/>
      <c r="B495" s="987"/>
      <c r="C495" s="987"/>
      <c r="D495" s="987"/>
      <c r="E495" s="987"/>
      <c r="R495" s="988"/>
      <c r="S495" s="988"/>
      <c r="T495" s="988"/>
      <c r="U495" s="988"/>
      <c r="V495" s="988"/>
      <c r="W495" s="988"/>
      <c r="X495" s="988"/>
      <c r="Y495" s="988"/>
    </row>
    <row r="496" spans="1:25" x14ac:dyDescent="0.2">
      <c r="A496" s="987"/>
      <c r="B496" s="987"/>
      <c r="C496" s="987"/>
      <c r="D496" s="987"/>
      <c r="E496" s="987"/>
      <c r="R496" s="988"/>
      <c r="S496" s="988"/>
      <c r="T496" s="988"/>
      <c r="U496" s="988"/>
      <c r="V496" s="988"/>
      <c r="W496" s="988"/>
      <c r="X496" s="988"/>
      <c r="Y496" s="988"/>
    </row>
    <row r="497" spans="1:25" x14ac:dyDescent="0.2">
      <c r="A497" s="987"/>
      <c r="B497" s="987"/>
      <c r="C497" s="987"/>
      <c r="D497" s="987"/>
      <c r="E497" s="987"/>
      <c r="R497" s="988"/>
      <c r="S497" s="988"/>
      <c r="T497" s="988"/>
      <c r="U497" s="988"/>
      <c r="V497" s="988"/>
      <c r="W497" s="988"/>
      <c r="X497" s="988"/>
      <c r="Y497" s="988"/>
    </row>
    <row r="498" spans="1:25" x14ac:dyDescent="0.2">
      <c r="A498" s="987"/>
      <c r="B498" s="987"/>
      <c r="C498" s="987"/>
      <c r="D498" s="987"/>
      <c r="E498" s="987"/>
      <c r="R498" s="988"/>
      <c r="S498" s="988"/>
      <c r="T498" s="988"/>
      <c r="U498" s="988"/>
      <c r="V498" s="988"/>
      <c r="W498" s="988"/>
      <c r="X498" s="988"/>
      <c r="Y498" s="988"/>
    </row>
    <row r="499" spans="1:25" x14ac:dyDescent="0.2">
      <c r="A499" s="987"/>
      <c r="B499" s="987"/>
      <c r="C499" s="987"/>
      <c r="D499" s="987"/>
      <c r="E499" s="987"/>
      <c r="R499" s="988"/>
      <c r="S499" s="988"/>
      <c r="T499" s="988"/>
      <c r="U499" s="988"/>
      <c r="V499" s="988"/>
      <c r="W499" s="988"/>
      <c r="X499" s="988"/>
      <c r="Y499" s="988"/>
    </row>
    <row r="500" spans="1:25" x14ac:dyDescent="0.2">
      <c r="A500" s="987"/>
      <c r="B500" s="987"/>
      <c r="C500" s="987"/>
      <c r="D500" s="987"/>
      <c r="E500" s="987"/>
      <c r="R500" s="988"/>
      <c r="S500" s="988"/>
      <c r="T500" s="988"/>
      <c r="U500" s="988"/>
      <c r="V500" s="988"/>
      <c r="W500" s="988"/>
      <c r="X500" s="988"/>
      <c r="Y500" s="988"/>
    </row>
    <row r="501" spans="1:25" x14ac:dyDescent="0.2">
      <c r="A501" s="987"/>
      <c r="B501" s="987"/>
      <c r="C501" s="987"/>
      <c r="D501" s="987"/>
      <c r="E501" s="987"/>
      <c r="R501" s="988"/>
      <c r="S501" s="988"/>
      <c r="T501" s="988"/>
      <c r="U501" s="988"/>
      <c r="V501" s="988"/>
      <c r="W501" s="988"/>
      <c r="X501" s="988"/>
      <c r="Y501" s="988"/>
    </row>
    <row r="502" spans="1:25" x14ac:dyDescent="0.2">
      <c r="A502" s="987"/>
      <c r="B502" s="987"/>
      <c r="C502" s="987"/>
      <c r="D502" s="987"/>
      <c r="E502" s="987"/>
      <c r="R502" s="988"/>
      <c r="S502" s="988"/>
      <c r="T502" s="988"/>
      <c r="U502" s="988"/>
      <c r="V502" s="988"/>
      <c r="W502" s="988"/>
      <c r="X502" s="988"/>
      <c r="Y502" s="988"/>
    </row>
    <row r="503" spans="1:25" x14ac:dyDescent="0.2">
      <c r="A503" s="987"/>
      <c r="B503" s="987"/>
      <c r="C503" s="987"/>
      <c r="D503" s="987"/>
      <c r="E503" s="987"/>
      <c r="R503" s="988"/>
      <c r="S503" s="988"/>
      <c r="T503" s="988"/>
      <c r="U503" s="988"/>
      <c r="V503" s="988"/>
      <c r="W503" s="988"/>
      <c r="X503" s="988"/>
      <c r="Y503" s="988"/>
    </row>
    <row r="504" spans="1:25" x14ac:dyDescent="0.2">
      <c r="A504" s="987"/>
      <c r="B504" s="987"/>
      <c r="C504" s="987"/>
      <c r="D504" s="987"/>
      <c r="E504" s="987"/>
      <c r="R504" s="988"/>
      <c r="S504" s="988"/>
      <c r="T504" s="988"/>
      <c r="U504" s="988"/>
      <c r="V504" s="988"/>
      <c r="W504" s="988"/>
      <c r="X504" s="988"/>
      <c r="Y504" s="988"/>
    </row>
    <row r="505" spans="1:25" x14ac:dyDescent="0.2">
      <c r="A505" s="987"/>
      <c r="B505" s="987"/>
      <c r="C505" s="987"/>
      <c r="D505" s="987"/>
      <c r="E505" s="987"/>
      <c r="R505" s="988"/>
      <c r="S505" s="988"/>
      <c r="T505" s="988"/>
      <c r="U505" s="988"/>
      <c r="V505" s="988"/>
      <c r="W505" s="988"/>
      <c r="X505" s="988"/>
      <c r="Y505" s="988"/>
    </row>
    <row r="506" spans="1:25" x14ac:dyDescent="0.2">
      <c r="A506" s="987"/>
      <c r="B506" s="987"/>
      <c r="C506" s="987"/>
      <c r="D506" s="987"/>
      <c r="E506" s="987"/>
      <c r="R506" s="988"/>
      <c r="S506" s="988"/>
      <c r="T506" s="988"/>
      <c r="U506" s="988"/>
      <c r="V506" s="988"/>
      <c r="W506" s="988"/>
      <c r="X506" s="988"/>
      <c r="Y506" s="988"/>
    </row>
    <row r="507" spans="1:25" x14ac:dyDescent="0.2">
      <c r="A507" s="987"/>
      <c r="B507" s="987"/>
      <c r="C507" s="987"/>
      <c r="D507" s="987"/>
      <c r="E507" s="987"/>
      <c r="R507" s="988"/>
      <c r="S507" s="988"/>
      <c r="T507" s="988"/>
      <c r="U507" s="988"/>
      <c r="V507" s="988"/>
      <c r="W507" s="988"/>
      <c r="X507" s="988"/>
      <c r="Y507" s="988"/>
    </row>
    <row r="508" spans="1:25" x14ac:dyDescent="0.2">
      <c r="A508" s="987"/>
      <c r="B508" s="987"/>
      <c r="C508" s="987"/>
      <c r="D508" s="987"/>
      <c r="E508" s="987"/>
      <c r="R508" s="988"/>
      <c r="S508" s="988"/>
      <c r="T508" s="988"/>
      <c r="U508" s="988"/>
      <c r="V508" s="988"/>
      <c r="W508" s="988"/>
      <c r="X508" s="988"/>
      <c r="Y508" s="988"/>
    </row>
    <row r="509" spans="1:25" x14ac:dyDescent="0.2">
      <c r="A509" s="987"/>
      <c r="B509" s="987"/>
      <c r="C509" s="987"/>
      <c r="D509" s="987"/>
      <c r="E509" s="987"/>
      <c r="R509" s="988"/>
      <c r="S509" s="988"/>
      <c r="T509" s="988"/>
      <c r="U509" s="988"/>
      <c r="V509" s="988"/>
      <c r="W509" s="988"/>
      <c r="X509" s="988"/>
      <c r="Y509" s="988"/>
    </row>
    <row r="510" spans="1:25" x14ac:dyDescent="0.2">
      <c r="A510" s="987"/>
      <c r="B510" s="987"/>
      <c r="C510" s="987"/>
      <c r="D510" s="987"/>
      <c r="E510" s="987"/>
      <c r="R510" s="988"/>
      <c r="S510" s="988"/>
      <c r="T510" s="988"/>
      <c r="U510" s="988"/>
      <c r="V510" s="988"/>
      <c r="W510" s="988"/>
      <c r="X510" s="988"/>
      <c r="Y510" s="988"/>
    </row>
    <row r="511" spans="1:25" x14ac:dyDescent="0.2">
      <c r="A511" s="987"/>
      <c r="B511" s="987"/>
      <c r="C511" s="987"/>
      <c r="D511" s="987"/>
      <c r="E511" s="987"/>
      <c r="R511" s="988"/>
      <c r="S511" s="988"/>
      <c r="T511" s="988"/>
      <c r="U511" s="988"/>
      <c r="V511" s="988"/>
      <c r="W511" s="988"/>
      <c r="X511" s="988"/>
      <c r="Y511" s="988"/>
    </row>
    <row r="512" spans="1:25" x14ac:dyDescent="0.2">
      <c r="A512" s="987"/>
      <c r="B512" s="987"/>
      <c r="C512" s="987"/>
      <c r="D512" s="987"/>
      <c r="E512" s="987"/>
      <c r="R512" s="988"/>
      <c r="S512" s="988"/>
      <c r="T512" s="988"/>
      <c r="U512" s="988"/>
      <c r="V512" s="988"/>
      <c r="W512" s="988"/>
      <c r="X512" s="988"/>
      <c r="Y512" s="988"/>
    </row>
    <row r="513" spans="1:25" x14ac:dyDescent="0.2">
      <c r="A513" s="987"/>
      <c r="B513" s="987"/>
      <c r="C513" s="987"/>
      <c r="D513" s="987"/>
      <c r="E513" s="987"/>
      <c r="R513" s="988"/>
      <c r="S513" s="988"/>
      <c r="T513" s="988"/>
      <c r="U513" s="988"/>
      <c r="V513" s="988"/>
      <c r="W513" s="988"/>
      <c r="X513" s="988"/>
      <c r="Y513" s="988"/>
    </row>
    <row r="514" spans="1:25" x14ac:dyDescent="0.2">
      <c r="A514" s="987"/>
      <c r="B514" s="987"/>
      <c r="C514" s="987"/>
      <c r="D514" s="987"/>
      <c r="E514" s="987"/>
      <c r="R514" s="988"/>
      <c r="S514" s="988"/>
      <c r="T514" s="988"/>
      <c r="U514" s="988"/>
      <c r="V514" s="988"/>
      <c r="W514" s="988"/>
      <c r="X514" s="988"/>
      <c r="Y514" s="988"/>
    </row>
    <row r="515" spans="1:25" x14ac:dyDescent="0.2">
      <c r="A515" s="987"/>
      <c r="B515" s="987"/>
      <c r="C515" s="987"/>
      <c r="D515" s="987"/>
      <c r="E515" s="987"/>
      <c r="R515" s="988"/>
      <c r="S515" s="988"/>
      <c r="T515" s="988"/>
      <c r="U515" s="988"/>
      <c r="V515" s="988"/>
      <c r="W515" s="988"/>
      <c r="X515" s="988"/>
      <c r="Y515" s="988"/>
    </row>
    <row r="516" spans="1:25" x14ac:dyDescent="0.2">
      <c r="A516" s="987"/>
      <c r="B516" s="987"/>
      <c r="C516" s="987"/>
      <c r="D516" s="987"/>
      <c r="E516" s="987"/>
      <c r="R516" s="988"/>
      <c r="S516" s="988"/>
      <c r="T516" s="988"/>
      <c r="U516" s="988"/>
      <c r="V516" s="988"/>
      <c r="W516" s="988"/>
      <c r="X516" s="988"/>
      <c r="Y516" s="988"/>
    </row>
    <row r="517" spans="1:25" x14ac:dyDescent="0.2">
      <c r="A517" s="987"/>
      <c r="B517" s="987"/>
      <c r="C517" s="987"/>
      <c r="D517" s="987"/>
      <c r="E517" s="987"/>
      <c r="R517" s="988"/>
      <c r="S517" s="988"/>
      <c r="T517" s="988"/>
      <c r="U517" s="988"/>
      <c r="V517" s="988"/>
      <c r="W517" s="988"/>
      <c r="X517" s="988"/>
      <c r="Y517" s="988"/>
    </row>
    <row r="518" spans="1:25" x14ac:dyDescent="0.2">
      <c r="A518" s="987"/>
      <c r="B518" s="987"/>
      <c r="C518" s="987"/>
      <c r="D518" s="987"/>
      <c r="E518" s="987"/>
      <c r="R518" s="988"/>
      <c r="S518" s="988"/>
      <c r="T518" s="988"/>
      <c r="U518" s="988"/>
      <c r="V518" s="988"/>
      <c r="W518" s="988"/>
      <c r="X518" s="988"/>
      <c r="Y518" s="988"/>
    </row>
    <row r="519" spans="1:25" x14ac:dyDescent="0.2">
      <c r="A519" s="987"/>
      <c r="B519" s="987"/>
      <c r="C519" s="987"/>
      <c r="D519" s="987"/>
      <c r="E519" s="987"/>
      <c r="R519" s="988"/>
      <c r="S519" s="988"/>
      <c r="T519" s="988"/>
      <c r="U519" s="988"/>
      <c r="V519" s="988"/>
      <c r="W519" s="988"/>
      <c r="X519" s="988"/>
      <c r="Y519" s="988"/>
    </row>
    <row r="520" spans="1:25" x14ac:dyDescent="0.2">
      <c r="A520" s="987"/>
      <c r="B520" s="987"/>
      <c r="C520" s="987"/>
      <c r="D520" s="987"/>
      <c r="E520" s="987"/>
      <c r="R520" s="988"/>
      <c r="S520" s="988"/>
      <c r="T520" s="988"/>
      <c r="U520" s="988"/>
      <c r="V520" s="988"/>
      <c r="W520" s="988"/>
      <c r="X520" s="988"/>
      <c r="Y520" s="988"/>
    </row>
    <row r="521" spans="1:25" x14ac:dyDescent="0.2">
      <c r="A521" s="987"/>
      <c r="B521" s="987"/>
      <c r="C521" s="987"/>
      <c r="D521" s="987"/>
      <c r="E521" s="987"/>
      <c r="R521" s="988"/>
      <c r="S521" s="988"/>
      <c r="T521" s="988"/>
      <c r="U521" s="988"/>
      <c r="V521" s="988"/>
      <c r="W521" s="988"/>
      <c r="X521" s="988"/>
      <c r="Y521" s="988"/>
    </row>
    <row r="522" spans="1:25" x14ac:dyDescent="0.2">
      <c r="A522" s="987"/>
      <c r="B522" s="987"/>
      <c r="C522" s="987"/>
      <c r="D522" s="987"/>
      <c r="E522" s="987"/>
      <c r="R522" s="988"/>
      <c r="S522" s="988"/>
      <c r="T522" s="988"/>
      <c r="U522" s="988"/>
      <c r="V522" s="988"/>
      <c r="W522" s="988"/>
      <c r="X522" s="988"/>
      <c r="Y522" s="988"/>
    </row>
    <row r="523" spans="1:25" x14ac:dyDescent="0.2">
      <c r="A523" s="987"/>
      <c r="B523" s="987"/>
      <c r="C523" s="987"/>
      <c r="D523" s="987"/>
      <c r="E523" s="987"/>
      <c r="R523" s="988"/>
      <c r="S523" s="988"/>
      <c r="T523" s="988"/>
      <c r="U523" s="988"/>
      <c r="V523" s="988"/>
      <c r="W523" s="988"/>
      <c r="X523" s="988"/>
      <c r="Y523" s="988"/>
    </row>
    <row r="524" spans="1:25" x14ac:dyDescent="0.2">
      <c r="A524" s="987"/>
      <c r="B524" s="987"/>
      <c r="C524" s="987"/>
      <c r="D524" s="987"/>
      <c r="E524" s="987"/>
      <c r="R524" s="988"/>
      <c r="S524" s="988"/>
      <c r="T524" s="988"/>
      <c r="U524" s="988"/>
      <c r="V524" s="988"/>
      <c r="W524" s="988"/>
      <c r="X524" s="988"/>
      <c r="Y524" s="988"/>
    </row>
    <row r="525" spans="1:25" x14ac:dyDescent="0.2">
      <c r="A525" s="987"/>
      <c r="B525" s="987"/>
      <c r="C525" s="987"/>
      <c r="D525" s="987"/>
      <c r="E525" s="987"/>
      <c r="R525" s="988"/>
      <c r="S525" s="988"/>
      <c r="T525" s="988"/>
      <c r="U525" s="988"/>
      <c r="V525" s="988"/>
      <c r="W525" s="988"/>
      <c r="X525" s="988"/>
      <c r="Y525" s="988"/>
    </row>
    <row r="526" spans="1:25" x14ac:dyDescent="0.2">
      <c r="A526" s="987"/>
      <c r="B526" s="987"/>
      <c r="C526" s="987"/>
      <c r="D526" s="987"/>
      <c r="E526" s="987"/>
      <c r="R526" s="988"/>
      <c r="S526" s="988"/>
      <c r="T526" s="988"/>
      <c r="U526" s="988"/>
      <c r="V526" s="988"/>
      <c r="W526" s="988"/>
      <c r="X526" s="988"/>
      <c r="Y526" s="988"/>
    </row>
    <row r="527" spans="1:25" x14ac:dyDescent="0.2">
      <c r="A527" s="987"/>
      <c r="B527" s="987"/>
      <c r="C527" s="987"/>
      <c r="D527" s="987"/>
      <c r="E527" s="987"/>
      <c r="R527" s="988"/>
      <c r="S527" s="988"/>
      <c r="T527" s="988"/>
      <c r="U527" s="988"/>
      <c r="V527" s="988"/>
      <c r="W527" s="988"/>
      <c r="X527" s="988"/>
      <c r="Y527" s="988"/>
    </row>
    <row r="528" spans="1:25" x14ac:dyDescent="0.2">
      <c r="A528" s="987"/>
      <c r="B528" s="987"/>
      <c r="C528" s="987"/>
      <c r="D528" s="987"/>
      <c r="E528" s="987"/>
      <c r="R528" s="988"/>
      <c r="S528" s="988"/>
      <c r="T528" s="988"/>
      <c r="U528" s="988"/>
      <c r="V528" s="988"/>
      <c r="W528" s="988"/>
      <c r="X528" s="988"/>
      <c r="Y528" s="988"/>
    </row>
    <row r="529" spans="1:25" x14ac:dyDescent="0.2">
      <c r="A529" s="987"/>
      <c r="B529" s="987"/>
      <c r="C529" s="987"/>
      <c r="D529" s="987"/>
      <c r="E529" s="987"/>
      <c r="R529" s="988"/>
      <c r="S529" s="988"/>
      <c r="T529" s="988"/>
      <c r="U529" s="988"/>
      <c r="V529" s="988"/>
      <c r="W529" s="988"/>
      <c r="X529" s="988"/>
      <c r="Y529" s="988"/>
    </row>
    <row r="530" spans="1:25" x14ac:dyDescent="0.2">
      <c r="A530" s="987"/>
      <c r="B530" s="987"/>
      <c r="C530" s="987"/>
      <c r="D530" s="987"/>
      <c r="E530" s="987"/>
      <c r="R530" s="988"/>
      <c r="S530" s="988"/>
      <c r="T530" s="988"/>
      <c r="U530" s="988"/>
      <c r="V530" s="988"/>
      <c r="W530" s="988"/>
      <c r="X530" s="988"/>
      <c r="Y530" s="988"/>
    </row>
    <row r="531" spans="1:25" x14ac:dyDescent="0.2">
      <c r="A531" s="987"/>
      <c r="B531" s="987"/>
      <c r="C531" s="987"/>
      <c r="D531" s="987"/>
      <c r="E531" s="987"/>
      <c r="R531" s="988"/>
      <c r="S531" s="988"/>
      <c r="T531" s="988"/>
      <c r="U531" s="988"/>
      <c r="V531" s="988"/>
      <c r="W531" s="988"/>
      <c r="X531" s="988"/>
      <c r="Y531" s="988"/>
    </row>
    <row r="532" spans="1:25" x14ac:dyDescent="0.2">
      <c r="A532" s="987"/>
      <c r="B532" s="987"/>
      <c r="C532" s="987"/>
      <c r="D532" s="987"/>
      <c r="E532" s="987"/>
      <c r="R532" s="988"/>
      <c r="S532" s="988"/>
      <c r="T532" s="988"/>
      <c r="U532" s="988"/>
      <c r="V532" s="988"/>
      <c r="W532" s="988"/>
      <c r="X532" s="988"/>
      <c r="Y532" s="988"/>
    </row>
    <row r="533" spans="1:25" x14ac:dyDescent="0.2">
      <c r="A533" s="987"/>
      <c r="B533" s="987"/>
      <c r="C533" s="987"/>
      <c r="D533" s="987"/>
      <c r="E533" s="987"/>
      <c r="R533" s="988"/>
      <c r="S533" s="988"/>
      <c r="T533" s="988"/>
      <c r="U533" s="988"/>
      <c r="V533" s="988"/>
      <c r="W533" s="988"/>
      <c r="X533" s="988"/>
      <c r="Y533" s="988"/>
    </row>
    <row r="534" spans="1:25" x14ac:dyDescent="0.2">
      <c r="A534" s="987"/>
      <c r="B534" s="987"/>
      <c r="C534" s="987"/>
      <c r="D534" s="987"/>
      <c r="E534" s="987"/>
      <c r="R534" s="988"/>
      <c r="S534" s="988"/>
      <c r="T534" s="988"/>
      <c r="U534" s="988"/>
      <c r="V534" s="988"/>
      <c r="W534" s="988"/>
      <c r="X534" s="988"/>
      <c r="Y534" s="988"/>
    </row>
    <row r="535" spans="1:25" x14ac:dyDescent="0.2">
      <c r="A535" s="987"/>
      <c r="B535" s="987"/>
      <c r="C535" s="987"/>
      <c r="D535" s="987"/>
      <c r="E535" s="987"/>
      <c r="R535" s="988"/>
      <c r="S535" s="988"/>
      <c r="T535" s="988"/>
      <c r="U535" s="988"/>
      <c r="V535" s="988"/>
      <c r="W535" s="988"/>
      <c r="X535" s="988"/>
      <c r="Y535" s="988"/>
    </row>
    <row r="536" spans="1:25" x14ac:dyDescent="0.2">
      <c r="A536" s="987"/>
      <c r="B536" s="987"/>
      <c r="C536" s="987"/>
      <c r="D536" s="987"/>
      <c r="E536" s="987"/>
      <c r="R536" s="988"/>
      <c r="S536" s="988"/>
      <c r="T536" s="988"/>
      <c r="U536" s="988"/>
      <c r="V536" s="988"/>
      <c r="W536" s="988"/>
      <c r="X536" s="988"/>
      <c r="Y536" s="988"/>
    </row>
    <row r="537" spans="1:25" x14ac:dyDescent="0.2">
      <c r="A537" s="987"/>
      <c r="B537" s="987"/>
      <c r="C537" s="987"/>
      <c r="D537" s="987"/>
      <c r="E537" s="987"/>
      <c r="R537" s="988"/>
      <c r="S537" s="988"/>
      <c r="T537" s="988"/>
      <c r="U537" s="988"/>
      <c r="V537" s="988"/>
      <c r="W537" s="988"/>
      <c r="X537" s="988"/>
      <c r="Y537" s="988"/>
    </row>
    <row r="538" spans="1:25" x14ac:dyDescent="0.2">
      <c r="A538" s="987"/>
      <c r="B538" s="987"/>
      <c r="C538" s="987"/>
      <c r="D538" s="987"/>
      <c r="E538" s="987"/>
      <c r="R538" s="988"/>
      <c r="S538" s="988"/>
      <c r="T538" s="988"/>
      <c r="U538" s="988"/>
      <c r="V538" s="988"/>
      <c r="W538" s="988"/>
      <c r="X538" s="988"/>
      <c r="Y538" s="988"/>
    </row>
    <row r="539" spans="1:25" x14ac:dyDescent="0.2">
      <c r="A539" s="987"/>
      <c r="B539" s="987"/>
      <c r="C539" s="987"/>
      <c r="D539" s="987"/>
      <c r="E539" s="987"/>
      <c r="R539" s="988"/>
      <c r="S539" s="988"/>
      <c r="T539" s="988"/>
      <c r="U539" s="988"/>
      <c r="V539" s="988"/>
      <c r="W539" s="988"/>
      <c r="X539" s="988"/>
      <c r="Y539" s="988"/>
    </row>
    <row r="540" spans="1:25" x14ac:dyDescent="0.2">
      <c r="A540" s="987"/>
      <c r="B540" s="987"/>
      <c r="C540" s="987"/>
      <c r="D540" s="987"/>
      <c r="E540" s="987"/>
      <c r="R540" s="988"/>
      <c r="S540" s="988"/>
      <c r="T540" s="988"/>
      <c r="U540" s="988"/>
      <c r="V540" s="988"/>
      <c r="W540" s="988"/>
      <c r="X540" s="988"/>
      <c r="Y540" s="988"/>
    </row>
    <row r="541" spans="1:25" x14ac:dyDescent="0.2">
      <c r="A541" s="987"/>
      <c r="B541" s="987"/>
      <c r="C541" s="987"/>
      <c r="D541" s="987"/>
      <c r="E541" s="987"/>
      <c r="R541" s="988"/>
      <c r="S541" s="988"/>
      <c r="T541" s="988"/>
      <c r="U541" s="988"/>
      <c r="V541" s="988"/>
      <c r="W541" s="988"/>
      <c r="X541" s="988"/>
      <c r="Y541" s="988"/>
    </row>
    <row r="542" spans="1:25" x14ac:dyDescent="0.2">
      <c r="A542" s="987"/>
      <c r="B542" s="987"/>
      <c r="C542" s="987"/>
      <c r="D542" s="987"/>
      <c r="E542" s="987"/>
      <c r="R542" s="988"/>
      <c r="S542" s="988"/>
      <c r="T542" s="988"/>
      <c r="U542" s="988"/>
      <c r="V542" s="988"/>
      <c r="W542" s="988"/>
      <c r="X542" s="988"/>
      <c r="Y542" s="988"/>
    </row>
    <row r="543" spans="1:25" x14ac:dyDescent="0.2">
      <c r="A543" s="987"/>
      <c r="B543" s="987"/>
      <c r="C543" s="987"/>
      <c r="D543" s="987"/>
      <c r="E543" s="987"/>
      <c r="R543" s="988"/>
      <c r="S543" s="988"/>
      <c r="T543" s="988"/>
      <c r="U543" s="988"/>
      <c r="V543" s="988"/>
      <c r="W543" s="988"/>
      <c r="X543" s="988"/>
      <c r="Y543" s="988"/>
    </row>
    <row r="544" spans="1:25" x14ac:dyDescent="0.2">
      <c r="A544" s="987"/>
      <c r="B544" s="987"/>
      <c r="C544" s="987"/>
      <c r="D544" s="987"/>
      <c r="E544" s="987"/>
      <c r="R544" s="988"/>
      <c r="S544" s="988"/>
      <c r="T544" s="988"/>
      <c r="U544" s="988"/>
      <c r="V544" s="988"/>
      <c r="W544" s="988"/>
      <c r="X544" s="988"/>
      <c r="Y544" s="988"/>
    </row>
    <row r="545" spans="1:25" x14ac:dyDescent="0.2">
      <c r="A545" s="987"/>
      <c r="B545" s="987"/>
      <c r="C545" s="987"/>
      <c r="D545" s="987"/>
      <c r="E545" s="987"/>
      <c r="R545" s="988"/>
      <c r="S545" s="988"/>
      <c r="T545" s="988"/>
      <c r="U545" s="988"/>
      <c r="V545" s="988"/>
      <c r="W545" s="988"/>
      <c r="X545" s="988"/>
      <c r="Y545" s="988"/>
    </row>
    <row r="546" spans="1:25" x14ac:dyDescent="0.2">
      <c r="A546" s="987"/>
      <c r="B546" s="987"/>
      <c r="C546" s="987"/>
      <c r="D546" s="987"/>
      <c r="E546" s="987"/>
      <c r="R546" s="988"/>
      <c r="S546" s="988"/>
      <c r="T546" s="988"/>
      <c r="U546" s="988"/>
      <c r="V546" s="988"/>
      <c r="W546" s="988"/>
      <c r="X546" s="988"/>
      <c r="Y546" s="988"/>
    </row>
    <row r="547" spans="1:25" x14ac:dyDescent="0.2">
      <c r="A547" s="987"/>
      <c r="B547" s="987"/>
      <c r="C547" s="987"/>
      <c r="D547" s="987"/>
      <c r="E547" s="987"/>
      <c r="R547" s="988"/>
      <c r="S547" s="988"/>
      <c r="T547" s="988"/>
      <c r="U547" s="988"/>
      <c r="V547" s="988"/>
      <c r="W547" s="988"/>
      <c r="X547" s="988"/>
      <c r="Y547" s="988"/>
    </row>
    <row r="548" spans="1:25" x14ac:dyDescent="0.2">
      <c r="A548" s="987"/>
      <c r="B548" s="987"/>
      <c r="C548" s="987"/>
      <c r="D548" s="987"/>
      <c r="E548" s="987"/>
      <c r="R548" s="988"/>
      <c r="S548" s="988"/>
      <c r="T548" s="988"/>
      <c r="U548" s="988"/>
      <c r="V548" s="988"/>
      <c r="W548" s="988"/>
      <c r="X548" s="988"/>
      <c r="Y548" s="988"/>
    </row>
    <row r="549" spans="1:25" x14ac:dyDescent="0.2">
      <c r="A549" s="987"/>
      <c r="B549" s="987"/>
      <c r="C549" s="987"/>
      <c r="D549" s="987"/>
      <c r="E549" s="987"/>
      <c r="R549" s="988"/>
      <c r="S549" s="988"/>
      <c r="T549" s="988"/>
      <c r="U549" s="988"/>
      <c r="V549" s="988"/>
      <c r="W549" s="988"/>
      <c r="X549" s="988"/>
      <c r="Y549" s="988"/>
    </row>
    <row r="550" spans="1:25" x14ac:dyDescent="0.2">
      <c r="A550" s="987"/>
      <c r="B550" s="987"/>
      <c r="C550" s="987"/>
      <c r="D550" s="987"/>
      <c r="E550" s="987"/>
      <c r="R550" s="988"/>
      <c r="S550" s="988"/>
      <c r="T550" s="988"/>
      <c r="U550" s="988"/>
      <c r="V550" s="988"/>
      <c r="W550" s="988"/>
      <c r="X550" s="988"/>
      <c r="Y550" s="988"/>
    </row>
    <row r="551" spans="1:25" x14ac:dyDescent="0.2">
      <c r="A551" s="987"/>
      <c r="B551" s="987"/>
      <c r="C551" s="987"/>
      <c r="D551" s="987"/>
      <c r="E551" s="987"/>
      <c r="R551" s="988"/>
      <c r="S551" s="988"/>
      <c r="T551" s="988"/>
      <c r="U551" s="988"/>
      <c r="V551" s="988"/>
      <c r="W551" s="988"/>
      <c r="X551" s="988"/>
      <c r="Y551" s="988"/>
    </row>
    <row r="552" spans="1:25" x14ac:dyDescent="0.2">
      <c r="A552" s="987"/>
      <c r="B552" s="987"/>
      <c r="C552" s="987"/>
      <c r="D552" s="987"/>
      <c r="E552" s="987"/>
      <c r="R552" s="988"/>
      <c r="S552" s="988"/>
      <c r="T552" s="988"/>
      <c r="U552" s="988"/>
      <c r="V552" s="988"/>
      <c r="W552" s="988"/>
      <c r="X552" s="988"/>
      <c r="Y552" s="988"/>
    </row>
    <row r="553" spans="1:25" x14ac:dyDescent="0.2">
      <c r="A553" s="987"/>
      <c r="B553" s="987"/>
      <c r="C553" s="987"/>
      <c r="D553" s="987"/>
      <c r="E553" s="987"/>
      <c r="R553" s="988"/>
      <c r="S553" s="988"/>
      <c r="T553" s="988"/>
      <c r="U553" s="988"/>
      <c r="V553" s="988"/>
      <c r="W553" s="988"/>
      <c r="X553" s="988"/>
      <c r="Y553" s="988"/>
    </row>
    <row r="554" spans="1:25" x14ac:dyDescent="0.2">
      <c r="A554" s="987"/>
      <c r="B554" s="987"/>
      <c r="C554" s="987"/>
      <c r="D554" s="987"/>
      <c r="E554" s="987"/>
      <c r="R554" s="988"/>
      <c r="S554" s="988"/>
      <c r="T554" s="988"/>
      <c r="U554" s="988"/>
      <c r="V554" s="988"/>
      <c r="W554" s="988"/>
      <c r="X554" s="988"/>
      <c r="Y554" s="988"/>
    </row>
    <row r="555" spans="1:25" x14ac:dyDescent="0.2">
      <c r="A555" s="987"/>
      <c r="B555" s="987"/>
      <c r="C555" s="987"/>
      <c r="D555" s="987"/>
      <c r="E555" s="987"/>
      <c r="R555" s="988"/>
      <c r="S555" s="988"/>
      <c r="T555" s="988"/>
      <c r="U555" s="988"/>
      <c r="V555" s="988"/>
      <c r="W555" s="988"/>
      <c r="X555" s="988"/>
      <c r="Y555" s="988"/>
    </row>
    <row r="556" spans="1:25" x14ac:dyDescent="0.2">
      <c r="A556" s="987"/>
      <c r="B556" s="987"/>
      <c r="C556" s="987"/>
      <c r="D556" s="987"/>
      <c r="E556" s="987"/>
      <c r="R556" s="988"/>
      <c r="S556" s="988"/>
      <c r="T556" s="988"/>
      <c r="U556" s="988"/>
      <c r="V556" s="988"/>
      <c r="W556" s="988"/>
      <c r="X556" s="988"/>
      <c r="Y556" s="988"/>
    </row>
    <row r="557" spans="1:25" x14ac:dyDescent="0.2">
      <c r="A557" s="987"/>
      <c r="B557" s="987"/>
      <c r="C557" s="987"/>
      <c r="D557" s="987"/>
      <c r="E557" s="987"/>
      <c r="R557" s="988"/>
      <c r="S557" s="988"/>
      <c r="T557" s="988"/>
      <c r="U557" s="988"/>
      <c r="V557" s="988"/>
      <c r="W557" s="988"/>
      <c r="X557" s="988"/>
      <c r="Y557" s="988"/>
    </row>
    <row r="558" spans="1:25" x14ac:dyDescent="0.2">
      <c r="A558" s="987"/>
      <c r="B558" s="987"/>
      <c r="C558" s="987"/>
      <c r="D558" s="987"/>
      <c r="E558" s="987"/>
      <c r="R558" s="988"/>
      <c r="S558" s="988"/>
      <c r="T558" s="988"/>
      <c r="U558" s="988"/>
      <c r="V558" s="988"/>
      <c r="W558" s="988"/>
      <c r="X558" s="988"/>
      <c r="Y558" s="988"/>
    </row>
    <row r="559" spans="1:25" x14ac:dyDescent="0.2">
      <c r="A559" s="987"/>
      <c r="B559" s="987"/>
      <c r="C559" s="987"/>
      <c r="D559" s="987"/>
      <c r="E559" s="987"/>
      <c r="R559" s="988"/>
      <c r="S559" s="988"/>
      <c r="T559" s="988"/>
      <c r="U559" s="988"/>
      <c r="V559" s="988"/>
      <c r="W559" s="988"/>
      <c r="X559" s="988"/>
      <c r="Y559" s="988"/>
    </row>
    <row r="560" spans="1:25" x14ac:dyDescent="0.2">
      <c r="A560" s="987"/>
      <c r="B560" s="987"/>
      <c r="C560" s="987"/>
      <c r="D560" s="987"/>
      <c r="E560" s="987"/>
      <c r="R560" s="988"/>
      <c r="S560" s="988"/>
      <c r="T560" s="988"/>
      <c r="U560" s="988"/>
      <c r="V560" s="988"/>
      <c r="W560" s="988"/>
      <c r="X560" s="988"/>
      <c r="Y560" s="988"/>
    </row>
    <row r="561" spans="1:25" x14ac:dyDescent="0.2">
      <c r="A561" s="987"/>
      <c r="B561" s="987"/>
      <c r="C561" s="987"/>
      <c r="D561" s="987"/>
      <c r="E561" s="987"/>
      <c r="R561" s="988"/>
      <c r="S561" s="988"/>
      <c r="T561" s="988"/>
      <c r="U561" s="988"/>
      <c r="V561" s="988"/>
      <c r="W561" s="988"/>
      <c r="X561" s="988"/>
      <c r="Y561" s="988"/>
    </row>
    <row r="562" spans="1:25" x14ac:dyDescent="0.2">
      <c r="A562" s="987"/>
      <c r="B562" s="987"/>
      <c r="C562" s="987"/>
      <c r="D562" s="987"/>
      <c r="E562" s="987"/>
      <c r="R562" s="988"/>
      <c r="S562" s="988"/>
      <c r="T562" s="988"/>
      <c r="U562" s="988"/>
      <c r="V562" s="988"/>
      <c r="W562" s="988"/>
      <c r="X562" s="988"/>
      <c r="Y562" s="988"/>
    </row>
    <row r="563" spans="1:25" x14ac:dyDescent="0.2">
      <c r="A563" s="987"/>
      <c r="B563" s="987"/>
      <c r="C563" s="987"/>
      <c r="D563" s="987"/>
      <c r="E563" s="987"/>
      <c r="R563" s="988"/>
      <c r="S563" s="988"/>
      <c r="T563" s="988"/>
      <c r="U563" s="988"/>
      <c r="V563" s="988"/>
      <c r="W563" s="988"/>
      <c r="X563" s="988"/>
      <c r="Y563" s="988"/>
    </row>
    <row r="564" spans="1:25" x14ac:dyDescent="0.2">
      <c r="A564" s="987"/>
      <c r="B564" s="987"/>
      <c r="C564" s="987"/>
      <c r="D564" s="987"/>
      <c r="E564" s="987"/>
      <c r="R564" s="988"/>
      <c r="S564" s="988"/>
      <c r="T564" s="988"/>
      <c r="U564" s="988"/>
      <c r="V564" s="988"/>
      <c r="W564" s="988"/>
      <c r="X564" s="988"/>
      <c r="Y564" s="988"/>
    </row>
    <row r="565" spans="1:25" x14ac:dyDescent="0.2">
      <c r="A565" s="987"/>
      <c r="B565" s="987"/>
      <c r="C565" s="987"/>
      <c r="D565" s="987"/>
      <c r="E565" s="987"/>
      <c r="R565" s="988"/>
      <c r="S565" s="988"/>
      <c r="T565" s="988"/>
      <c r="U565" s="988"/>
      <c r="V565" s="988"/>
      <c r="W565" s="988"/>
      <c r="X565" s="988"/>
      <c r="Y565" s="988"/>
    </row>
    <row r="566" spans="1:25" x14ac:dyDescent="0.2">
      <c r="A566" s="987"/>
      <c r="B566" s="987"/>
      <c r="C566" s="987"/>
      <c r="D566" s="987"/>
      <c r="E566" s="987"/>
      <c r="R566" s="988"/>
      <c r="S566" s="988"/>
      <c r="T566" s="988"/>
      <c r="U566" s="988"/>
      <c r="V566" s="988"/>
      <c r="W566" s="988"/>
      <c r="X566" s="988"/>
      <c r="Y566" s="988"/>
    </row>
    <row r="567" spans="1:25" x14ac:dyDescent="0.2">
      <c r="A567" s="987"/>
      <c r="B567" s="987"/>
      <c r="C567" s="987"/>
      <c r="D567" s="987"/>
      <c r="E567" s="987"/>
      <c r="R567" s="988"/>
      <c r="S567" s="988"/>
      <c r="T567" s="988"/>
      <c r="U567" s="988"/>
      <c r="V567" s="988"/>
      <c r="W567" s="988"/>
      <c r="X567" s="988"/>
      <c r="Y567" s="988"/>
    </row>
    <row r="568" spans="1:25" x14ac:dyDescent="0.2">
      <c r="A568" s="987"/>
      <c r="B568" s="987"/>
      <c r="C568" s="987"/>
      <c r="D568" s="987"/>
      <c r="E568" s="987"/>
      <c r="R568" s="988"/>
      <c r="S568" s="988"/>
      <c r="T568" s="988"/>
      <c r="U568" s="988"/>
      <c r="V568" s="988"/>
      <c r="W568" s="988"/>
      <c r="X568" s="988"/>
      <c r="Y568" s="988"/>
    </row>
    <row r="569" spans="1:25" x14ac:dyDescent="0.2">
      <c r="A569" s="987"/>
      <c r="B569" s="987"/>
      <c r="C569" s="987"/>
      <c r="D569" s="987"/>
      <c r="E569" s="987"/>
      <c r="R569" s="988"/>
      <c r="S569" s="988"/>
      <c r="T569" s="988"/>
      <c r="U569" s="988"/>
      <c r="V569" s="988"/>
      <c r="W569" s="988"/>
      <c r="X569" s="988"/>
      <c r="Y569" s="988"/>
    </row>
    <row r="570" spans="1:25" x14ac:dyDescent="0.2">
      <c r="A570" s="987"/>
      <c r="B570" s="987"/>
      <c r="C570" s="987"/>
      <c r="D570" s="987"/>
      <c r="E570" s="987"/>
      <c r="R570" s="988"/>
      <c r="S570" s="988"/>
      <c r="T570" s="988"/>
      <c r="U570" s="988"/>
      <c r="V570" s="988"/>
      <c r="W570" s="988"/>
      <c r="X570" s="988"/>
      <c r="Y570" s="988"/>
    </row>
    <row r="571" spans="1:25" x14ac:dyDescent="0.2">
      <c r="A571" s="987"/>
      <c r="B571" s="987"/>
      <c r="C571" s="987"/>
      <c r="D571" s="987"/>
      <c r="E571" s="987"/>
      <c r="R571" s="988"/>
      <c r="S571" s="988"/>
      <c r="T571" s="988"/>
      <c r="U571" s="988"/>
      <c r="V571" s="988"/>
      <c r="W571" s="988"/>
      <c r="X571" s="988"/>
      <c r="Y571" s="988"/>
    </row>
    <row r="572" spans="1:25" x14ac:dyDescent="0.2">
      <c r="A572" s="987"/>
      <c r="B572" s="987"/>
      <c r="C572" s="987"/>
      <c r="D572" s="987"/>
      <c r="E572" s="987"/>
      <c r="R572" s="988"/>
      <c r="S572" s="988"/>
      <c r="T572" s="988"/>
      <c r="U572" s="988"/>
      <c r="V572" s="988"/>
      <c r="W572" s="988"/>
      <c r="X572" s="988"/>
      <c r="Y572" s="988"/>
    </row>
    <row r="573" spans="1:25" x14ac:dyDescent="0.2">
      <c r="A573" s="987"/>
      <c r="B573" s="987"/>
      <c r="C573" s="987"/>
      <c r="D573" s="987"/>
      <c r="E573" s="987"/>
      <c r="R573" s="988"/>
      <c r="S573" s="988"/>
      <c r="T573" s="988"/>
      <c r="U573" s="988"/>
      <c r="V573" s="988"/>
      <c r="W573" s="988"/>
      <c r="X573" s="988"/>
      <c r="Y573" s="988"/>
    </row>
    <row r="574" spans="1:25" x14ac:dyDescent="0.2">
      <c r="A574" s="987"/>
      <c r="B574" s="987"/>
      <c r="C574" s="987"/>
      <c r="D574" s="987"/>
      <c r="E574" s="987"/>
      <c r="R574" s="988"/>
      <c r="S574" s="988"/>
      <c r="T574" s="988"/>
      <c r="U574" s="988"/>
      <c r="V574" s="988"/>
      <c r="W574" s="988"/>
      <c r="X574" s="988"/>
      <c r="Y574" s="988"/>
    </row>
    <row r="575" spans="1:25" x14ac:dyDescent="0.2">
      <c r="A575" s="987"/>
      <c r="B575" s="987"/>
      <c r="C575" s="987"/>
      <c r="D575" s="987"/>
      <c r="E575" s="987"/>
      <c r="R575" s="988"/>
      <c r="S575" s="988"/>
      <c r="T575" s="988"/>
      <c r="U575" s="988"/>
      <c r="V575" s="988"/>
      <c r="W575" s="988"/>
      <c r="X575" s="988"/>
      <c r="Y575" s="988"/>
    </row>
    <row r="576" spans="1:25" x14ac:dyDescent="0.2">
      <c r="A576" s="987"/>
      <c r="B576" s="987"/>
      <c r="C576" s="987"/>
      <c r="D576" s="987"/>
      <c r="E576" s="987"/>
      <c r="R576" s="988"/>
      <c r="S576" s="988"/>
      <c r="T576" s="988"/>
      <c r="U576" s="988"/>
      <c r="V576" s="988"/>
      <c r="W576" s="988"/>
      <c r="X576" s="988"/>
      <c r="Y576" s="988"/>
    </row>
    <row r="577" spans="1:25" x14ac:dyDescent="0.2">
      <c r="A577" s="987"/>
      <c r="B577" s="987"/>
      <c r="C577" s="987"/>
      <c r="D577" s="987"/>
      <c r="E577" s="987"/>
      <c r="R577" s="988"/>
      <c r="S577" s="988"/>
      <c r="T577" s="988"/>
      <c r="U577" s="988"/>
      <c r="V577" s="988"/>
      <c r="W577" s="988"/>
      <c r="X577" s="988"/>
      <c r="Y577" s="988"/>
    </row>
    <row r="578" spans="1:25" x14ac:dyDescent="0.2">
      <c r="A578" s="987"/>
      <c r="B578" s="987"/>
      <c r="C578" s="987"/>
      <c r="D578" s="987"/>
      <c r="E578" s="987"/>
      <c r="R578" s="988"/>
      <c r="S578" s="988"/>
      <c r="T578" s="988"/>
      <c r="U578" s="988"/>
      <c r="V578" s="988"/>
      <c r="W578" s="988"/>
      <c r="X578" s="988"/>
      <c r="Y578" s="988"/>
    </row>
    <row r="579" spans="1:25" x14ac:dyDescent="0.2">
      <c r="A579" s="987"/>
      <c r="B579" s="987"/>
      <c r="C579" s="987"/>
      <c r="D579" s="987"/>
      <c r="E579" s="987"/>
      <c r="R579" s="988"/>
      <c r="S579" s="988"/>
      <c r="T579" s="988"/>
      <c r="U579" s="988"/>
      <c r="V579" s="988"/>
      <c r="W579" s="988"/>
      <c r="X579" s="988"/>
      <c r="Y579" s="988"/>
    </row>
    <row r="580" spans="1:25" x14ac:dyDescent="0.2">
      <c r="A580" s="987"/>
      <c r="B580" s="987"/>
      <c r="C580" s="987"/>
      <c r="D580" s="987"/>
      <c r="E580" s="987"/>
      <c r="R580" s="988"/>
      <c r="S580" s="988"/>
      <c r="T580" s="988"/>
      <c r="U580" s="988"/>
      <c r="V580" s="988"/>
      <c r="W580" s="988"/>
      <c r="X580" s="988"/>
      <c r="Y580" s="988"/>
    </row>
    <row r="581" spans="1:25" x14ac:dyDescent="0.2">
      <c r="A581" s="987"/>
      <c r="B581" s="987"/>
      <c r="C581" s="987"/>
      <c r="D581" s="987"/>
      <c r="E581" s="987"/>
      <c r="R581" s="988"/>
      <c r="S581" s="988"/>
      <c r="T581" s="988"/>
      <c r="U581" s="988"/>
      <c r="V581" s="988"/>
      <c r="W581" s="988"/>
      <c r="X581" s="988"/>
      <c r="Y581" s="988"/>
    </row>
    <row r="582" spans="1:25" x14ac:dyDescent="0.2">
      <c r="A582" s="987"/>
      <c r="B582" s="987"/>
      <c r="C582" s="987"/>
      <c r="D582" s="987"/>
      <c r="E582" s="987"/>
      <c r="R582" s="988"/>
      <c r="S582" s="988"/>
      <c r="T582" s="988"/>
      <c r="U582" s="988"/>
      <c r="V582" s="988"/>
      <c r="W582" s="988"/>
      <c r="X582" s="988"/>
      <c r="Y582" s="988"/>
    </row>
    <row r="583" spans="1:25" x14ac:dyDescent="0.2">
      <c r="A583" s="987"/>
      <c r="B583" s="987"/>
      <c r="C583" s="987"/>
      <c r="D583" s="987"/>
      <c r="E583" s="987"/>
      <c r="R583" s="988"/>
      <c r="S583" s="988"/>
      <c r="T583" s="988"/>
      <c r="U583" s="988"/>
      <c r="V583" s="988"/>
      <c r="W583" s="988"/>
      <c r="X583" s="988"/>
      <c r="Y583" s="988"/>
    </row>
    <row r="584" spans="1:25" x14ac:dyDescent="0.2">
      <c r="A584" s="987"/>
      <c r="B584" s="987"/>
      <c r="C584" s="987"/>
      <c r="D584" s="987"/>
      <c r="E584" s="987"/>
      <c r="R584" s="988"/>
      <c r="S584" s="988"/>
      <c r="T584" s="988"/>
      <c r="U584" s="988"/>
      <c r="V584" s="988"/>
      <c r="W584" s="988"/>
      <c r="X584" s="988"/>
      <c r="Y584" s="988"/>
    </row>
    <row r="585" spans="1:25" x14ac:dyDescent="0.2">
      <c r="A585" s="987"/>
      <c r="B585" s="987"/>
      <c r="C585" s="987"/>
      <c r="D585" s="987"/>
      <c r="E585" s="987"/>
      <c r="R585" s="988"/>
      <c r="S585" s="988"/>
      <c r="T585" s="988"/>
      <c r="U585" s="988"/>
      <c r="V585" s="988"/>
      <c r="W585" s="988"/>
      <c r="X585" s="988"/>
      <c r="Y585" s="988"/>
    </row>
    <row r="586" spans="1:25" x14ac:dyDescent="0.2">
      <c r="A586" s="987"/>
      <c r="B586" s="987"/>
      <c r="C586" s="987"/>
      <c r="D586" s="987"/>
      <c r="E586" s="987"/>
      <c r="R586" s="988"/>
      <c r="S586" s="988"/>
      <c r="T586" s="988"/>
      <c r="U586" s="988"/>
      <c r="V586" s="988"/>
      <c r="W586" s="988"/>
      <c r="X586" s="988"/>
      <c r="Y586" s="988"/>
    </row>
    <row r="587" spans="1:25" x14ac:dyDescent="0.2">
      <c r="A587" s="987"/>
      <c r="B587" s="987"/>
      <c r="C587" s="987"/>
      <c r="D587" s="987"/>
      <c r="E587" s="987"/>
      <c r="R587" s="988"/>
      <c r="S587" s="988"/>
      <c r="T587" s="988"/>
      <c r="U587" s="988"/>
      <c r="V587" s="988"/>
      <c r="W587" s="988"/>
      <c r="X587" s="988"/>
      <c r="Y587" s="988"/>
    </row>
    <row r="588" spans="1:25" x14ac:dyDescent="0.2">
      <c r="A588" s="987"/>
      <c r="B588" s="987"/>
      <c r="C588" s="987"/>
      <c r="D588" s="987"/>
      <c r="E588" s="987"/>
      <c r="R588" s="988"/>
      <c r="S588" s="988"/>
      <c r="T588" s="988"/>
      <c r="U588" s="988"/>
      <c r="V588" s="988"/>
      <c r="W588" s="988"/>
      <c r="X588" s="988"/>
      <c r="Y588" s="988"/>
    </row>
    <row r="589" spans="1:25" x14ac:dyDescent="0.2">
      <c r="A589" s="987"/>
      <c r="B589" s="987"/>
      <c r="C589" s="987"/>
      <c r="D589" s="987"/>
      <c r="E589" s="987"/>
      <c r="R589" s="988"/>
      <c r="S589" s="988"/>
      <c r="T589" s="988"/>
      <c r="U589" s="988"/>
      <c r="V589" s="988"/>
      <c r="W589" s="988"/>
      <c r="X589" s="988"/>
      <c r="Y589" s="988"/>
    </row>
    <row r="590" spans="1:25" x14ac:dyDescent="0.2">
      <c r="A590" s="987"/>
      <c r="B590" s="987"/>
      <c r="C590" s="987"/>
      <c r="D590" s="987"/>
      <c r="E590" s="987"/>
      <c r="R590" s="988"/>
      <c r="S590" s="988"/>
      <c r="T590" s="988"/>
      <c r="U590" s="988"/>
      <c r="V590" s="988"/>
      <c r="W590" s="988"/>
      <c r="X590" s="988"/>
      <c r="Y590" s="988"/>
    </row>
    <row r="591" spans="1:25" x14ac:dyDescent="0.2">
      <c r="A591" s="987"/>
      <c r="B591" s="987"/>
      <c r="C591" s="987"/>
      <c r="D591" s="987"/>
      <c r="E591" s="987"/>
      <c r="R591" s="988"/>
      <c r="S591" s="988"/>
      <c r="T591" s="988"/>
      <c r="U591" s="988"/>
      <c r="V591" s="988"/>
      <c r="W591" s="988"/>
      <c r="X591" s="988"/>
      <c r="Y591" s="988"/>
    </row>
    <row r="592" spans="1:25" x14ac:dyDescent="0.2">
      <c r="A592" s="987"/>
      <c r="B592" s="987"/>
      <c r="C592" s="987"/>
      <c r="D592" s="987"/>
      <c r="E592" s="987"/>
      <c r="R592" s="988"/>
      <c r="S592" s="988"/>
      <c r="T592" s="988"/>
      <c r="U592" s="988"/>
      <c r="V592" s="988"/>
      <c r="W592" s="988"/>
      <c r="X592" s="988"/>
      <c r="Y592" s="988"/>
    </row>
    <row r="593" spans="1:25" x14ac:dyDescent="0.2">
      <c r="A593" s="987"/>
      <c r="B593" s="987"/>
      <c r="C593" s="987"/>
      <c r="D593" s="987"/>
      <c r="E593" s="987"/>
      <c r="R593" s="988"/>
      <c r="S593" s="988"/>
      <c r="T593" s="988"/>
      <c r="U593" s="988"/>
      <c r="V593" s="988"/>
      <c r="W593" s="988"/>
      <c r="X593" s="988"/>
      <c r="Y593" s="988"/>
    </row>
    <row r="594" spans="1:25" x14ac:dyDescent="0.2">
      <c r="A594" s="987"/>
      <c r="B594" s="987"/>
      <c r="C594" s="987"/>
      <c r="D594" s="987"/>
      <c r="E594" s="987"/>
      <c r="R594" s="988"/>
      <c r="S594" s="988"/>
      <c r="T594" s="988"/>
      <c r="U594" s="988"/>
      <c r="V594" s="988"/>
      <c r="W594" s="988"/>
      <c r="X594" s="988"/>
      <c r="Y594" s="988"/>
    </row>
    <row r="595" spans="1:25" x14ac:dyDescent="0.2">
      <c r="A595" s="987"/>
      <c r="B595" s="987"/>
      <c r="C595" s="987"/>
      <c r="D595" s="987"/>
      <c r="E595" s="987"/>
      <c r="R595" s="988"/>
      <c r="S595" s="988"/>
      <c r="T595" s="988"/>
      <c r="U595" s="988"/>
      <c r="V595" s="988"/>
      <c r="W595" s="988"/>
      <c r="X595" s="988"/>
      <c r="Y595" s="988"/>
    </row>
    <row r="596" spans="1:25" x14ac:dyDescent="0.2">
      <c r="A596" s="987"/>
      <c r="B596" s="987"/>
      <c r="C596" s="987"/>
      <c r="D596" s="987"/>
      <c r="E596" s="987"/>
      <c r="R596" s="988"/>
      <c r="S596" s="988"/>
      <c r="T596" s="988"/>
      <c r="U596" s="988"/>
      <c r="V596" s="988"/>
      <c r="W596" s="988"/>
      <c r="X596" s="988"/>
      <c r="Y596" s="988"/>
    </row>
    <row r="597" spans="1:25" x14ac:dyDescent="0.2">
      <c r="A597" s="987"/>
      <c r="B597" s="987"/>
      <c r="C597" s="987"/>
      <c r="D597" s="987"/>
      <c r="E597" s="987"/>
      <c r="R597" s="988"/>
      <c r="S597" s="988"/>
      <c r="T597" s="988"/>
      <c r="U597" s="988"/>
      <c r="V597" s="988"/>
      <c r="W597" s="988"/>
      <c r="X597" s="988"/>
      <c r="Y597" s="988"/>
    </row>
    <row r="598" spans="1:25" x14ac:dyDescent="0.2">
      <c r="A598" s="987"/>
      <c r="B598" s="987"/>
      <c r="C598" s="987"/>
      <c r="D598" s="987"/>
      <c r="E598" s="987"/>
      <c r="R598" s="988"/>
      <c r="S598" s="988"/>
      <c r="T598" s="988"/>
      <c r="U598" s="988"/>
      <c r="V598" s="988"/>
      <c r="W598" s="988"/>
      <c r="X598" s="988"/>
      <c r="Y598" s="988"/>
    </row>
    <row r="599" spans="1:25" x14ac:dyDescent="0.2">
      <c r="A599" s="987"/>
      <c r="B599" s="987"/>
      <c r="C599" s="987"/>
      <c r="D599" s="987"/>
      <c r="E599" s="987"/>
      <c r="R599" s="988"/>
      <c r="S599" s="988"/>
      <c r="T599" s="988"/>
      <c r="U599" s="988"/>
      <c r="V599" s="988"/>
      <c r="W599" s="988"/>
      <c r="X599" s="988"/>
      <c r="Y599" s="988"/>
    </row>
    <row r="600" spans="1:25" x14ac:dyDescent="0.2">
      <c r="A600" s="987"/>
      <c r="B600" s="987"/>
      <c r="C600" s="987"/>
      <c r="D600" s="987"/>
      <c r="E600" s="987"/>
      <c r="R600" s="988"/>
      <c r="S600" s="988"/>
      <c r="T600" s="988"/>
      <c r="U600" s="988"/>
      <c r="V600" s="988"/>
      <c r="W600" s="988"/>
      <c r="X600" s="988"/>
      <c r="Y600" s="988"/>
    </row>
    <row r="601" spans="1:25" x14ac:dyDescent="0.2">
      <c r="A601" s="987"/>
      <c r="B601" s="987"/>
      <c r="C601" s="987"/>
      <c r="D601" s="987"/>
      <c r="E601" s="987"/>
      <c r="R601" s="988"/>
      <c r="S601" s="988"/>
      <c r="T601" s="988"/>
      <c r="U601" s="988"/>
      <c r="V601" s="988"/>
      <c r="W601" s="988"/>
      <c r="X601" s="988"/>
      <c r="Y601" s="988"/>
    </row>
    <row r="602" spans="1:25" x14ac:dyDescent="0.2">
      <c r="A602" s="987"/>
      <c r="B602" s="987"/>
      <c r="C602" s="987"/>
      <c r="D602" s="987"/>
      <c r="E602" s="987"/>
      <c r="R602" s="988"/>
      <c r="S602" s="988"/>
      <c r="T602" s="988"/>
      <c r="U602" s="988"/>
      <c r="V602" s="988"/>
      <c r="W602" s="988"/>
      <c r="X602" s="988"/>
      <c r="Y602" s="988"/>
    </row>
    <row r="603" spans="1:25" x14ac:dyDescent="0.2">
      <c r="A603" s="987"/>
      <c r="B603" s="987"/>
      <c r="C603" s="987"/>
      <c r="D603" s="987"/>
      <c r="E603" s="987"/>
      <c r="R603" s="988"/>
      <c r="S603" s="988"/>
      <c r="T603" s="988"/>
      <c r="U603" s="988"/>
      <c r="V603" s="988"/>
      <c r="W603" s="988"/>
      <c r="X603" s="988"/>
      <c r="Y603" s="988"/>
    </row>
    <row r="604" spans="1:25" x14ac:dyDescent="0.2">
      <c r="A604" s="987"/>
      <c r="B604" s="987"/>
      <c r="C604" s="987"/>
      <c r="D604" s="987"/>
      <c r="E604" s="987"/>
      <c r="R604" s="988"/>
      <c r="S604" s="988"/>
      <c r="T604" s="988"/>
      <c r="U604" s="988"/>
      <c r="V604" s="988"/>
      <c r="W604" s="988"/>
      <c r="X604" s="988"/>
      <c r="Y604" s="988"/>
    </row>
    <row r="605" spans="1:25" x14ac:dyDescent="0.2">
      <c r="A605" s="987"/>
      <c r="B605" s="987"/>
      <c r="C605" s="987"/>
      <c r="D605" s="987"/>
      <c r="E605" s="987"/>
      <c r="R605" s="988"/>
      <c r="S605" s="988"/>
      <c r="T605" s="988"/>
      <c r="U605" s="988"/>
      <c r="V605" s="988"/>
      <c r="W605" s="988"/>
      <c r="X605" s="988"/>
      <c r="Y605" s="988"/>
    </row>
    <row r="606" spans="1:25" x14ac:dyDescent="0.2">
      <c r="A606" s="987"/>
      <c r="B606" s="987"/>
      <c r="C606" s="987"/>
      <c r="D606" s="987"/>
      <c r="E606" s="987"/>
      <c r="R606" s="988"/>
      <c r="S606" s="988"/>
      <c r="T606" s="988"/>
      <c r="U606" s="988"/>
      <c r="V606" s="988"/>
      <c r="W606" s="988"/>
      <c r="X606" s="988"/>
      <c r="Y606" s="988"/>
    </row>
    <row r="607" spans="1:25" x14ac:dyDescent="0.2">
      <c r="A607" s="987"/>
      <c r="B607" s="987"/>
      <c r="C607" s="987"/>
      <c r="D607" s="987"/>
      <c r="E607" s="987"/>
      <c r="R607" s="988"/>
      <c r="S607" s="988"/>
      <c r="T607" s="988"/>
      <c r="U607" s="988"/>
      <c r="V607" s="988"/>
      <c r="W607" s="988"/>
      <c r="X607" s="988"/>
      <c r="Y607" s="988"/>
    </row>
    <row r="608" spans="1:25" x14ac:dyDescent="0.2">
      <c r="A608" s="987"/>
      <c r="B608" s="987"/>
      <c r="C608" s="987"/>
      <c r="D608" s="987"/>
      <c r="E608" s="987"/>
      <c r="R608" s="988"/>
      <c r="S608" s="988"/>
      <c r="T608" s="988"/>
      <c r="U608" s="988"/>
      <c r="V608" s="988"/>
      <c r="W608" s="988"/>
      <c r="X608" s="988"/>
      <c r="Y608" s="988"/>
    </row>
    <row r="609" spans="1:25" x14ac:dyDescent="0.2">
      <c r="A609" s="987"/>
      <c r="B609" s="987"/>
      <c r="C609" s="987"/>
      <c r="D609" s="987"/>
      <c r="E609" s="987"/>
      <c r="R609" s="988"/>
      <c r="S609" s="988"/>
      <c r="T609" s="988"/>
      <c r="U609" s="988"/>
      <c r="V609" s="988"/>
      <c r="W609" s="988"/>
      <c r="X609" s="988"/>
      <c r="Y609" s="988"/>
    </row>
    <row r="610" spans="1:25" x14ac:dyDescent="0.2">
      <c r="A610" s="987"/>
      <c r="B610" s="987"/>
      <c r="C610" s="987"/>
      <c r="D610" s="987"/>
      <c r="E610" s="987"/>
      <c r="R610" s="988"/>
      <c r="S610" s="988"/>
      <c r="T610" s="988"/>
      <c r="U610" s="988"/>
      <c r="V610" s="988"/>
      <c r="W610" s="988"/>
      <c r="X610" s="988"/>
      <c r="Y610" s="988"/>
    </row>
    <row r="611" spans="1:25" x14ac:dyDescent="0.2">
      <c r="A611" s="987"/>
      <c r="B611" s="987"/>
      <c r="C611" s="987"/>
      <c r="D611" s="987"/>
      <c r="E611" s="987"/>
      <c r="R611" s="988"/>
      <c r="S611" s="988"/>
      <c r="T611" s="988"/>
      <c r="U611" s="988"/>
      <c r="V611" s="988"/>
      <c r="W611" s="988"/>
      <c r="X611" s="988"/>
      <c r="Y611" s="988"/>
    </row>
    <row r="612" spans="1:25" x14ac:dyDescent="0.2">
      <c r="A612" s="987"/>
      <c r="B612" s="987"/>
      <c r="C612" s="987"/>
      <c r="D612" s="987"/>
      <c r="E612" s="987"/>
      <c r="R612" s="988"/>
      <c r="S612" s="988"/>
      <c r="T612" s="988"/>
      <c r="U612" s="988"/>
      <c r="V612" s="988"/>
      <c r="W612" s="988"/>
      <c r="X612" s="988"/>
      <c r="Y612" s="988"/>
    </row>
    <row r="613" spans="1:25" x14ac:dyDescent="0.2">
      <c r="A613" s="987"/>
      <c r="B613" s="987"/>
      <c r="C613" s="987"/>
      <c r="D613" s="987"/>
      <c r="E613" s="987"/>
      <c r="R613" s="988"/>
      <c r="S613" s="988"/>
      <c r="T613" s="988"/>
      <c r="U613" s="988"/>
      <c r="V613" s="988"/>
      <c r="W613" s="988"/>
      <c r="X613" s="988"/>
      <c r="Y613" s="988"/>
    </row>
    <row r="614" spans="1:25" x14ac:dyDescent="0.2">
      <c r="A614" s="987"/>
      <c r="B614" s="987"/>
      <c r="C614" s="987"/>
      <c r="D614" s="987"/>
      <c r="E614" s="987"/>
      <c r="R614" s="988"/>
      <c r="S614" s="988"/>
      <c r="T614" s="988"/>
      <c r="U614" s="988"/>
      <c r="V614" s="988"/>
      <c r="W614" s="988"/>
      <c r="X614" s="988"/>
      <c r="Y614" s="988"/>
    </row>
    <row r="615" spans="1:25" x14ac:dyDescent="0.2">
      <c r="A615" s="987"/>
      <c r="B615" s="987"/>
      <c r="C615" s="987"/>
      <c r="D615" s="987"/>
      <c r="E615" s="987"/>
      <c r="R615" s="988"/>
      <c r="S615" s="988"/>
      <c r="T615" s="988"/>
      <c r="U615" s="988"/>
      <c r="V615" s="988"/>
      <c r="W615" s="988"/>
      <c r="X615" s="988"/>
      <c r="Y615" s="988"/>
    </row>
    <row r="616" spans="1:25" x14ac:dyDescent="0.2">
      <c r="A616" s="987"/>
      <c r="B616" s="987"/>
      <c r="C616" s="987"/>
      <c r="D616" s="987"/>
      <c r="E616" s="987"/>
      <c r="R616" s="988"/>
      <c r="S616" s="988"/>
      <c r="T616" s="988"/>
      <c r="U616" s="988"/>
      <c r="V616" s="988"/>
      <c r="W616" s="988"/>
      <c r="X616" s="988"/>
      <c r="Y616" s="988"/>
    </row>
    <row r="617" spans="1:25" x14ac:dyDescent="0.2">
      <c r="A617" s="987"/>
      <c r="B617" s="987"/>
      <c r="C617" s="987"/>
      <c r="D617" s="987"/>
      <c r="E617" s="987"/>
      <c r="R617" s="988"/>
      <c r="S617" s="988"/>
      <c r="T617" s="988"/>
      <c r="U617" s="988"/>
      <c r="V617" s="988"/>
      <c r="W617" s="988"/>
      <c r="X617" s="988"/>
      <c r="Y617" s="988"/>
    </row>
    <row r="618" spans="1:25" x14ac:dyDescent="0.2">
      <c r="A618" s="987"/>
      <c r="B618" s="987"/>
      <c r="C618" s="987"/>
      <c r="D618" s="987"/>
      <c r="E618" s="987"/>
      <c r="R618" s="988"/>
      <c r="S618" s="988"/>
      <c r="T618" s="988"/>
      <c r="U618" s="988"/>
      <c r="V618" s="988"/>
      <c r="W618" s="988"/>
      <c r="X618" s="988"/>
      <c r="Y618" s="988"/>
    </row>
    <row r="619" spans="1:25" x14ac:dyDescent="0.2">
      <c r="A619" s="987"/>
      <c r="B619" s="987"/>
      <c r="C619" s="987"/>
      <c r="D619" s="987"/>
      <c r="E619" s="987"/>
      <c r="R619" s="988"/>
      <c r="S619" s="988"/>
      <c r="T619" s="988"/>
      <c r="U619" s="988"/>
      <c r="V619" s="988"/>
      <c r="W619" s="988"/>
      <c r="X619" s="988"/>
      <c r="Y619" s="988"/>
    </row>
    <row r="620" spans="1:25" x14ac:dyDescent="0.2">
      <c r="A620" s="987"/>
      <c r="B620" s="987"/>
      <c r="C620" s="987"/>
      <c r="D620" s="987"/>
      <c r="E620" s="987"/>
      <c r="R620" s="988"/>
      <c r="S620" s="988"/>
      <c r="T620" s="988"/>
      <c r="U620" s="988"/>
      <c r="V620" s="988"/>
      <c r="W620" s="988"/>
      <c r="X620" s="988"/>
      <c r="Y620" s="988"/>
    </row>
    <row r="621" spans="1:25" x14ac:dyDescent="0.2">
      <c r="A621" s="987"/>
      <c r="B621" s="987"/>
      <c r="C621" s="987"/>
      <c r="D621" s="987"/>
      <c r="E621" s="987"/>
      <c r="R621" s="988"/>
      <c r="S621" s="988"/>
      <c r="T621" s="988"/>
      <c r="U621" s="988"/>
      <c r="V621" s="988"/>
      <c r="W621" s="988"/>
      <c r="X621" s="988"/>
      <c r="Y621" s="988"/>
    </row>
    <row r="622" spans="1:25" x14ac:dyDescent="0.2">
      <c r="A622" s="987"/>
      <c r="B622" s="987"/>
      <c r="C622" s="987"/>
      <c r="D622" s="987"/>
      <c r="E622" s="987"/>
      <c r="R622" s="988"/>
      <c r="S622" s="988"/>
      <c r="T622" s="988"/>
      <c r="U622" s="988"/>
      <c r="V622" s="988"/>
      <c r="W622" s="988"/>
      <c r="X622" s="988"/>
      <c r="Y622" s="988"/>
    </row>
    <row r="623" spans="1:25" x14ac:dyDescent="0.2">
      <c r="A623" s="987"/>
      <c r="B623" s="987"/>
      <c r="C623" s="987"/>
      <c r="D623" s="987"/>
      <c r="E623" s="987"/>
      <c r="R623" s="988"/>
      <c r="S623" s="988"/>
      <c r="T623" s="988"/>
      <c r="U623" s="988"/>
      <c r="V623" s="988"/>
      <c r="W623" s="988"/>
      <c r="X623" s="988"/>
      <c r="Y623" s="988"/>
    </row>
    <row r="624" spans="1:25" x14ac:dyDescent="0.2">
      <c r="A624" s="987"/>
      <c r="B624" s="987"/>
      <c r="C624" s="987"/>
      <c r="D624" s="987"/>
      <c r="E624" s="987"/>
      <c r="R624" s="988"/>
      <c r="S624" s="988"/>
      <c r="T624" s="988"/>
      <c r="U624" s="988"/>
      <c r="V624" s="988"/>
      <c r="W624" s="988"/>
      <c r="X624" s="988"/>
      <c r="Y624" s="988"/>
    </row>
    <row r="625" spans="1:25" x14ac:dyDescent="0.2">
      <c r="A625" s="987"/>
      <c r="B625" s="987"/>
      <c r="C625" s="987"/>
      <c r="D625" s="987"/>
      <c r="E625" s="987"/>
      <c r="R625" s="988"/>
      <c r="S625" s="988"/>
      <c r="T625" s="988"/>
      <c r="U625" s="988"/>
      <c r="V625" s="988"/>
      <c r="W625" s="988"/>
      <c r="X625" s="988"/>
      <c r="Y625" s="988"/>
    </row>
    <row r="626" spans="1:25" x14ac:dyDescent="0.2">
      <c r="A626" s="987"/>
      <c r="B626" s="987"/>
      <c r="C626" s="987"/>
      <c r="D626" s="987"/>
      <c r="E626" s="987"/>
      <c r="R626" s="988"/>
      <c r="S626" s="988"/>
      <c r="T626" s="988"/>
      <c r="U626" s="988"/>
      <c r="V626" s="988"/>
      <c r="W626" s="988"/>
      <c r="X626" s="988"/>
      <c r="Y626" s="988"/>
    </row>
    <row r="627" spans="1:25" x14ac:dyDescent="0.2">
      <c r="A627" s="987"/>
      <c r="B627" s="987"/>
      <c r="C627" s="987"/>
      <c r="D627" s="987"/>
      <c r="E627" s="987"/>
      <c r="R627" s="988"/>
      <c r="S627" s="988"/>
      <c r="T627" s="988"/>
      <c r="U627" s="988"/>
      <c r="V627" s="988"/>
      <c r="W627" s="988"/>
      <c r="X627" s="988"/>
      <c r="Y627" s="988"/>
    </row>
    <row r="628" spans="1:25" x14ac:dyDescent="0.2">
      <c r="A628" s="987"/>
      <c r="B628" s="987"/>
      <c r="C628" s="987"/>
      <c r="D628" s="987"/>
      <c r="E628" s="987"/>
      <c r="R628" s="988"/>
      <c r="S628" s="988"/>
      <c r="T628" s="988"/>
      <c r="U628" s="988"/>
      <c r="V628" s="988"/>
      <c r="W628" s="988"/>
      <c r="X628" s="988"/>
      <c r="Y628" s="988"/>
    </row>
    <row r="629" spans="1:25" x14ac:dyDescent="0.2">
      <c r="A629" s="987"/>
      <c r="B629" s="987"/>
      <c r="C629" s="987"/>
      <c r="D629" s="987"/>
      <c r="E629" s="987"/>
      <c r="R629" s="988"/>
      <c r="S629" s="988"/>
      <c r="T629" s="988"/>
      <c r="U629" s="988"/>
      <c r="V629" s="988"/>
      <c r="W629" s="988"/>
      <c r="X629" s="988"/>
      <c r="Y629" s="988"/>
    </row>
    <row r="630" spans="1:25" x14ac:dyDescent="0.2">
      <c r="A630" s="987"/>
      <c r="B630" s="987"/>
      <c r="C630" s="987"/>
      <c r="D630" s="987"/>
      <c r="E630" s="987"/>
      <c r="R630" s="988"/>
      <c r="S630" s="988"/>
      <c r="T630" s="988"/>
      <c r="U630" s="988"/>
      <c r="V630" s="988"/>
      <c r="W630" s="988"/>
      <c r="X630" s="988"/>
      <c r="Y630" s="988"/>
    </row>
    <row r="631" spans="1:25" x14ac:dyDescent="0.2">
      <c r="A631" s="987"/>
      <c r="B631" s="987"/>
      <c r="C631" s="987"/>
      <c r="D631" s="987"/>
      <c r="E631" s="987"/>
      <c r="R631" s="988"/>
      <c r="S631" s="988"/>
      <c r="T631" s="988"/>
      <c r="U631" s="988"/>
      <c r="V631" s="988"/>
      <c r="W631" s="988"/>
      <c r="X631" s="988"/>
      <c r="Y631" s="988"/>
    </row>
    <row r="632" spans="1:25" x14ac:dyDescent="0.2">
      <c r="A632" s="987"/>
      <c r="B632" s="987"/>
      <c r="C632" s="987"/>
      <c r="D632" s="987"/>
      <c r="E632" s="987"/>
      <c r="R632" s="988"/>
      <c r="S632" s="988"/>
      <c r="T632" s="988"/>
      <c r="U632" s="988"/>
      <c r="V632" s="988"/>
      <c r="W632" s="988"/>
      <c r="X632" s="988"/>
      <c r="Y632" s="988"/>
    </row>
    <row r="633" spans="1:25" x14ac:dyDescent="0.2">
      <c r="A633" s="987"/>
      <c r="B633" s="987"/>
      <c r="C633" s="987"/>
      <c r="D633" s="987"/>
      <c r="E633" s="987"/>
      <c r="R633" s="988"/>
      <c r="S633" s="988"/>
      <c r="T633" s="988"/>
      <c r="U633" s="988"/>
      <c r="V633" s="988"/>
      <c r="W633" s="988"/>
      <c r="X633" s="988"/>
      <c r="Y633" s="988"/>
    </row>
    <row r="634" spans="1:25" x14ac:dyDescent="0.2">
      <c r="A634" s="987"/>
      <c r="B634" s="987"/>
      <c r="C634" s="987"/>
      <c r="D634" s="987"/>
      <c r="E634" s="987"/>
      <c r="R634" s="988"/>
      <c r="S634" s="988"/>
      <c r="T634" s="988"/>
      <c r="U634" s="988"/>
      <c r="V634" s="988"/>
      <c r="W634" s="988"/>
      <c r="X634" s="988"/>
      <c r="Y634" s="988"/>
    </row>
    <row r="635" spans="1:25" x14ac:dyDescent="0.2">
      <c r="A635" s="987"/>
      <c r="B635" s="987"/>
      <c r="C635" s="987"/>
      <c r="D635" s="987"/>
      <c r="E635" s="987"/>
      <c r="R635" s="988"/>
      <c r="S635" s="988"/>
      <c r="T635" s="988"/>
      <c r="U635" s="988"/>
      <c r="V635" s="988"/>
      <c r="W635" s="988"/>
      <c r="X635" s="988"/>
      <c r="Y635" s="988"/>
    </row>
    <row r="636" spans="1:25" x14ac:dyDescent="0.2">
      <c r="A636" s="987"/>
      <c r="B636" s="987"/>
      <c r="C636" s="987"/>
      <c r="D636" s="987"/>
      <c r="E636" s="987"/>
      <c r="R636" s="988"/>
      <c r="S636" s="988"/>
      <c r="T636" s="988"/>
      <c r="U636" s="988"/>
      <c r="V636" s="988"/>
      <c r="W636" s="988"/>
      <c r="X636" s="988"/>
      <c r="Y636" s="988"/>
    </row>
    <row r="637" spans="1:25" x14ac:dyDescent="0.2">
      <c r="A637" s="987"/>
      <c r="B637" s="987"/>
      <c r="C637" s="987"/>
      <c r="D637" s="987"/>
      <c r="E637" s="987"/>
      <c r="R637" s="988"/>
      <c r="S637" s="988"/>
      <c r="T637" s="988"/>
      <c r="U637" s="988"/>
      <c r="V637" s="988"/>
      <c r="W637" s="988"/>
      <c r="X637" s="988"/>
      <c r="Y637" s="988"/>
    </row>
    <row r="638" spans="1:25" x14ac:dyDescent="0.2">
      <c r="A638" s="987"/>
      <c r="B638" s="987"/>
      <c r="C638" s="987"/>
      <c r="D638" s="987"/>
      <c r="E638" s="987"/>
      <c r="R638" s="988"/>
      <c r="S638" s="988"/>
      <c r="T638" s="988"/>
      <c r="U638" s="988"/>
      <c r="V638" s="988"/>
      <c r="W638" s="988"/>
      <c r="X638" s="988"/>
      <c r="Y638" s="988"/>
    </row>
    <row r="639" spans="1:25" x14ac:dyDescent="0.2">
      <c r="A639" s="987"/>
      <c r="B639" s="987"/>
      <c r="C639" s="987"/>
      <c r="D639" s="987"/>
      <c r="E639" s="987"/>
      <c r="R639" s="988"/>
      <c r="S639" s="988"/>
      <c r="T639" s="988"/>
      <c r="U639" s="988"/>
      <c r="V639" s="988"/>
      <c r="W639" s="988"/>
      <c r="X639" s="988"/>
      <c r="Y639" s="988"/>
    </row>
    <row r="640" spans="1:25" x14ac:dyDescent="0.2">
      <c r="A640" s="987"/>
      <c r="B640" s="987"/>
      <c r="C640" s="987"/>
      <c r="D640" s="987"/>
      <c r="E640" s="987"/>
      <c r="R640" s="988"/>
      <c r="S640" s="988"/>
      <c r="T640" s="988"/>
      <c r="U640" s="988"/>
      <c r="V640" s="988"/>
      <c r="W640" s="988"/>
      <c r="X640" s="988"/>
      <c r="Y640" s="988"/>
    </row>
    <row r="641" spans="1:25" x14ac:dyDescent="0.2">
      <c r="A641" s="987"/>
      <c r="B641" s="987"/>
      <c r="C641" s="987"/>
      <c r="D641" s="987"/>
      <c r="E641" s="987"/>
      <c r="R641" s="988"/>
      <c r="S641" s="988"/>
      <c r="T641" s="988"/>
      <c r="U641" s="988"/>
      <c r="V641" s="988"/>
      <c r="W641" s="988"/>
      <c r="X641" s="988"/>
      <c r="Y641" s="988"/>
    </row>
    <row r="642" spans="1:25" x14ac:dyDescent="0.2">
      <c r="A642" s="987"/>
      <c r="B642" s="987"/>
      <c r="C642" s="987"/>
      <c r="D642" s="987"/>
      <c r="E642" s="987"/>
      <c r="R642" s="988"/>
      <c r="S642" s="988"/>
      <c r="T642" s="988"/>
      <c r="U642" s="988"/>
      <c r="V642" s="988"/>
      <c r="W642" s="988"/>
      <c r="X642" s="988"/>
      <c r="Y642" s="988"/>
    </row>
    <row r="643" spans="1:25" x14ac:dyDescent="0.2">
      <c r="A643" s="987"/>
      <c r="B643" s="987"/>
      <c r="C643" s="987"/>
      <c r="D643" s="987"/>
      <c r="E643" s="987"/>
      <c r="R643" s="988"/>
      <c r="S643" s="988"/>
      <c r="T643" s="988"/>
      <c r="U643" s="988"/>
      <c r="V643" s="988"/>
      <c r="W643" s="988"/>
      <c r="X643" s="988"/>
      <c r="Y643" s="988"/>
    </row>
    <row r="644" spans="1:25" x14ac:dyDescent="0.2">
      <c r="A644" s="987"/>
      <c r="B644" s="987"/>
      <c r="C644" s="987"/>
      <c r="D644" s="987"/>
      <c r="E644" s="987"/>
      <c r="R644" s="988"/>
      <c r="S644" s="988"/>
      <c r="T644" s="988"/>
      <c r="U644" s="988"/>
      <c r="V644" s="988"/>
      <c r="W644" s="988"/>
      <c r="X644" s="988"/>
      <c r="Y644" s="988"/>
    </row>
    <row r="645" spans="1:25" x14ac:dyDescent="0.2">
      <c r="A645" s="987"/>
      <c r="B645" s="987"/>
      <c r="C645" s="987"/>
      <c r="D645" s="987"/>
      <c r="E645" s="987"/>
      <c r="R645" s="988"/>
      <c r="S645" s="988"/>
      <c r="T645" s="988"/>
      <c r="U645" s="988"/>
      <c r="V645" s="988"/>
      <c r="W645" s="988"/>
      <c r="X645" s="988"/>
      <c r="Y645" s="988"/>
    </row>
    <row r="646" spans="1:25" x14ac:dyDescent="0.2">
      <c r="A646" s="987"/>
      <c r="B646" s="987"/>
      <c r="C646" s="987"/>
      <c r="D646" s="987"/>
      <c r="E646" s="987"/>
      <c r="R646" s="988"/>
      <c r="S646" s="988"/>
      <c r="T646" s="988"/>
      <c r="U646" s="988"/>
      <c r="V646" s="988"/>
      <c r="W646" s="988"/>
      <c r="X646" s="988"/>
      <c r="Y646" s="988"/>
    </row>
    <row r="647" spans="1:25" x14ac:dyDescent="0.2">
      <c r="A647" s="987"/>
      <c r="B647" s="987"/>
      <c r="C647" s="987"/>
      <c r="D647" s="987"/>
      <c r="E647" s="987"/>
      <c r="R647" s="988"/>
      <c r="S647" s="988"/>
      <c r="T647" s="988"/>
      <c r="U647" s="988"/>
      <c r="V647" s="988"/>
      <c r="W647" s="988"/>
      <c r="X647" s="988"/>
      <c r="Y647" s="988"/>
    </row>
    <row r="648" spans="1:25" x14ac:dyDescent="0.2">
      <c r="A648" s="987"/>
      <c r="B648" s="987"/>
      <c r="C648" s="987"/>
      <c r="D648" s="987"/>
      <c r="E648" s="987"/>
      <c r="R648" s="988"/>
      <c r="S648" s="988"/>
      <c r="T648" s="988"/>
      <c r="U648" s="988"/>
      <c r="V648" s="988"/>
      <c r="W648" s="988"/>
      <c r="X648" s="988"/>
      <c r="Y648" s="988"/>
    </row>
    <row r="649" spans="1:25" x14ac:dyDescent="0.2">
      <c r="A649" s="987"/>
      <c r="B649" s="987"/>
      <c r="C649" s="987"/>
      <c r="D649" s="987"/>
      <c r="E649" s="987"/>
      <c r="R649" s="988"/>
      <c r="S649" s="988"/>
      <c r="T649" s="988"/>
      <c r="U649" s="988"/>
      <c r="V649" s="988"/>
      <c r="W649" s="988"/>
      <c r="X649" s="988"/>
      <c r="Y649" s="988"/>
    </row>
    <row r="650" spans="1:25" x14ac:dyDescent="0.2">
      <c r="A650" s="987"/>
      <c r="B650" s="987"/>
      <c r="C650" s="987"/>
      <c r="D650" s="987"/>
      <c r="E650" s="987"/>
      <c r="R650" s="988"/>
      <c r="S650" s="988"/>
      <c r="T650" s="988"/>
      <c r="U650" s="988"/>
      <c r="V650" s="988"/>
      <c r="W650" s="988"/>
      <c r="X650" s="988"/>
      <c r="Y650" s="988"/>
    </row>
    <row r="651" spans="1:25" x14ac:dyDescent="0.2">
      <c r="A651" s="987"/>
      <c r="B651" s="987"/>
      <c r="C651" s="987"/>
      <c r="D651" s="987"/>
      <c r="E651" s="987"/>
      <c r="R651" s="988"/>
      <c r="S651" s="988"/>
      <c r="T651" s="988"/>
      <c r="U651" s="988"/>
      <c r="V651" s="988"/>
      <c r="W651" s="988"/>
      <c r="X651" s="988"/>
      <c r="Y651" s="988"/>
    </row>
    <row r="652" spans="1:25" x14ac:dyDescent="0.2">
      <c r="A652" s="987"/>
      <c r="B652" s="987"/>
      <c r="C652" s="987"/>
      <c r="D652" s="987"/>
      <c r="E652" s="987"/>
      <c r="R652" s="988"/>
      <c r="S652" s="988"/>
      <c r="T652" s="988"/>
      <c r="U652" s="988"/>
      <c r="V652" s="988"/>
      <c r="W652" s="988"/>
      <c r="X652" s="988"/>
      <c r="Y652" s="988"/>
    </row>
    <row r="653" spans="1:25" x14ac:dyDescent="0.2">
      <c r="A653" s="987"/>
      <c r="B653" s="987"/>
      <c r="C653" s="987"/>
      <c r="D653" s="987"/>
      <c r="E653" s="987"/>
      <c r="R653" s="988"/>
      <c r="S653" s="988"/>
      <c r="T653" s="988"/>
      <c r="U653" s="988"/>
      <c r="V653" s="988"/>
      <c r="W653" s="988"/>
      <c r="X653" s="988"/>
      <c r="Y653" s="988"/>
    </row>
    <row r="654" spans="1:25" x14ac:dyDescent="0.2">
      <c r="A654" s="987"/>
      <c r="B654" s="987"/>
      <c r="C654" s="987"/>
      <c r="D654" s="987"/>
      <c r="E654" s="987"/>
      <c r="R654" s="988"/>
      <c r="S654" s="988"/>
      <c r="T654" s="988"/>
      <c r="U654" s="988"/>
      <c r="V654" s="988"/>
      <c r="W654" s="988"/>
      <c r="X654" s="988"/>
      <c r="Y654" s="988"/>
    </row>
    <row r="655" spans="1:25" x14ac:dyDescent="0.2">
      <c r="A655" s="987"/>
      <c r="B655" s="987"/>
      <c r="C655" s="987"/>
      <c r="D655" s="987"/>
      <c r="E655" s="987"/>
      <c r="R655" s="988"/>
      <c r="S655" s="988"/>
      <c r="T655" s="988"/>
      <c r="U655" s="988"/>
      <c r="V655" s="988"/>
      <c r="W655" s="988"/>
      <c r="X655" s="988"/>
      <c r="Y655" s="988"/>
    </row>
    <row r="656" spans="1:25" x14ac:dyDescent="0.2">
      <c r="A656" s="987"/>
      <c r="B656" s="987"/>
      <c r="C656" s="987"/>
      <c r="D656" s="987"/>
      <c r="E656" s="987"/>
      <c r="R656" s="988"/>
      <c r="S656" s="988"/>
      <c r="T656" s="988"/>
      <c r="U656" s="988"/>
      <c r="V656" s="988"/>
      <c r="W656" s="988"/>
      <c r="X656" s="988"/>
      <c r="Y656" s="988"/>
    </row>
    <row r="657" spans="1:25" x14ac:dyDescent="0.2">
      <c r="A657" s="987"/>
      <c r="B657" s="987"/>
      <c r="C657" s="987"/>
      <c r="D657" s="987"/>
      <c r="E657" s="987"/>
      <c r="R657" s="988"/>
      <c r="S657" s="988"/>
      <c r="T657" s="988"/>
      <c r="U657" s="988"/>
      <c r="V657" s="988"/>
      <c r="W657" s="988"/>
      <c r="X657" s="988"/>
      <c r="Y657" s="988"/>
    </row>
    <row r="658" spans="1:25" x14ac:dyDescent="0.2">
      <c r="A658" s="987"/>
      <c r="B658" s="987"/>
      <c r="C658" s="987"/>
      <c r="D658" s="987"/>
      <c r="E658" s="987"/>
      <c r="R658" s="988"/>
      <c r="S658" s="988"/>
      <c r="T658" s="988"/>
      <c r="U658" s="988"/>
      <c r="V658" s="988"/>
      <c r="W658" s="988"/>
      <c r="X658" s="988"/>
      <c r="Y658" s="988"/>
    </row>
    <row r="659" spans="1:25" x14ac:dyDescent="0.2">
      <c r="A659" s="987"/>
      <c r="B659" s="987"/>
      <c r="C659" s="987"/>
      <c r="D659" s="987"/>
      <c r="E659" s="987"/>
      <c r="R659" s="988"/>
      <c r="S659" s="988"/>
      <c r="T659" s="988"/>
      <c r="U659" s="988"/>
      <c r="V659" s="988"/>
      <c r="W659" s="988"/>
      <c r="X659" s="988"/>
      <c r="Y659" s="988"/>
    </row>
    <row r="660" spans="1:25" x14ac:dyDescent="0.2">
      <c r="A660" s="987"/>
      <c r="B660" s="987"/>
      <c r="C660" s="987"/>
      <c r="D660" s="987"/>
      <c r="E660" s="987"/>
      <c r="R660" s="988"/>
      <c r="S660" s="988"/>
      <c r="T660" s="988"/>
      <c r="U660" s="988"/>
      <c r="V660" s="988"/>
      <c r="W660" s="988"/>
      <c r="X660" s="988"/>
      <c r="Y660" s="988"/>
    </row>
    <row r="661" spans="1:25" x14ac:dyDescent="0.2">
      <c r="A661" s="987"/>
      <c r="B661" s="987"/>
      <c r="C661" s="987"/>
      <c r="D661" s="987"/>
      <c r="E661" s="987"/>
      <c r="R661" s="988"/>
      <c r="S661" s="988"/>
      <c r="T661" s="988"/>
      <c r="U661" s="988"/>
      <c r="V661" s="988"/>
      <c r="W661" s="988"/>
      <c r="X661" s="988"/>
      <c r="Y661" s="988"/>
    </row>
    <row r="662" spans="1:25" x14ac:dyDescent="0.2">
      <c r="A662" s="987"/>
      <c r="B662" s="987"/>
      <c r="C662" s="987"/>
      <c r="D662" s="987"/>
      <c r="E662" s="987"/>
      <c r="R662" s="988"/>
      <c r="S662" s="988"/>
      <c r="T662" s="988"/>
      <c r="U662" s="988"/>
      <c r="V662" s="988"/>
      <c r="W662" s="988"/>
      <c r="X662" s="988"/>
      <c r="Y662" s="988"/>
    </row>
    <row r="663" spans="1:25" x14ac:dyDescent="0.2">
      <c r="A663" s="987"/>
      <c r="B663" s="987"/>
      <c r="C663" s="987"/>
      <c r="D663" s="987"/>
      <c r="E663" s="987"/>
      <c r="R663" s="988"/>
      <c r="S663" s="988"/>
      <c r="T663" s="988"/>
      <c r="U663" s="988"/>
      <c r="V663" s="988"/>
      <c r="W663" s="988"/>
      <c r="X663" s="988"/>
      <c r="Y663" s="988"/>
    </row>
    <row r="664" spans="1:25" x14ac:dyDescent="0.2">
      <c r="A664" s="987"/>
      <c r="B664" s="987"/>
      <c r="C664" s="987"/>
      <c r="D664" s="987"/>
      <c r="E664" s="987"/>
      <c r="R664" s="988"/>
      <c r="S664" s="988"/>
      <c r="T664" s="988"/>
      <c r="U664" s="988"/>
      <c r="V664" s="988"/>
      <c r="W664" s="988"/>
      <c r="X664" s="988"/>
      <c r="Y664" s="988"/>
    </row>
    <row r="665" spans="1:25" x14ac:dyDescent="0.2">
      <c r="A665" s="987"/>
      <c r="B665" s="987"/>
      <c r="C665" s="987"/>
      <c r="D665" s="987"/>
      <c r="E665" s="987"/>
      <c r="R665" s="988"/>
      <c r="S665" s="988"/>
      <c r="T665" s="988"/>
      <c r="U665" s="988"/>
      <c r="V665" s="988"/>
      <c r="W665" s="988"/>
      <c r="X665" s="988"/>
      <c r="Y665" s="988"/>
    </row>
    <row r="666" spans="1:25" x14ac:dyDescent="0.2">
      <c r="A666" s="987"/>
      <c r="B666" s="987"/>
      <c r="C666" s="987"/>
      <c r="D666" s="987"/>
      <c r="E666" s="987"/>
      <c r="R666" s="988"/>
      <c r="S666" s="988"/>
      <c r="T666" s="988"/>
      <c r="U666" s="988"/>
      <c r="V666" s="988"/>
      <c r="W666" s="988"/>
      <c r="X666" s="988"/>
      <c r="Y666" s="988"/>
    </row>
    <row r="667" spans="1:25" x14ac:dyDescent="0.2">
      <c r="A667" s="987"/>
      <c r="B667" s="987"/>
      <c r="C667" s="987"/>
      <c r="D667" s="987"/>
      <c r="E667" s="987"/>
      <c r="R667" s="988"/>
      <c r="S667" s="988"/>
      <c r="T667" s="988"/>
      <c r="U667" s="988"/>
      <c r="V667" s="988"/>
      <c r="W667" s="988"/>
      <c r="X667" s="988"/>
      <c r="Y667" s="988"/>
    </row>
    <row r="668" spans="1:25" x14ac:dyDescent="0.2">
      <c r="A668" s="987"/>
      <c r="B668" s="987"/>
      <c r="C668" s="987"/>
      <c r="D668" s="987"/>
      <c r="E668" s="987"/>
      <c r="R668" s="988"/>
      <c r="S668" s="988"/>
      <c r="T668" s="988"/>
      <c r="U668" s="988"/>
      <c r="V668" s="988"/>
      <c r="W668" s="988"/>
      <c r="X668" s="988"/>
      <c r="Y668" s="988"/>
    </row>
    <row r="669" spans="1:25" x14ac:dyDescent="0.2">
      <c r="A669" s="987"/>
      <c r="B669" s="987"/>
      <c r="C669" s="987"/>
      <c r="D669" s="987"/>
      <c r="E669" s="987"/>
      <c r="R669" s="988"/>
      <c r="S669" s="988"/>
      <c r="T669" s="988"/>
      <c r="U669" s="988"/>
      <c r="V669" s="988"/>
      <c r="W669" s="988"/>
      <c r="X669" s="988"/>
      <c r="Y669" s="988"/>
    </row>
    <row r="670" spans="1:25" x14ac:dyDescent="0.2">
      <c r="A670" s="987"/>
      <c r="B670" s="987"/>
      <c r="C670" s="987"/>
      <c r="D670" s="987"/>
      <c r="E670" s="987"/>
      <c r="R670" s="988"/>
      <c r="S670" s="988"/>
      <c r="T670" s="988"/>
      <c r="U670" s="988"/>
      <c r="V670" s="988"/>
      <c r="W670" s="988"/>
      <c r="X670" s="988"/>
      <c r="Y670" s="988"/>
    </row>
    <row r="671" spans="1:25" x14ac:dyDescent="0.2">
      <c r="A671" s="987"/>
      <c r="B671" s="987"/>
      <c r="C671" s="987"/>
      <c r="D671" s="987"/>
      <c r="E671" s="987"/>
      <c r="R671" s="988"/>
      <c r="S671" s="988"/>
      <c r="T671" s="988"/>
      <c r="U671" s="988"/>
      <c r="V671" s="988"/>
      <c r="W671" s="988"/>
      <c r="X671" s="988"/>
      <c r="Y671" s="988"/>
    </row>
    <row r="672" spans="1:25" x14ac:dyDescent="0.2">
      <c r="A672" s="987"/>
      <c r="B672" s="987"/>
      <c r="C672" s="987"/>
      <c r="D672" s="987"/>
      <c r="E672" s="987"/>
      <c r="R672" s="988"/>
      <c r="S672" s="988"/>
      <c r="T672" s="988"/>
      <c r="U672" s="988"/>
      <c r="V672" s="988"/>
      <c r="W672" s="988"/>
      <c r="X672" s="988"/>
      <c r="Y672" s="988"/>
    </row>
    <row r="673" spans="1:25" x14ac:dyDescent="0.2">
      <c r="A673" s="987"/>
      <c r="B673" s="987"/>
      <c r="C673" s="987"/>
      <c r="D673" s="987"/>
      <c r="E673" s="987"/>
      <c r="R673" s="988"/>
      <c r="S673" s="988"/>
      <c r="T673" s="988"/>
      <c r="U673" s="988"/>
      <c r="V673" s="988"/>
      <c r="W673" s="988"/>
      <c r="X673" s="988"/>
      <c r="Y673" s="988"/>
    </row>
    <row r="674" spans="1:25" x14ac:dyDescent="0.2">
      <c r="A674" s="987"/>
      <c r="B674" s="987"/>
      <c r="C674" s="987"/>
      <c r="D674" s="987"/>
      <c r="E674" s="987"/>
      <c r="R674" s="988"/>
      <c r="S674" s="988"/>
      <c r="T674" s="988"/>
      <c r="U674" s="988"/>
      <c r="V674" s="988"/>
      <c r="W674" s="988"/>
      <c r="X674" s="988"/>
      <c r="Y674" s="988"/>
    </row>
    <row r="675" spans="1:25" x14ac:dyDescent="0.2">
      <c r="A675" s="987"/>
      <c r="B675" s="987"/>
      <c r="C675" s="987"/>
      <c r="D675" s="987"/>
      <c r="E675" s="987"/>
      <c r="R675" s="988"/>
      <c r="S675" s="988"/>
      <c r="T675" s="988"/>
      <c r="U675" s="988"/>
      <c r="V675" s="988"/>
      <c r="W675" s="988"/>
      <c r="X675" s="988"/>
      <c r="Y675" s="988"/>
    </row>
    <row r="676" spans="1:25" x14ac:dyDescent="0.2">
      <c r="A676" s="987"/>
      <c r="B676" s="987"/>
      <c r="C676" s="987"/>
      <c r="D676" s="987"/>
      <c r="E676" s="987"/>
      <c r="R676" s="988"/>
      <c r="S676" s="988"/>
      <c r="T676" s="988"/>
      <c r="U676" s="988"/>
      <c r="V676" s="988"/>
      <c r="W676" s="988"/>
      <c r="X676" s="988"/>
      <c r="Y676" s="988"/>
    </row>
    <row r="677" spans="1:25" x14ac:dyDescent="0.2">
      <c r="A677" s="987"/>
      <c r="B677" s="987"/>
      <c r="C677" s="987"/>
      <c r="D677" s="987"/>
      <c r="E677" s="987"/>
      <c r="R677" s="988"/>
      <c r="S677" s="988"/>
      <c r="T677" s="988"/>
      <c r="U677" s="988"/>
      <c r="V677" s="988"/>
      <c r="W677" s="988"/>
      <c r="X677" s="988"/>
      <c r="Y677" s="988"/>
    </row>
    <row r="678" spans="1:25" x14ac:dyDescent="0.2">
      <c r="A678" s="987"/>
      <c r="B678" s="987"/>
      <c r="C678" s="987"/>
      <c r="D678" s="987"/>
      <c r="E678" s="987"/>
      <c r="R678" s="988"/>
      <c r="S678" s="988"/>
      <c r="T678" s="988"/>
      <c r="U678" s="988"/>
      <c r="V678" s="988"/>
      <c r="W678" s="988"/>
      <c r="X678" s="988"/>
      <c r="Y678" s="988"/>
    </row>
    <row r="679" spans="1:25" x14ac:dyDescent="0.2">
      <c r="A679" s="987"/>
      <c r="B679" s="987"/>
      <c r="C679" s="987"/>
      <c r="D679" s="987"/>
      <c r="E679" s="987"/>
      <c r="R679" s="988"/>
      <c r="S679" s="988"/>
      <c r="T679" s="988"/>
      <c r="U679" s="988"/>
      <c r="V679" s="988"/>
      <c r="W679" s="988"/>
      <c r="X679" s="988"/>
      <c r="Y679" s="988"/>
    </row>
    <row r="680" spans="1:25" x14ac:dyDescent="0.2">
      <c r="A680" s="987"/>
      <c r="B680" s="987"/>
      <c r="C680" s="987"/>
      <c r="D680" s="987"/>
      <c r="E680" s="987"/>
      <c r="R680" s="988"/>
      <c r="S680" s="988"/>
      <c r="T680" s="988"/>
      <c r="U680" s="988"/>
      <c r="V680" s="988"/>
      <c r="W680" s="988"/>
      <c r="X680" s="988"/>
      <c r="Y680" s="988"/>
    </row>
    <row r="681" spans="1:25" x14ac:dyDescent="0.2">
      <c r="A681" s="987"/>
      <c r="B681" s="987"/>
      <c r="C681" s="987"/>
      <c r="D681" s="987"/>
      <c r="E681" s="987"/>
      <c r="R681" s="988"/>
      <c r="S681" s="988"/>
      <c r="T681" s="988"/>
      <c r="U681" s="988"/>
      <c r="V681" s="988"/>
      <c r="W681" s="988"/>
      <c r="X681" s="988"/>
      <c r="Y681" s="988"/>
    </row>
    <row r="682" spans="1:25" x14ac:dyDescent="0.2">
      <c r="A682" s="987"/>
      <c r="B682" s="987"/>
      <c r="C682" s="987"/>
      <c r="D682" s="987"/>
      <c r="E682" s="987"/>
      <c r="R682" s="988"/>
      <c r="S682" s="988"/>
      <c r="T682" s="988"/>
      <c r="U682" s="988"/>
      <c r="V682" s="988"/>
      <c r="W682" s="988"/>
      <c r="X682" s="988"/>
      <c r="Y682" s="988"/>
    </row>
    <row r="683" spans="1:25" x14ac:dyDescent="0.2">
      <c r="A683" s="987"/>
      <c r="B683" s="987"/>
      <c r="C683" s="987"/>
      <c r="D683" s="987"/>
      <c r="E683" s="987"/>
      <c r="R683" s="988"/>
      <c r="S683" s="988"/>
      <c r="T683" s="988"/>
      <c r="U683" s="988"/>
      <c r="V683" s="988"/>
      <c r="W683" s="988"/>
      <c r="X683" s="988"/>
      <c r="Y683" s="988"/>
    </row>
    <row r="684" spans="1:25" x14ac:dyDescent="0.2">
      <c r="A684" s="987"/>
      <c r="B684" s="987"/>
      <c r="C684" s="987"/>
      <c r="D684" s="987"/>
      <c r="E684" s="987"/>
      <c r="R684" s="988"/>
      <c r="S684" s="988"/>
      <c r="T684" s="988"/>
      <c r="U684" s="988"/>
      <c r="V684" s="988"/>
      <c r="W684" s="988"/>
      <c r="X684" s="988"/>
      <c r="Y684" s="988"/>
    </row>
    <row r="685" spans="1:25" x14ac:dyDescent="0.2">
      <c r="A685" s="987"/>
      <c r="B685" s="987"/>
      <c r="C685" s="987"/>
      <c r="D685" s="987"/>
      <c r="E685" s="987"/>
      <c r="R685" s="988"/>
      <c r="S685" s="988"/>
      <c r="T685" s="988"/>
      <c r="U685" s="988"/>
      <c r="V685" s="988"/>
      <c r="W685" s="988"/>
      <c r="X685" s="988"/>
      <c r="Y685" s="988"/>
    </row>
    <row r="686" spans="1:25" x14ac:dyDescent="0.2">
      <c r="A686" s="987"/>
      <c r="B686" s="987"/>
      <c r="C686" s="987"/>
      <c r="D686" s="987"/>
      <c r="E686" s="987"/>
      <c r="R686" s="988"/>
      <c r="S686" s="988"/>
      <c r="T686" s="988"/>
      <c r="U686" s="988"/>
      <c r="V686" s="988"/>
      <c r="W686" s="988"/>
      <c r="X686" s="988"/>
      <c r="Y686" s="988"/>
    </row>
    <row r="687" spans="1:25" x14ac:dyDescent="0.2">
      <c r="A687" s="987"/>
      <c r="B687" s="987"/>
      <c r="C687" s="987"/>
      <c r="D687" s="987"/>
      <c r="E687" s="987"/>
      <c r="R687" s="988"/>
      <c r="S687" s="988"/>
      <c r="T687" s="988"/>
      <c r="U687" s="988"/>
      <c r="V687" s="988"/>
      <c r="W687" s="988"/>
      <c r="X687" s="988"/>
      <c r="Y687" s="988"/>
    </row>
    <row r="688" spans="1:25" x14ac:dyDescent="0.2">
      <c r="A688" s="987"/>
      <c r="B688" s="987"/>
      <c r="C688" s="987"/>
      <c r="D688" s="987"/>
      <c r="E688" s="987"/>
      <c r="R688" s="988"/>
      <c r="S688" s="988"/>
      <c r="T688" s="988"/>
      <c r="U688" s="988"/>
      <c r="V688" s="988"/>
      <c r="W688" s="988"/>
      <c r="X688" s="988"/>
      <c r="Y688" s="988"/>
    </row>
    <row r="689" spans="1:25" x14ac:dyDescent="0.2">
      <c r="A689" s="987"/>
      <c r="B689" s="987"/>
      <c r="C689" s="987"/>
      <c r="D689" s="987"/>
      <c r="E689" s="987"/>
      <c r="R689" s="988"/>
      <c r="S689" s="988"/>
      <c r="T689" s="988"/>
      <c r="U689" s="988"/>
      <c r="V689" s="988"/>
      <c r="W689" s="988"/>
      <c r="X689" s="988"/>
      <c r="Y689" s="988"/>
    </row>
    <row r="690" spans="1:25" x14ac:dyDescent="0.2">
      <c r="A690" s="987"/>
      <c r="B690" s="987"/>
      <c r="C690" s="987"/>
      <c r="D690" s="987"/>
      <c r="E690" s="987"/>
      <c r="R690" s="988"/>
      <c r="S690" s="988"/>
      <c r="T690" s="988"/>
      <c r="U690" s="988"/>
      <c r="V690" s="988"/>
      <c r="W690" s="988"/>
      <c r="X690" s="988"/>
      <c r="Y690" s="988"/>
    </row>
    <row r="691" spans="1:25" x14ac:dyDescent="0.2">
      <c r="A691" s="987"/>
      <c r="B691" s="987"/>
      <c r="C691" s="987"/>
      <c r="D691" s="987"/>
      <c r="E691" s="987"/>
      <c r="R691" s="988"/>
      <c r="S691" s="988"/>
      <c r="T691" s="988"/>
      <c r="U691" s="988"/>
      <c r="V691" s="988"/>
      <c r="W691" s="988"/>
      <c r="X691" s="988"/>
      <c r="Y691" s="988"/>
    </row>
    <row r="692" spans="1:25" x14ac:dyDescent="0.2">
      <c r="A692" s="987"/>
      <c r="B692" s="987"/>
      <c r="C692" s="987"/>
      <c r="D692" s="987"/>
      <c r="E692" s="987"/>
      <c r="R692" s="988"/>
      <c r="S692" s="988"/>
      <c r="T692" s="988"/>
      <c r="U692" s="988"/>
      <c r="V692" s="988"/>
      <c r="W692" s="988"/>
      <c r="X692" s="988"/>
      <c r="Y692" s="988"/>
    </row>
    <row r="693" spans="1:25" x14ac:dyDescent="0.2">
      <c r="A693" s="987"/>
      <c r="B693" s="987"/>
      <c r="C693" s="987"/>
      <c r="D693" s="987"/>
      <c r="E693" s="987"/>
      <c r="R693" s="988"/>
      <c r="S693" s="988"/>
      <c r="T693" s="988"/>
      <c r="U693" s="988"/>
      <c r="V693" s="988"/>
      <c r="W693" s="988"/>
      <c r="X693" s="988"/>
      <c r="Y693" s="988"/>
    </row>
    <row r="694" spans="1:25" x14ac:dyDescent="0.2">
      <c r="A694" s="987"/>
      <c r="B694" s="987"/>
      <c r="C694" s="987"/>
      <c r="D694" s="987"/>
      <c r="E694" s="987"/>
      <c r="R694" s="988"/>
      <c r="S694" s="988"/>
      <c r="T694" s="988"/>
      <c r="U694" s="988"/>
      <c r="V694" s="988"/>
      <c r="W694" s="988"/>
      <c r="X694" s="988"/>
      <c r="Y694" s="988"/>
    </row>
    <row r="695" spans="1:25" x14ac:dyDescent="0.2">
      <c r="A695" s="987"/>
      <c r="B695" s="987"/>
      <c r="C695" s="987"/>
      <c r="D695" s="987"/>
      <c r="E695" s="987"/>
      <c r="R695" s="988"/>
      <c r="S695" s="988"/>
      <c r="T695" s="988"/>
      <c r="U695" s="988"/>
      <c r="V695" s="988"/>
      <c r="W695" s="988"/>
      <c r="X695" s="988"/>
      <c r="Y695" s="988"/>
    </row>
    <row r="696" spans="1:25" x14ac:dyDescent="0.2">
      <c r="A696" s="987"/>
      <c r="B696" s="987"/>
      <c r="C696" s="987"/>
      <c r="D696" s="987"/>
      <c r="E696" s="987"/>
      <c r="R696" s="988"/>
      <c r="S696" s="988"/>
      <c r="T696" s="988"/>
      <c r="U696" s="988"/>
      <c r="V696" s="988"/>
      <c r="W696" s="988"/>
      <c r="X696" s="988"/>
      <c r="Y696" s="988"/>
    </row>
    <row r="697" spans="1:25" x14ac:dyDescent="0.2">
      <c r="A697" s="987"/>
      <c r="B697" s="987"/>
      <c r="C697" s="987"/>
      <c r="D697" s="987"/>
      <c r="E697" s="987"/>
      <c r="R697" s="988"/>
      <c r="S697" s="988"/>
      <c r="T697" s="988"/>
      <c r="U697" s="988"/>
      <c r="V697" s="988"/>
      <c r="W697" s="988"/>
      <c r="X697" s="988"/>
      <c r="Y697" s="988"/>
    </row>
    <row r="698" spans="1:25" x14ac:dyDescent="0.2">
      <c r="A698" s="987"/>
      <c r="B698" s="987"/>
      <c r="C698" s="987"/>
      <c r="D698" s="987"/>
      <c r="E698" s="987"/>
      <c r="R698" s="988"/>
      <c r="S698" s="988"/>
      <c r="T698" s="988"/>
      <c r="U698" s="988"/>
      <c r="V698" s="988"/>
      <c r="W698" s="988"/>
      <c r="X698" s="988"/>
      <c r="Y698" s="988"/>
    </row>
    <row r="699" spans="1:25" x14ac:dyDescent="0.2">
      <c r="A699" s="987"/>
      <c r="B699" s="987"/>
      <c r="C699" s="987"/>
      <c r="D699" s="987"/>
      <c r="E699" s="987"/>
      <c r="R699" s="988"/>
      <c r="S699" s="988"/>
      <c r="T699" s="988"/>
      <c r="U699" s="988"/>
      <c r="V699" s="988"/>
      <c r="W699" s="988"/>
      <c r="X699" s="988"/>
      <c r="Y699" s="988"/>
    </row>
    <row r="700" spans="1:25" x14ac:dyDescent="0.2">
      <c r="A700" s="987"/>
      <c r="B700" s="987"/>
      <c r="C700" s="987"/>
      <c r="D700" s="987"/>
      <c r="E700" s="987"/>
      <c r="R700" s="988"/>
      <c r="S700" s="988"/>
      <c r="T700" s="988"/>
      <c r="U700" s="988"/>
      <c r="V700" s="988"/>
      <c r="W700" s="988"/>
      <c r="X700" s="988"/>
      <c r="Y700" s="988"/>
    </row>
    <row r="701" spans="1:25" x14ac:dyDescent="0.2">
      <c r="A701" s="987"/>
      <c r="B701" s="987"/>
      <c r="C701" s="987"/>
      <c r="D701" s="987"/>
      <c r="E701" s="987"/>
      <c r="R701" s="988"/>
      <c r="S701" s="988"/>
      <c r="T701" s="988"/>
      <c r="U701" s="988"/>
      <c r="V701" s="988"/>
      <c r="W701" s="988"/>
      <c r="X701" s="988"/>
      <c r="Y701" s="988"/>
    </row>
    <row r="702" spans="1:25" x14ac:dyDescent="0.2">
      <c r="A702" s="987"/>
      <c r="B702" s="987"/>
      <c r="C702" s="987"/>
      <c r="D702" s="987"/>
      <c r="E702" s="987"/>
      <c r="R702" s="988"/>
      <c r="S702" s="988"/>
      <c r="T702" s="988"/>
      <c r="U702" s="988"/>
      <c r="V702" s="988"/>
      <c r="W702" s="988"/>
      <c r="X702" s="988"/>
      <c r="Y702" s="988"/>
    </row>
    <row r="703" spans="1:25" x14ac:dyDescent="0.2">
      <c r="A703" s="987"/>
      <c r="B703" s="987"/>
      <c r="C703" s="987"/>
      <c r="D703" s="987"/>
      <c r="E703" s="987"/>
      <c r="R703" s="988"/>
      <c r="S703" s="988"/>
      <c r="T703" s="988"/>
      <c r="U703" s="988"/>
      <c r="V703" s="988"/>
      <c r="W703" s="988"/>
      <c r="X703" s="988"/>
      <c r="Y703" s="988"/>
    </row>
    <row r="704" spans="1:25" x14ac:dyDescent="0.2">
      <c r="A704" s="987"/>
      <c r="B704" s="987"/>
      <c r="C704" s="987"/>
      <c r="D704" s="987"/>
      <c r="E704" s="987"/>
      <c r="R704" s="988"/>
      <c r="S704" s="988"/>
      <c r="T704" s="988"/>
      <c r="U704" s="988"/>
      <c r="V704" s="988"/>
      <c r="W704" s="988"/>
      <c r="X704" s="988"/>
      <c r="Y704" s="988"/>
    </row>
    <row r="705" spans="1:25" x14ac:dyDescent="0.2">
      <c r="A705" s="987"/>
      <c r="B705" s="987"/>
      <c r="C705" s="987"/>
      <c r="D705" s="987"/>
      <c r="E705" s="987"/>
      <c r="R705" s="988"/>
      <c r="S705" s="988"/>
      <c r="T705" s="988"/>
      <c r="U705" s="988"/>
      <c r="V705" s="988"/>
      <c r="W705" s="988"/>
      <c r="X705" s="988"/>
      <c r="Y705" s="988"/>
    </row>
    <row r="706" spans="1:25" x14ac:dyDescent="0.2">
      <c r="A706" s="987"/>
      <c r="B706" s="987"/>
      <c r="C706" s="987"/>
      <c r="D706" s="987"/>
      <c r="E706" s="987"/>
      <c r="R706" s="988"/>
      <c r="S706" s="988"/>
      <c r="T706" s="988"/>
      <c r="U706" s="988"/>
      <c r="V706" s="988"/>
      <c r="W706" s="988"/>
      <c r="X706" s="988"/>
      <c r="Y706" s="988"/>
    </row>
    <row r="707" spans="1:25" x14ac:dyDescent="0.2">
      <c r="A707" s="987"/>
      <c r="B707" s="987"/>
      <c r="C707" s="987"/>
      <c r="D707" s="987"/>
      <c r="E707" s="987"/>
      <c r="R707" s="988"/>
      <c r="S707" s="988"/>
      <c r="T707" s="988"/>
      <c r="U707" s="988"/>
      <c r="V707" s="988"/>
      <c r="W707" s="988"/>
      <c r="X707" s="988"/>
      <c r="Y707" s="988"/>
    </row>
    <row r="708" spans="1:25" x14ac:dyDescent="0.2">
      <c r="A708" s="987"/>
      <c r="B708" s="987"/>
      <c r="C708" s="987"/>
      <c r="D708" s="987"/>
      <c r="E708" s="987"/>
      <c r="R708" s="988"/>
      <c r="S708" s="988"/>
      <c r="T708" s="988"/>
      <c r="U708" s="988"/>
      <c r="V708" s="988"/>
      <c r="W708" s="988"/>
      <c r="X708" s="988"/>
      <c r="Y708" s="988"/>
    </row>
    <row r="709" spans="1:25" x14ac:dyDescent="0.2">
      <c r="A709" s="987"/>
      <c r="B709" s="987"/>
      <c r="C709" s="987"/>
      <c r="D709" s="987"/>
      <c r="E709" s="987"/>
      <c r="R709" s="988"/>
      <c r="S709" s="988"/>
      <c r="T709" s="988"/>
      <c r="U709" s="988"/>
      <c r="V709" s="988"/>
      <c r="W709" s="988"/>
      <c r="X709" s="988"/>
      <c r="Y709" s="988"/>
    </row>
    <row r="710" spans="1:25" x14ac:dyDescent="0.2">
      <c r="A710" s="987"/>
      <c r="B710" s="987"/>
      <c r="C710" s="987"/>
      <c r="D710" s="987"/>
      <c r="E710" s="987"/>
      <c r="R710" s="988"/>
      <c r="S710" s="988"/>
      <c r="T710" s="988"/>
      <c r="U710" s="988"/>
      <c r="V710" s="988"/>
      <c r="W710" s="988"/>
      <c r="X710" s="988"/>
      <c r="Y710" s="988"/>
    </row>
    <row r="711" spans="1:25" x14ac:dyDescent="0.2">
      <c r="A711" s="987"/>
      <c r="B711" s="987"/>
      <c r="C711" s="987"/>
      <c r="D711" s="987"/>
      <c r="E711" s="987"/>
      <c r="R711" s="988"/>
      <c r="S711" s="988"/>
      <c r="T711" s="988"/>
      <c r="U711" s="988"/>
      <c r="V711" s="988"/>
      <c r="W711" s="988"/>
      <c r="X711" s="988"/>
      <c r="Y711" s="988"/>
    </row>
    <row r="712" spans="1:25" x14ac:dyDescent="0.2">
      <c r="A712" s="987"/>
      <c r="B712" s="987"/>
      <c r="C712" s="987"/>
      <c r="D712" s="987"/>
      <c r="E712" s="987"/>
      <c r="R712" s="988"/>
      <c r="S712" s="988"/>
      <c r="T712" s="988"/>
      <c r="U712" s="988"/>
      <c r="V712" s="988"/>
      <c r="W712" s="988"/>
      <c r="X712" s="988"/>
      <c r="Y712" s="988"/>
    </row>
    <row r="713" spans="1:25" x14ac:dyDescent="0.2">
      <c r="A713" s="987"/>
      <c r="B713" s="987"/>
      <c r="C713" s="987"/>
      <c r="D713" s="987"/>
      <c r="E713" s="987"/>
      <c r="R713" s="988"/>
      <c r="S713" s="988"/>
      <c r="T713" s="988"/>
      <c r="U713" s="988"/>
      <c r="V713" s="988"/>
      <c r="W713" s="988"/>
      <c r="X713" s="988"/>
      <c r="Y713" s="988"/>
    </row>
    <row r="714" spans="1:25" x14ac:dyDescent="0.2">
      <c r="A714" s="987"/>
      <c r="B714" s="987"/>
      <c r="C714" s="987"/>
      <c r="D714" s="987"/>
      <c r="E714" s="987"/>
      <c r="R714" s="988"/>
      <c r="S714" s="988"/>
      <c r="T714" s="988"/>
      <c r="U714" s="988"/>
      <c r="V714" s="988"/>
      <c r="W714" s="988"/>
      <c r="X714" s="988"/>
      <c r="Y714" s="988"/>
    </row>
    <row r="715" spans="1:25" x14ac:dyDescent="0.2">
      <c r="A715" s="987"/>
      <c r="B715" s="987"/>
      <c r="C715" s="987"/>
      <c r="D715" s="987"/>
      <c r="E715" s="987"/>
      <c r="R715" s="988"/>
      <c r="S715" s="988"/>
      <c r="T715" s="988"/>
      <c r="U715" s="988"/>
      <c r="V715" s="988"/>
      <c r="W715" s="988"/>
      <c r="X715" s="988"/>
      <c r="Y715" s="988"/>
    </row>
    <row r="716" spans="1:25" x14ac:dyDescent="0.2">
      <c r="A716" s="987"/>
      <c r="B716" s="987"/>
      <c r="C716" s="987"/>
      <c r="D716" s="987"/>
      <c r="E716" s="987"/>
      <c r="R716" s="988"/>
      <c r="S716" s="988"/>
      <c r="T716" s="988"/>
      <c r="U716" s="988"/>
      <c r="V716" s="988"/>
      <c r="W716" s="988"/>
      <c r="X716" s="988"/>
      <c r="Y716" s="988"/>
    </row>
    <row r="717" spans="1:25" x14ac:dyDescent="0.2">
      <c r="A717" s="987"/>
      <c r="B717" s="987"/>
      <c r="C717" s="987"/>
      <c r="D717" s="987"/>
      <c r="E717" s="987"/>
      <c r="R717" s="988"/>
      <c r="S717" s="988"/>
      <c r="T717" s="988"/>
      <c r="U717" s="988"/>
      <c r="V717" s="988"/>
      <c r="W717" s="988"/>
      <c r="X717" s="988"/>
      <c r="Y717" s="988"/>
    </row>
    <row r="718" spans="1:25" x14ac:dyDescent="0.2">
      <c r="A718" s="987"/>
      <c r="B718" s="987"/>
      <c r="C718" s="987"/>
      <c r="D718" s="987"/>
      <c r="E718" s="987"/>
      <c r="R718" s="988"/>
      <c r="S718" s="988"/>
      <c r="T718" s="988"/>
      <c r="U718" s="988"/>
      <c r="V718" s="988"/>
      <c r="W718" s="988"/>
      <c r="X718" s="988"/>
      <c r="Y718" s="988"/>
    </row>
    <row r="719" spans="1:25" x14ac:dyDescent="0.2">
      <c r="A719" s="987"/>
      <c r="B719" s="987"/>
      <c r="C719" s="987"/>
      <c r="D719" s="987"/>
      <c r="E719" s="987"/>
      <c r="R719" s="988"/>
      <c r="S719" s="988"/>
      <c r="T719" s="988"/>
      <c r="U719" s="988"/>
      <c r="V719" s="988"/>
      <c r="W719" s="988"/>
      <c r="X719" s="988"/>
      <c r="Y719" s="988"/>
    </row>
    <row r="720" spans="1:25" x14ac:dyDescent="0.2">
      <c r="A720" s="987"/>
      <c r="B720" s="987"/>
      <c r="C720" s="987"/>
      <c r="D720" s="987"/>
      <c r="E720" s="987"/>
      <c r="R720" s="988"/>
      <c r="S720" s="988"/>
      <c r="T720" s="988"/>
      <c r="U720" s="988"/>
      <c r="V720" s="988"/>
      <c r="W720" s="988"/>
      <c r="X720" s="988"/>
      <c r="Y720" s="988"/>
    </row>
    <row r="721" spans="1:25" x14ac:dyDescent="0.2">
      <c r="A721" s="987"/>
      <c r="B721" s="987"/>
      <c r="C721" s="987"/>
      <c r="D721" s="987"/>
      <c r="E721" s="987"/>
      <c r="R721" s="988"/>
      <c r="S721" s="988"/>
      <c r="T721" s="988"/>
      <c r="U721" s="988"/>
      <c r="V721" s="988"/>
      <c r="W721" s="988"/>
      <c r="X721" s="988"/>
      <c r="Y721" s="988"/>
    </row>
    <row r="722" spans="1:25" x14ac:dyDescent="0.2">
      <c r="A722" s="987"/>
      <c r="B722" s="987"/>
      <c r="C722" s="987"/>
      <c r="D722" s="987"/>
      <c r="E722" s="987"/>
      <c r="R722" s="988"/>
      <c r="S722" s="988"/>
      <c r="T722" s="988"/>
      <c r="U722" s="988"/>
      <c r="V722" s="988"/>
      <c r="W722" s="988"/>
      <c r="X722" s="988"/>
      <c r="Y722" s="988"/>
    </row>
    <row r="723" spans="1:25" x14ac:dyDescent="0.2">
      <c r="A723" s="987"/>
      <c r="B723" s="987"/>
      <c r="C723" s="987"/>
      <c r="D723" s="987"/>
      <c r="E723" s="987"/>
      <c r="R723" s="988"/>
      <c r="S723" s="988"/>
      <c r="T723" s="988"/>
      <c r="U723" s="988"/>
      <c r="V723" s="988"/>
      <c r="W723" s="988"/>
      <c r="X723" s="988"/>
      <c r="Y723" s="988"/>
    </row>
    <row r="724" spans="1:25" x14ac:dyDescent="0.2">
      <c r="A724" s="987"/>
      <c r="B724" s="987"/>
      <c r="C724" s="987"/>
      <c r="D724" s="987"/>
      <c r="E724" s="987"/>
      <c r="R724" s="988"/>
      <c r="S724" s="988"/>
      <c r="T724" s="988"/>
      <c r="U724" s="988"/>
      <c r="V724" s="988"/>
      <c r="W724" s="988"/>
      <c r="X724" s="988"/>
      <c r="Y724" s="988"/>
    </row>
    <row r="725" spans="1:25" x14ac:dyDescent="0.2">
      <c r="A725" s="987"/>
      <c r="B725" s="987"/>
      <c r="C725" s="987"/>
      <c r="D725" s="987"/>
      <c r="E725" s="987"/>
      <c r="R725" s="988"/>
      <c r="S725" s="988"/>
      <c r="T725" s="988"/>
      <c r="U725" s="988"/>
      <c r="V725" s="988"/>
      <c r="W725" s="988"/>
      <c r="X725" s="988"/>
      <c r="Y725" s="988"/>
    </row>
    <row r="726" spans="1:25" x14ac:dyDescent="0.2">
      <c r="A726" s="987"/>
      <c r="B726" s="987"/>
      <c r="C726" s="987"/>
      <c r="D726" s="987"/>
      <c r="E726" s="987"/>
      <c r="R726" s="988"/>
      <c r="S726" s="988"/>
      <c r="T726" s="988"/>
      <c r="U726" s="988"/>
      <c r="V726" s="988"/>
      <c r="W726" s="988"/>
      <c r="X726" s="988"/>
      <c r="Y726" s="988"/>
    </row>
    <row r="727" spans="1:25" x14ac:dyDescent="0.2">
      <c r="A727" s="987"/>
      <c r="B727" s="987"/>
      <c r="C727" s="987"/>
      <c r="D727" s="987"/>
      <c r="E727" s="987"/>
      <c r="R727" s="988"/>
      <c r="S727" s="988"/>
      <c r="T727" s="988"/>
      <c r="U727" s="988"/>
      <c r="V727" s="988"/>
      <c r="W727" s="988"/>
      <c r="X727" s="988"/>
      <c r="Y727" s="988"/>
    </row>
    <row r="728" spans="1:25" x14ac:dyDescent="0.2">
      <c r="A728" s="987"/>
      <c r="B728" s="987"/>
      <c r="C728" s="987"/>
      <c r="D728" s="987"/>
      <c r="E728" s="987"/>
      <c r="R728" s="988"/>
      <c r="S728" s="988"/>
      <c r="T728" s="988"/>
      <c r="U728" s="988"/>
      <c r="V728" s="988"/>
      <c r="W728" s="988"/>
      <c r="X728" s="988"/>
      <c r="Y728" s="988"/>
    </row>
    <row r="729" spans="1:25" x14ac:dyDescent="0.2">
      <c r="A729" s="987"/>
      <c r="B729" s="987"/>
      <c r="C729" s="987"/>
      <c r="D729" s="987"/>
      <c r="E729" s="987"/>
      <c r="R729" s="988"/>
      <c r="S729" s="988"/>
      <c r="T729" s="988"/>
      <c r="U729" s="988"/>
      <c r="V729" s="988"/>
      <c r="W729" s="988"/>
      <c r="X729" s="988"/>
      <c r="Y729" s="988"/>
    </row>
    <row r="730" spans="1:25" x14ac:dyDescent="0.2">
      <c r="A730" s="987"/>
      <c r="B730" s="987"/>
      <c r="C730" s="987"/>
      <c r="D730" s="987"/>
      <c r="E730" s="987"/>
      <c r="R730" s="988"/>
      <c r="S730" s="988"/>
      <c r="T730" s="988"/>
      <c r="U730" s="988"/>
      <c r="V730" s="988"/>
      <c r="W730" s="988"/>
      <c r="X730" s="988"/>
      <c r="Y730" s="988"/>
    </row>
    <row r="731" spans="1:25" x14ac:dyDescent="0.2">
      <c r="A731" s="987"/>
      <c r="B731" s="987"/>
      <c r="C731" s="987"/>
      <c r="D731" s="987"/>
      <c r="E731" s="987"/>
      <c r="R731" s="988"/>
      <c r="S731" s="988"/>
      <c r="T731" s="988"/>
      <c r="U731" s="988"/>
      <c r="V731" s="988"/>
      <c r="W731" s="988"/>
      <c r="X731" s="988"/>
      <c r="Y731" s="988"/>
    </row>
    <row r="732" spans="1:25" x14ac:dyDescent="0.2">
      <c r="A732" s="987"/>
      <c r="B732" s="987"/>
      <c r="C732" s="987"/>
      <c r="D732" s="987"/>
      <c r="E732" s="987"/>
      <c r="R732" s="988"/>
      <c r="S732" s="988"/>
      <c r="T732" s="988"/>
      <c r="U732" s="988"/>
      <c r="V732" s="988"/>
      <c r="W732" s="988"/>
      <c r="X732" s="988"/>
      <c r="Y732" s="988"/>
    </row>
    <row r="733" spans="1:25" x14ac:dyDescent="0.2">
      <c r="A733" s="987"/>
      <c r="B733" s="987"/>
      <c r="C733" s="987"/>
      <c r="D733" s="987"/>
      <c r="E733" s="987"/>
      <c r="R733" s="988"/>
      <c r="S733" s="988"/>
      <c r="T733" s="988"/>
      <c r="U733" s="988"/>
      <c r="V733" s="988"/>
      <c r="W733" s="988"/>
      <c r="X733" s="988"/>
      <c r="Y733" s="988"/>
    </row>
    <row r="734" spans="1:25" x14ac:dyDescent="0.2">
      <c r="A734" s="987"/>
      <c r="B734" s="987"/>
      <c r="C734" s="987"/>
      <c r="D734" s="987"/>
      <c r="E734" s="987"/>
      <c r="R734" s="988"/>
      <c r="S734" s="988"/>
      <c r="T734" s="988"/>
      <c r="U734" s="988"/>
      <c r="V734" s="988"/>
      <c r="W734" s="988"/>
      <c r="X734" s="988"/>
      <c r="Y734" s="988"/>
    </row>
    <row r="735" spans="1:25" x14ac:dyDescent="0.2">
      <c r="A735" s="987"/>
      <c r="B735" s="987"/>
      <c r="C735" s="987"/>
      <c r="D735" s="987"/>
      <c r="E735" s="987"/>
      <c r="R735" s="988"/>
      <c r="S735" s="988"/>
      <c r="T735" s="988"/>
      <c r="U735" s="988"/>
      <c r="V735" s="988"/>
      <c r="W735" s="988"/>
      <c r="X735" s="988"/>
      <c r="Y735" s="988"/>
    </row>
    <row r="736" spans="1:25" x14ac:dyDescent="0.2">
      <c r="A736" s="987"/>
      <c r="B736" s="987"/>
      <c r="C736" s="987"/>
      <c r="D736" s="987"/>
      <c r="E736" s="987"/>
      <c r="R736" s="988"/>
      <c r="S736" s="988"/>
      <c r="T736" s="988"/>
      <c r="U736" s="988"/>
      <c r="V736" s="988"/>
      <c r="W736" s="988"/>
      <c r="X736" s="988"/>
      <c r="Y736" s="988"/>
    </row>
    <row r="737" spans="1:25" x14ac:dyDescent="0.2">
      <c r="A737" s="987"/>
      <c r="B737" s="987"/>
      <c r="C737" s="987"/>
      <c r="D737" s="987"/>
      <c r="E737" s="987"/>
      <c r="R737" s="988"/>
      <c r="S737" s="988"/>
      <c r="T737" s="988"/>
      <c r="U737" s="988"/>
      <c r="V737" s="988"/>
      <c r="W737" s="988"/>
      <c r="X737" s="988"/>
      <c r="Y737" s="988"/>
    </row>
    <row r="738" spans="1:25" x14ac:dyDescent="0.2">
      <c r="A738" s="987"/>
      <c r="B738" s="987"/>
      <c r="C738" s="987"/>
      <c r="D738" s="987"/>
      <c r="E738" s="987"/>
      <c r="R738" s="988"/>
      <c r="S738" s="988"/>
      <c r="T738" s="988"/>
      <c r="U738" s="988"/>
      <c r="V738" s="988"/>
      <c r="W738" s="988"/>
      <c r="X738" s="988"/>
      <c r="Y738" s="988"/>
    </row>
    <row r="739" spans="1:25" x14ac:dyDescent="0.2">
      <c r="A739" s="987"/>
      <c r="B739" s="987"/>
      <c r="C739" s="987"/>
      <c r="D739" s="987"/>
      <c r="E739" s="987"/>
      <c r="R739" s="988"/>
      <c r="S739" s="988"/>
      <c r="T739" s="988"/>
      <c r="U739" s="988"/>
      <c r="V739" s="988"/>
      <c r="W739" s="988"/>
      <c r="X739" s="988"/>
      <c r="Y739" s="988"/>
    </row>
    <row r="740" spans="1:25" x14ac:dyDescent="0.2">
      <c r="A740" s="987"/>
      <c r="B740" s="987"/>
      <c r="C740" s="987"/>
      <c r="D740" s="987"/>
      <c r="E740" s="987"/>
      <c r="R740" s="988"/>
      <c r="S740" s="988"/>
      <c r="T740" s="988"/>
      <c r="U740" s="988"/>
      <c r="V740" s="988"/>
      <c r="W740" s="988"/>
      <c r="X740" s="988"/>
      <c r="Y740" s="988"/>
    </row>
    <row r="741" spans="1:25" x14ac:dyDescent="0.2">
      <c r="A741" s="987"/>
      <c r="B741" s="987"/>
      <c r="C741" s="987"/>
      <c r="D741" s="987"/>
      <c r="E741" s="987"/>
      <c r="R741" s="988"/>
      <c r="S741" s="988"/>
      <c r="T741" s="988"/>
      <c r="U741" s="988"/>
      <c r="V741" s="988"/>
      <c r="W741" s="988"/>
      <c r="X741" s="988"/>
      <c r="Y741" s="988"/>
    </row>
    <row r="742" spans="1:25" x14ac:dyDescent="0.2">
      <c r="A742" s="987"/>
      <c r="B742" s="987"/>
      <c r="C742" s="987"/>
      <c r="D742" s="987"/>
      <c r="E742" s="987"/>
      <c r="R742" s="988"/>
      <c r="S742" s="988"/>
      <c r="T742" s="988"/>
      <c r="U742" s="988"/>
      <c r="V742" s="988"/>
      <c r="W742" s="988"/>
      <c r="X742" s="988"/>
      <c r="Y742" s="988"/>
    </row>
    <row r="743" spans="1:25" x14ac:dyDescent="0.2">
      <c r="A743" s="987"/>
      <c r="B743" s="987"/>
      <c r="C743" s="987"/>
      <c r="D743" s="987"/>
      <c r="E743" s="987"/>
      <c r="R743" s="988"/>
      <c r="S743" s="988"/>
      <c r="T743" s="988"/>
      <c r="U743" s="988"/>
      <c r="V743" s="988"/>
      <c r="W743" s="988"/>
      <c r="X743" s="988"/>
      <c r="Y743" s="988"/>
    </row>
    <row r="744" spans="1:25" x14ac:dyDescent="0.2">
      <c r="A744" s="987"/>
      <c r="B744" s="987"/>
      <c r="C744" s="987"/>
      <c r="D744" s="987"/>
      <c r="E744" s="987"/>
      <c r="R744" s="988"/>
      <c r="S744" s="988"/>
      <c r="T744" s="988"/>
      <c r="U744" s="988"/>
      <c r="V744" s="988"/>
      <c r="W744" s="988"/>
      <c r="X744" s="988"/>
      <c r="Y744" s="988"/>
    </row>
    <row r="745" spans="1:25" x14ac:dyDescent="0.2">
      <c r="A745" s="987"/>
      <c r="B745" s="987"/>
      <c r="C745" s="987"/>
      <c r="D745" s="987"/>
      <c r="E745" s="987"/>
      <c r="R745" s="988"/>
      <c r="S745" s="988"/>
      <c r="T745" s="988"/>
      <c r="U745" s="988"/>
      <c r="V745" s="988"/>
      <c r="W745" s="988"/>
      <c r="X745" s="988"/>
      <c r="Y745" s="988"/>
    </row>
    <row r="746" spans="1:25" x14ac:dyDescent="0.2">
      <c r="A746" s="987"/>
      <c r="B746" s="987"/>
      <c r="C746" s="987"/>
      <c r="D746" s="987"/>
      <c r="E746" s="987"/>
      <c r="R746" s="988"/>
      <c r="S746" s="988"/>
      <c r="T746" s="988"/>
      <c r="U746" s="988"/>
      <c r="V746" s="988"/>
      <c r="W746" s="988"/>
      <c r="X746" s="988"/>
      <c r="Y746" s="988"/>
    </row>
    <row r="747" spans="1:25" x14ac:dyDescent="0.2">
      <c r="A747" s="987"/>
      <c r="B747" s="987"/>
      <c r="C747" s="987"/>
      <c r="D747" s="987"/>
      <c r="E747" s="987"/>
      <c r="R747" s="988"/>
      <c r="S747" s="988"/>
      <c r="T747" s="988"/>
      <c r="U747" s="988"/>
      <c r="V747" s="988"/>
      <c r="W747" s="988"/>
      <c r="X747" s="988"/>
      <c r="Y747" s="988"/>
    </row>
    <row r="748" spans="1:25" x14ac:dyDescent="0.2">
      <c r="A748" s="987"/>
      <c r="B748" s="987"/>
      <c r="C748" s="987"/>
      <c r="D748" s="987"/>
      <c r="E748" s="987"/>
      <c r="R748" s="988"/>
      <c r="S748" s="988"/>
      <c r="T748" s="988"/>
      <c r="U748" s="988"/>
      <c r="V748" s="988"/>
      <c r="W748" s="988"/>
      <c r="X748" s="988"/>
      <c r="Y748" s="988"/>
    </row>
    <row r="749" spans="1:25" x14ac:dyDescent="0.2">
      <c r="A749" s="987"/>
      <c r="B749" s="987"/>
      <c r="C749" s="987"/>
      <c r="D749" s="987"/>
      <c r="E749" s="987"/>
      <c r="R749" s="988"/>
      <c r="S749" s="988"/>
      <c r="T749" s="988"/>
      <c r="U749" s="988"/>
      <c r="V749" s="988"/>
      <c r="W749" s="988"/>
      <c r="X749" s="988"/>
      <c r="Y749" s="988"/>
    </row>
    <row r="750" spans="1:25" x14ac:dyDescent="0.2">
      <c r="A750" s="987"/>
      <c r="B750" s="987"/>
      <c r="C750" s="987"/>
      <c r="D750" s="987"/>
      <c r="E750" s="987"/>
      <c r="R750" s="988"/>
      <c r="S750" s="988"/>
      <c r="T750" s="988"/>
      <c r="U750" s="988"/>
      <c r="V750" s="988"/>
      <c r="W750" s="988"/>
      <c r="X750" s="988"/>
      <c r="Y750" s="988"/>
    </row>
    <row r="751" spans="1:25" x14ac:dyDescent="0.2">
      <c r="A751" s="987"/>
      <c r="B751" s="987"/>
      <c r="C751" s="987"/>
      <c r="D751" s="987"/>
      <c r="E751" s="987"/>
      <c r="R751" s="988"/>
      <c r="S751" s="988"/>
      <c r="T751" s="988"/>
      <c r="U751" s="988"/>
      <c r="V751" s="988"/>
      <c r="W751" s="988"/>
      <c r="X751" s="988"/>
      <c r="Y751" s="988"/>
    </row>
    <row r="752" spans="1:25" x14ac:dyDescent="0.2">
      <c r="A752" s="987"/>
      <c r="B752" s="987"/>
      <c r="C752" s="987"/>
      <c r="D752" s="987"/>
      <c r="E752" s="987"/>
      <c r="R752" s="988"/>
      <c r="S752" s="988"/>
      <c r="T752" s="988"/>
      <c r="U752" s="988"/>
      <c r="V752" s="988"/>
      <c r="W752" s="988"/>
      <c r="X752" s="988"/>
      <c r="Y752" s="988"/>
    </row>
    <row r="753" spans="1:25" x14ac:dyDescent="0.2">
      <c r="A753" s="987"/>
      <c r="B753" s="987"/>
      <c r="C753" s="987"/>
      <c r="D753" s="987"/>
      <c r="E753" s="987"/>
      <c r="R753" s="988"/>
      <c r="S753" s="988"/>
      <c r="T753" s="988"/>
      <c r="U753" s="988"/>
      <c r="V753" s="988"/>
      <c r="W753" s="988"/>
      <c r="X753" s="988"/>
      <c r="Y753" s="988"/>
    </row>
    <row r="754" spans="1:25" x14ac:dyDescent="0.2">
      <c r="A754" s="987"/>
      <c r="B754" s="987"/>
      <c r="C754" s="987"/>
      <c r="D754" s="987"/>
      <c r="E754" s="987"/>
      <c r="R754" s="988"/>
      <c r="S754" s="988"/>
      <c r="T754" s="988"/>
      <c r="U754" s="988"/>
      <c r="V754" s="988"/>
      <c r="W754" s="988"/>
      <c r="X754" s="988"/>
      <c r="Y754" s="988"/>
    </row>
    <row r="755" spans="1:25" x14ac:dyDescent="0.2">
      <c r="A755" s="987"/>
      <c r="B755" s="987"/>
      <c r="C755" s="987"/>
      <c r="D755" s="987"/>
      <c r="E755" s="987"/>
      <c r="R755" s="988"/>
      <c r="S755" s="988"/>
      <c r="T755" s="988"/>
      <c r="U755" s="988"/>
      <c r="V755" s="988"/>
      <c r="W755" s="988"/>
      <c r="X755" s="988"/>
      <c r="Y755" s="988"/>
    </row>
    <row r="756" spans="1:25" x14ac:dyDescent="0.2">
      <c r="A756" s="987"/>
      <c r="B756" s="987"/>
      <c r="C756" s="987"/>
      <c r="D756" s="987"/>
      <c r="E756" s="987"/>
      <c r="R756" s="988"/>
      <c r="S756" s="988"/>
      <c r="T756" s="988"/>
      <c r="U756" s="988"/>
      <c r="V756" s="988"/>
      <c r="W756" s="988"/>
      <c r="X756" s="988"/>
      <c r="Y756" s="988"/>
    </row>
    <row r="757" spans="1:25" x14ac:dyDescent="0.2">
      <c r="A757" s="987"/>
      <c r="B757" s="987"/>
      <c r="C757" s="987"/>
      <c r="D757" s="987"/>
      <c r="E757" s="987"/>
      <c r="R757" s="988"/>
      <c r="S757" s="988"/>
      <c r="T757" s="988"/>
      <c r="U757" s="988"/>
      <c r="V757" s="988"/>
      <c r="W757" s="988"/>
      <c r="X757" s="988"/>
      <c r="Y757" s="988"/>
    </row>
    <row r="758" spans="1:25" x14ac:dyDescent="0.2">
      <c r="A758" s="987"/>
      <c r="B758" s="987"/>
      <c r="C758" s="987"/>
      <c r="D758" s="987"/>
      <c r="E758" s="987"/>
      <c r="R758" s="988"/>
      <c r="S758" s="988"/>
      <c r="T758" s="988"/>
      <c r="U758" s="988"/>
      <c r="V758" s="988"/>
      <c r="W758" s="988"/>
      <c r="X758" s="988"/>
      <c r="Y758" s="988"/>
    </row>
    <row r="759" spans="1:25" x14ac:dyDescent="0.2">
      <c r="A759" s="987"/>
      <c r="B759" s="987"/>
      <c r="C759" s="987"/>
      <c r="D759" s="987"/>
      <c r="E759" s="987"/>
      <c r="R759" s="988"/>
      <c r="S759" s="988"/>
      <c r="T759" s="988"/>
      <c r="U759" s="988"/>
      <c r="V759" s="988"/>
      <c r="W759" s="988"/>
      <c r="X759" s="988"/>
      <c r="Y759" s="988"/>
    </row>
    <row r="760" spans="1:25" x14ac:dyDescent="0.2">
      <c r="A760" s="987"/>
      <c r="B760" s="987"/>
      <c r="C760" s="987"/>
      <c r="D760" s="987"/>
      <c r="E760" s="987"/>
      <c r="R760" s="988"/>
      <c r="S760" s="988"/>
      <c r="T760" s="988"/>
      <c r="U760" s="988"/>
      <c r="V760" s="988"/>
      <c r="W760" s="988"/>
      <c r="X760" s="988"/>
      <c r="Y760" s="988"/>
    </row>
    <row r="761" spans="1:25" x14ac:dyDescent="0.2">
      <c r="A761" s="987"/>
      <c r="B761" s="987"/>
      <c r="C761" s="987"/>
      <c r="D761" s="987"/>
      <c r="E761" s="987"/>
      <c r="R761" s="988"/>
      <c r="S761" s="988"/>
      <c r="T761" s="988"/>
      <c r="U761" s="988"/>
      <c r="V761" s="988"/>
      <c r="W761" s="988"/>
      <c r="X761" s="988"/>
      <c r="Y761" s="988"/>
    </row>
    <row r="762" spans="1:25" x14ac:dyDescent="0.2">
      <c r="A762" s="987"/>
      <c r="B762" s="987"/>
      <c r="C762" s="987"/>
      <c r="D762" s="987"/>
      <c r="E762" s="987"/>
      <c r="R762" s="988"/>
      <c r="S762" s="988"/>
      <c r="T762" s="988"/>
      <c r="U762" s="988"/>
      <c r="V762" s="988"/>
      <c r="W762" s="988"/>
      <c r="X762" s="988"/>
      <c r="Y762" s="988"/>
    </row>
    <row r="763" spans="1:25" x14ac:dyDescent="0.2">
      <c r="A763" s="987"/>
      <c r="B763" s="987"/>
      <c r="C763" s="987"/>
      <c r="D763" s="987"/>
      <c r="E763" s="987"/>
      <c r="R763" s="988"/>
      <c r="S763" s="988"/>
      <c r="T763" s="988"/>
      <c r="U763" s="988"/>
      <c r="V763" s="988"/>
      <c r="W763" s="988"/>
      <c r="X763" s="988"/>
      <c r="Y763" s="988"/>
    </row>
    <row r="764" spans="1:25" x14ac:dyDescent="0.2">
      <c r="A764" s="987"/>
      <c r="B764" s="987"/>
      <c r="C764" s="987"/>
      <c r="D764" s="987"/>
      <c r="E764" s="987"/>
      <c r="R764" s="988"/>
      <c r="S764" s="988"/>
      <c r="T764" s="988"/>
      <c r="U764" s="988"/>
      <c r="V764" s="988"/>
      <c r="W764" s="988"/>
      <c r="X764" s="988"/>
      <c r="Y764" s="988"/>
    </row>
    <row r="765" spans="1:25" x14ac:dyDescent="0.2">
      <c r="A765" s="987"/>
      <c r="B765" s="987"/>
      <c r="C765" s="987"/>
      <c r="D765" s="987"/>
      <c r="E765" s="987"/>
      <c r="R765" s="988"/>
      <c r="S765" s="988"/>
      <c r="T765" s="988"/>
      <c r="U765" s="988"/>
      <c r="V765" s="988"/>
      <c r="W765" s="988"/>
      <c r="X765" s="988"/>
      <c r="Y765" s="988"/>
    </row>
    <row r="766" spans="1:25" x14ac:dyDescent="0.2">
      <c r="A766" s="987"/>
      <c r="B766" s="987"/>
      <c r="C766" s="987"/>
      <c r="D766" s="987"/>
      <c r="E766" s="987"/>
      <c r="R766" s="988"/>
      <c r="S766" s="988"/>
      <c r="T766" s="988"/>
      <c r="U766" s="988"/>
      <c r="V766" s="988"/>
      <c r="W766" s="988"/>
      <c r="X766" s="988"/>
      <c r="Y766" s="988"/>
    </row>
    <row r="767" spans="1:25" x14ac:dyDescent="0.2">
      <c r="A767" s="987"/>
      <c r="B767" s="987"/>
      <c r="C767" s="987"/>
      <c r="D767" s="987"/>
      <c r="E767" s="987"/>
      <c r="R767" s="988"/>
      <c r="S767" s="988"/>
      <c r="T767" s="988"/>
      <c r="U767" s="988"/>
      <c r="V767" s="988"/>
      <c r="W767" s="988"/>
      <c r="X767" s="988"/>
      <c r="Y767" s="988"/>
    </row>
    <row r="768" spans="1:25" x14ac:dyDescent="0.2">
      <c r="A768" s="987"/>
      <c r="B768" s="987"/>
      <c r="C768" s="987"/>
      <c r="D768" s="987"/>
      <c r="E768" s="987"/>
      <c r="R768" s="988"/>
      <c r="S768" s="988"/>
      <c r="T768" s="988"/>
      <c r="U768" s="988"/>
      <c r="V768" s="988"/>
      <c r="W768" s="988"/>
      <c r="X768" s="988"/>
      <c r="Y768" s="988"/>
    </row>
    <row r="769" spans="1:25" x14ac:dyDescent="0.2">
      <c r="A769" s="987"/>
      <c r="B769" s="987"/>
      <c r="C769" s="987"/>
      <c r="D769" s="987"/>
      <c r="E769" s="987"/>
      <c r="R769" s="988"/>
      <c r="S769" s="988"/>
      <c r="T769" s="988"/>
      <c r="U769" s="988"/>
      <c r="V769" s="988"/>
      <c r="W769" s="988"/>
      <c r="X769" s="988"/>
      <c r="Y769" s="988"/>
    </row>
    <row r="770" spans="1:25" x14ac:dyDescent="0.2">
      <c r="A770" s="987"/>
      <c r="B770" s="987"/>
      <c r="C770" s="987"/>
      <c r="D770" s="987"/>
      <c r="E770" s="987"/>
      <c r="R770" s="988"/>
      <c r="S770" s="988"/>
      <c r="T770" s="988"/>
      <c r="U770" s="988"/>
      <c r="V770" s="988"/>
      <c r="W770" s="988"/>
      <c r="X770" s="988"/>
      <c r="Y770" s="988"/>
    </row>
    <row r="771" spans="1:25" x14ac:dyDescent="0.2">
      <c r="A771" s="987"/>
      <c r="B771" s="987"/>
      <c r="C771" s="987"/>
      <c r="D771" s="987"/>
      <c r="E771" s="987"/>
      <c r="R771" s="988"/>
      <c r="S771" s="988"/>
      <c r="T771" s="988"/>
      <c r="U771" s="988"/>
      <c r="V771" s="988"/>
      <c r="W771" s="988"/>
      <c r="X771" s="988"/>
      <c r="Y771" s="988"/>
    </row>
    <row r="772" spans="1:25" x14ac:dyDescent="0.2">
      <c r="A772" s="987"/>
      <c r="B772" s="987"/>
      <c r="C772" s="987"/>
      <c r="D772" s="987"/>
      <c r="E772" s="987"/>
      <c r="R772" s="988"/>
      <c r="S772" s="988"/>
      <c r="T772" s="988"/>
      <c r="U772" s="988"/>
      <c r="V772" s="988"/>
      <c r="W772" s="988"/>
      <c r="X772" s="988"/>
      <c r="Y772" s="988"/>
    </row>
    <row r="773" spans="1:25" x14ac:dyDescent="0.2">
      <c r="A773" s="987"/>
      <c r="B773" s="987"/>
      <c r="C773" s="987"/>
      <c r="D773" s="987"/>
      <c r="E773" s="987"/>
      <c r="R773" s="988"/>
      <c r="S773" s="988"/>
      <c r="T773" s="988"/>
      <c r="U773" s="988"/>
      <c r="V773" s="988"/>
      <c r="W773" s="988"/>
      <c r="X773" s="988"/>
      <c r="Y773" s="988"/>
    </row>
    <row r="774" spans="1:25" x14ac:dyDescent="0.2">
      <c r="A774" s="987"/>
      <c r="B774" s="987"/>
      <c r="C774" s="987"/>
      <c r="D774" s="987"/>
      <c r="E774" s="987"/>
      <c r="R774" s="988"/>
      <c r="S774" s="988"/>
      <c r="T774" s="988"/>
      <c r="U774" s="988"/>
      <c r="V774" s="988"/>
      <c r="W774" s="988"/>
      <c r="X774" s="988"/>
      <c r="Y774" s="988"/>
    </row>
    <row r="775" spans="1:25" x14ac:dyDescent="0.2">
      <c r="A775" s="987"/>
      <c r="B775" s="987"/>
      <c r="C775" s="987"/>
      <c r="D775" s="987"/>
      <c r="E775" s="987"/>
      <c r="R775" s="988"/>
      <c r="S775" s="988"/>
      <c r="T775" s="988"/>
      <c r="U775" s="988"/>
      <c r="V775" s="988"/>
      <c r="W775" s="988"/>
      <c r="X775" s="988"/>
      <c r="Y775" s="988"/>
    </row>
    <row r="776" spans="1:25" x14ac:dyDescent="0.2">
      <c r="A776" s="987"/>
      <c r="B776" s="987"/>
      <c r="C776" s="987"/>
      <c r="D776" s="987"/>
      <c r="E776" s="987"/>
      <c r="R776" s="988"/>
      <c r="S776" s="988"/>
      <c r="T776" s="988"/>
      <c r="U776" s="988"/>
      <c r="V776" s="988"/>
      <c r="W776" s="988"/>
      <c r="X776" s="988"/>
      <c r="Y776" s="988"/>
    </row>
    <row r="777" spans="1:25" x14ac:dyDescent="0.2">
      <c r="A777" s="987"/>
      <c r="B777" s="987"/>
      <c r="C777" s="987"/>
      <c r="D777" s="987"/>
      <c r="E777" s="987"/>
      <c r="R777" s="988"/>
      <c r="S777" s="988"/>
      <c r="T777" s="988"/>
      <c r="U777" s="988"/>
      <c r="V777" s="988"/>
      <c r="W777" s="988"/>
      <c r="X777" s="988"/>
      <c r="Y777" s="988"/>
    </row>
    <row r="778" spans="1:25" x14ac:dyDescent="0.2">
      <c r="A778" s="987"/>
      <c r="B778" s="987"/>
      <c r="C778" s="987"/>
      <c r="D778" s="987"/>
      <c r="E778" s="987"/>
      <c r="R778" s="988"/>
      <c r="S778" s="988"/>
      <c r="T778" s="988"/>
      <c r="U778" s="988"/>
      <c r="V778" s="988"/>
      <c r="W778" s="988"/>
      <c r="X778" s="988"/>
      <c r="Y778" s="988"/>
    </row>
    <row r="779" spans="1:25" x14ac:dyDescent="0.2">
      <c r="A779" s="987"/>
      <c r="B779" s="987"/>
      <c r="C779" s="987"/>
      <c r="D779" s="987"/>
      <c r="E779" s="987"/>
      <c r="R779" s="988"/>
      <c r="S779" s="988"/>
      <c r="T779" s="988"/>
      <c r="U779" s="988"/>
      <c r="V779" s="988"/>
      <c r="W779" s="988"/>
      <c r="X779" s="988"/>
      <c r="Y779" s="988"/>
    </row>
    <row r="780" spans="1:25" x14ac:dyDescent="0.2">
      <c r="A780" s="987"/>
      <c r="B780" s="987"/>
      <c r="C780" s="987"/>
      <c r="D780" s="987"/>
      <c r="E780" s="987"/>
      <c r="R780" s="988"/>
      <c r="S780" s="988"/>
      <c r="T780" s="988"/>
      <c r="U780" s="988"/>
      <c r="V780" s="988"/>
      <c r="W780" s="988"/>
      <c r="X780" s="988"/>
      <c r="Y780" s="988"/>
    </row>
    <row r="781" spans="1:25" x14ac:dyDescent="0.2">
      <c r="A781" s="987"/>
      <c r="B781" s="987"/>
      <c r="C781" s="987"/>
      <c r="D781" s="987"/>
      <c r="E781" s="987"/>
      <c r="R781" s="988"/>
      <c r="S781" s="988"/>
      <c r="T781" s="988"/>
      <c r="U781" s="988"/>
      <c r="V781" s="988"/>
      <c r="W781" s="988"/>
      <c r="X781" s="988"/>
      <c r="Y781" s="988"/>
    </row>
    <row r="782" spans="1:25" x14ac:dyDescent="0.2">
      <c r="A782" s="987"/>
      <c r="B782" s="987"/>
      <c r="C782" s="987"/>
      <c r="D782" s="987"/>
      <c r="E782" s="987"/>
      <c r="R782" s="988"/>
      <c r="S782" s="988"/>
      <c r="T782" s="988"/>
      <c r="U782" s="988"/>
      <c r="V782" s="988"/>
      <c r="W782" s="988"/>
      <c r="X782" s="988"/>
      <c r="Y782" s="988"/>
    </row>
    <row r="783" spans="1:25" x14ac:dyDescent="0.2">
      <c r="A783" s="987"/>
      <c r="B783" s="987"/>
      <c r="C783" s="987"/>
      <c r="D783" s="987"/>
      <c r="E783" s="987"/>
      <c r="R783" s="988"/>
      <c r="S783" s="988"/>
      <c r="T783" s="988"/>
      <c r="U783" s="988"/>
      <c r="V783" s="988"/>
      <c r="W783" s="988"/>
      <c r="X783" s="988"/>
      <c r="Y783" s="988"/>
    </row>
    <row r="784" spans="1:25" x14ac:dyDescent="0.2">
      <c r="A784" s="987"/>
      <c r="B784" s="987"/>
      <c r="C784" s="987"/>
      <c r="D784" s="987"/>
      <c r="E784" s="987"/>
      <c r="R784" s="988"/>
      <c r="S784" s="988"/>
      <c r="T784" s="988"/>
      <c r="U784" s="988"/>
      <c r="V784" s="988"/>
      <c r="W784" s="988"/>
      <c r="X784" s="988"/>
      <c r="Y784" s="988"/>
    </row>
    <row r="785" spans="1:25" x14ac:dyDescent="0.2">
      <c r="A785" s="987"/>
      <c r="B785" s="987"/>
      <c r="C785" s="987"/>
      <c r="D785" s="987"/>
      <c r="E785" s="987"/>
      <c r="R785" s="988"/>
      <c r="S785" s="988"/>
      <c r="T785" s="988"/>
      <c r="U785" s="988"/>
      <c r="V785" s="988"/>
      <c r="W785" s="988"/>
      <c r="X785" s="988"/>
      <c r="Y785" s="988"/>
    </row>
    <row r="786" spans="1:25" x14ac:dyDescent="0.2">
      <c r="A786" s="987"/>
      <c r="B786" s="987"/>
      <c r="C786" s="987"/>
      <c r="D786" s="987"/>
      <c r="E786" s="987"/>
      <c r="R786" s="988"/>
      <c r="S786" s="988"/>
      <c r="T786" s="988"/>
      <c r="U786" s="988"/>
      <c r="V786" s="988"/>
      <c r="W786" s="988"/>
      <c r="X786" s="988"/>
      <c r="Y786" s="988"/>
    </row>
    <row r="787" spans="1:25" x14ac:dyDescent="0.2">
      <c r="A787" s="987"/>
      <c r="B787" s="987"/>
      <c r="C787" s="987"/>
      <c r="D787" s="987"/>
      <c r="E787" s="987"/>
      <c r="R787" s="988"/>
      <c r="S787" s="988"/>
      <c r="T787" s="988"/>
      <c r="U787" s="988"/>
      <c r="V787" s="988"/>
      <c r="W787" s="988"/>
      <c r="X787" s="988"/>
      <c r="Y787" s="988"/>
    </row>
    <row r="788" spans="1:25" x14ac:dyDescent="0.2">
      <c r="A788" s="987"/>
      <c r="B788" s="987"/>
      <c r="C788" s="987"/>
      <c r="D788" s="987"/>
      <c r="E788" s="987"/>
      <c r="R788" s="988"/>
      <c r="S788" s="988"/>
      <c r="T788" s="988"/>
      <c r="U788" s="988"/>
      <c r="V788" s="988"/>
      <c r="W788" s="988"/>
      <c r="X788" s="988"/>
      <c r="Y788" s="988"/>
    </row>
    <row r="789" spans="1:25" x14ac:dyDescent="0.2">
      <c r="A789" s="987"/>
      <c r="B789" s="987"/>
      <c r="C789" s="987"/>
      <c r="D789" s="987"/>
      <c r="E789" s="987"/>
      <c r="R789" s="988"/>
      <c r="S789" s="988"/>
      <c r="T789" s="988"/>
      <c r="U789" s="988"/>
      <c r="V789" s="988"/>
      <c r="W789" s="988"/>
      <c r="X789" s="988"/>
      <c r="Y789" s="988"/>
    </row>
    <row r="790" spans="1:25" x14ac:dyDescent="0.2">
      <c r="A790" s="987"/>
      <c r="B790" s="987"/>
      <c r="C790" s="987"/>
      <c r="D790" s="987"/>
      <c r="E790" s="987"/>
      <c r="R790" s="988"/>
      <c r="S790" s="988"/>
      <c r="T790" s="988"/>
      <c r="U790" s="988"/>
      <c r="V790" s="988"/>
      <c r="W790" s="988"/>
      <c r="X790" s="988"/>
      <c r="Y790" s="988"/>
    </row>
    <row r="791" spans="1:25" x14ac:dyDescent="0.2">
      <c r="A791" s="987"/>
      <c r="B791" s="987"/>
      <c r="C791" s="987"/>
      <c r="D791" s="987"/>
      <c r="E791" s="987"/>
      <c r="R791" s="988"/>
      <c r="S791" s="988"/>
      <c r="T791" s="988"/>
      <c r="U791" s="988"/>
      <c r="V791" s="988"/>
      <c r="W791" s="988"/>
      <c r="X791" s="988"/>
      <c r="Y791" s="988"/>
    </row>
    <row r="792" spans="1:25" x14ac:dyDescent="0.2">
      <c r="A792" s="987"/>
      <c r="B792" s="987"/>
      <c r="C792" s="987"/>
      <c r="D792" s="987"/>
      <c r="E792" s="987"/>
      <c r="R792" s="988"/>
      <c r="S792" s="988"/>
      <c r="T792" s="988"/>
      <c r="U792" s="988"/>
      <c r="V792" s="988"/>
      <c r="W792" s="988"/>
      <c r="X792" s="988"/>
      <c r="Y792" s="988"/>
    </row>
    <row r="793" spans="1:25" x14ac:dyDescent="0.2">
      <c r="A793" s="987"/>
      <c r="B793" s="987"/>
      <c r="C793" s="987"/>
      <c r="D793" s="987"/>
      <c r="E793" s="987"/>
      <c r="R793" s="988"/>
      <c r="S793" s="988"/>
      <c r="T793" s="988"/>
      <c r="U793" s="988"/>
      <c r="V793" s="988"/>
      <c r="W793" s="988"/>
      <c r="X793" s="988"/>
      <c r="Y793" s="988"/>
    </row>
    <row r="794" spans="1:25" x14ac:dyDescent="0.2">
      <c r="A794" s="987"/>
      <c r="B794" s="987"/>
      <c r="C794" s="987"/>
      <c r="D794" s="987"/>
      <c r="E794" s="987"/>
      <c r="R794" s="988"/>
      <c r="S794" s="988"/>
      <c r="T794" s="988"/>
      <c r="U794" s="988"/>
      <c r="V794" s="988"/>
      <c r="W794" s="988"/>
      <c r="X794" s="988"/>
      <c r="Y794" s="988"/>
    </row>
    <row r="795" spans="1:25" x14ac:dyDescent="0.2">
      <c r="A795" s="987"/>
      <c r="B795" s="987"/>
      <c r="C795" s="987"/>
      <c r="D795" s="987"/>
      <c r="E795" s="987"/>
      <c r="R795" s="988"/>
      <c r="S795" s="988"/>
      <c r="T795" s="988"/>
      <c r="U795" s="988"/>
      <c r="V795" s="988"/>
      <c r="W795" s="988"/>
      <c r="X795" s="988"/>
      <c r="Y795" s="988"/>
    </row>
    <row r="796" spans="1:25" x14ac:dyDescent="0.2">
      <c r="A796" s="987"/>
      <c r="B796" s="987"/>
      <c r="C796" s="987"/>
      <c r="D796" s="987"/>
      <c r="E796" s="987"/>
      <c r="R796" s="988"/>
      <c r="S796" s="988"/>
      <c r="T796" s="988"/>
      <c r="U796" s="988"/>
      <c r="V796" s="988"/>
      <c r="W796" s="988"/>
      <c r="X796" s="988"/>
      <c r="Y796" s="988"/>
    </row>
    <row r="797" spans="1:25" x14ac:dyDescent="0.2">
      <c r="A797" s="987"/>
      <c r="B797" s="987"/>
      <c r="C797" s="987"/>
      <c r="D797" s="987"/>
      <c r="E797" s="987"/>
      <c r="R797" s="988"/>
      <c r="S797" s="988"/>
      <c r="T797" s="988"/>
      <c r="U797" s="988"/>
      <c r="V797" s="988"/>
      <c r="W797" s="988"/>
      <c r="X797" s="988"/>
      <c r="Y797" s="988"/>
    </row>
    <row r="798" spans="1:25" x14ac:dyDescent="0.2">
      <c r="A798" s="987"/>
      <c r="B798" s="987"/>
      <c r="C798" s="987"/>
      <c r="D798" s="987"/>
      <c r="E798" s="987"/>
      <c r="R798" s="988"/>
      <c r="S798" s="988"/>
      <c r="T798" s="988"/>
      <c r="U798" s="988"/>
      <c r="V798" s="988"/>
      <c r="W798" s="988"/>
      <c r="X798" s="988"/>
      <c r="Y798" s="988"/>
    </row>
    <row r="799" spans="1:25" x14ac:dyDescent="0.2">
      <c r="A799" s="987"/>
      <c r="B799" s="987"/>
      <c r="C799" s="987"/>
      <c r="D799" s="987"/>
      <c r="E799" s="987"/>
      <c r="R799" s="988"/>
      <c r="S799" s="988"/>
      <c r="T799" s="988"/>
      <c r="U799" s="988"/>
      <c r="V799" s="988"/>
      <c r="W799" s="988"/>
      <c r="X799" s="988"/>
      <c r="Y799" s="988"/>
    </row>
    <row r="800" spans="1:25" x14ac:dyDescent="0.2">
      <c r="A800" s="987"/>
      <c r="B800" s="987"/>
      <c r="C800" s="987"/>
      <c r="D800" s="987"/>
      <c r="E800" s="987"/>
      <c r="R800" s="988"/>
      <c r="S800" s="988"/>
      <c r="T800" s="988"/>
      <c r="U800" s="988"/>
      <c r="V800" s="988"/>
      <c r="W800" s="988"/>
      <c r="X800" s="988"/>
      <c r="Y800" s="988"/>
    </row>
    <row r="801" spans="1:25" x14ac:dyDescent="0.2">
      <c r="A801" s="987"/>
      <c r="B801" s="987"/>
      <c r="C801" s="987"/>
      <c r="D801" s="987"/>
      <c r="E801" s="987"/>
      <c r="R801" s="988"/>
      <c r="S801" s="988"/>
      <c r="T801" s="988"/>
      <c r="U801" s="988"/>
      <c r="V801" s="988"/>
      <c r="W801" s="988"/>
      <c r="X801" s="988"/>
      <c r="Y801" s="988"/>
    </row>
    <row r="802" spans="1:25" x14ac:dyDescent="0.2">
      <c r="A802" s="987"/>
      <c r="B802" s="987"/>
      <c r="C802" s="987"/>
      <c r="D802" s="987"/>
      <c r="E802" s="987"/>
      <c r="R802" s="988"/>
      <c r="S802" s="988"/>
      <c r="T802" s="988"/>
      <c r="U802" s="988"/>
      <c r="V802" s="988"/>
      <c r="W802" s="988"/>
      <c r="X802" s="988"/>
      <c r="Y802" s="988"/>
    </row>
    <row r="803" spans="1:25" x14ac:dyDescent="0.2">
      <c r="A803" s="987"/>
      <c r="B803" s="987"/>
      <c r="C803" s="987"/>
      <c r="D803" s="987"/>
      <c r="E803" s="987"/>
      <c r="R803" s="988"/>
      <c r="S803" s="988"/>
      <c r="T803" s="988"/>
      <c r="U803" s="988"/>
      <c r="V803" s="988"/>
      <c r="W803" s="988"/>
      <c r="X803" s="988"/>
      <c r="Y803" s="988"/>
    </row>
    <row r="804" spans="1:25" x14ac:dyDescent="0.2">
      <c r="A804" s="987"/>
      <c r="B804" s="987"/>
      <c r="C804" s="987"/>
      <c r="D804" s="987"/>
      <c r="E804" s="987"/>
      <c r="R804" s="988"/>
      <c r="S804" s="988"/>
      <c r="T804" s="988"/>
      <c r="U804" s="988"/>
      <c r="V804" s="988"/>
      <c r="W804" s="988"/>
      <c r="X804" s="988"/>
      <c r="Y804" s="988"/>
    </row>
    <row r="805" spans="1:25" x14ac:dyDescent="0.2">
      <c r="A805" s="987"/>
      <c r="B805" s="987"/>
      <c r="C805" s="987"/>
      <c r="D805" s="987"/>
      <c r="E805" s="987"/>
      <c r="R805" s="988"/>
      <c r="S805" s="988"/>
      <c r="T805" s="988"/>
      <c r="U805" s="988"/>
      <c r="V805" s="988"/>
      <c r="W805" s="988"/>
      <c r="X805" s="988"/>
      <c r="Y805" s="988"/>
    </row>
    <row r="806" spans="1:25" x14ac:dyDescent="0.2">
      <c r="A806" s="987"/>
      <c r="B806" s="987"/>
      <c r="C806" s="987"/>
      <c r="D806" s="987"/>
      <c r="E806" s="987"/>
      <c r="R806" s="988"/>
      <c r="S806" s="988"/>
      <c r="T806" s="988"/>
      <c r="U806" s="988"/>
      <c r="V806" s="988"/>
      <c r="W806" s="988"/>
      <c r="X806" s="988"/>
      <c r="Y806" s="988"/>
    </row>
    <row r="807" spans="1:25" x14ac:dyDescent="0.2">
      <c r="A807" s="987"/>
      <c r="B807" s="987"/>
      <c r="C807" s="987"/>
      <c r="D807" s="987"/>
      <c r="E807" s="987"/>
      <c r="R807" s="988"/>
      <c r="S807" s="988"/>
      <c r="T807" s="988"/>
      <c r="U807" s="988"/>
      <c r="V807" s="988"/>
      <c r="W807" s="988"/>
      <c r="X807" s="988"/>
      <c r="Y807" s="988"/>
    </row>
    <row r="808" spans="1:25" x14ac:dyDescent="0.2">
      <c r="A808" s="987"/>
      <c r="B808" s="987"/>
      <c r="C808" s="987"/>
      <c r="D808" s="987"/>
      <c r="E808" s="987"/>
      <c r="R808" s="988"/>
      <c r="S808" s="988"/>
      <c r="T808" s="988"/>
      <c r="U808" s="988"/>
      <c r="V808" s="988"/>
      <c r="W808" s="988"/>
      <c r="X808" s="988"/>
      <c r="Y808" s="988"/>
    </row>
    <row r="809" spans="1:25" x14ac:dyDescent="0.2">
      <c r="A809" s="987"/>
      <c r="B809" s="987"/>
      <c r="C809" s="987"/>
      <c r="D809" s="987"/>
      <c r="E809" s="987"/>
      <c r="R809" s="988"/>
      <c r="S809" s="988"/>
      <c r="T809" s="988"/>
      <c r="U809" s="988"/>
      <c r="V809" s="988"/>
      <c r="W809" s="988"/>
      <c r="X809" s="988"/>
      <c r="Y809" s="988"/>
    </row>
    <row r="810" spans="1:25" x14ac:dyDescent="0.2">
      <c r="A810" s="987"/>
      <c r="B810" s="987"/>
      <c r="C810" s="987"/>
      <c r="D810" s="987"/>
      <c r="E810" s="987"/>
      <c r="R810" s="988"/>
      <c r="S810" s="988"/>
      <c r="T810" s="988"/>
      <c r="U810" s="988"/>
      <c r="V810" s="988"/>
      <c r="W810" s="988"/>
      <c r="X810" s="988"/>
      <c r="Y810" s="988"/>
    </row>
    <row r="811" spans="1:25" x14ac:dyDescent="0.2">
      <c r="A811" s="987"/>
      <c r="B811" s="987"/>
      <c r="C811" s="987"/>
      <c r="D811" s="987"/>
      <c r="E811" s="987"/>
      <c r="R811" s="988"/>
      <c r="S811" s="988"/>
      <c r="T811" s="988"/>
      <c r="U811" s="988"/>
      <c r="V811" s="988"/>
      <c r="W811" s="988"/>
      <c r="X811" s="988"/>
      <c r="Y811" s="988"/>
    </row>
    <row r="812" spans="1:25" x14ac:dyDescent="0.2">
      <c r="A812" s="987"/>
      <c r="B812" s="987"/>
      <c r="C812" s="987"/>
      <c r="D812" s="987"/>
      <c r="E812" s="987"/>
      <c r="R812" s="988"/>
      <c r="S812" s="988"/>
      <c r="T812" s="988"/>
      <c r="U812" s="988"/>
      <c r="V812" s="988"/>
      <c r="W812" s="988"/>
      <c r="X812" s="988"/>
      <c r="Y812" s="988"/>
    </row>
    <row r="813" spans="1:25" x14ac:dyDescent="0.2">
      <c r="A813" s="987"/>
      <c r="B813" s="987"/>
      <c r="C813" s="987"/>
      <c r="D813" s="987"/>
      <c r="E813" s="987"/>
      <c r="R813" s="988"/>
      <c r="S813" s="988"/>
      <c r="T813" s="988"/>
      <c r="U813" s="988"/>
      <c r="V813" s="988"/>
      <c r="W813" s="988"/>
      <c r="X813" s="988"/>
      <c r="Y813" s="988"/>
    </row>
    <row r="814" spans="1:25" x14ac:dyDescent="0.2">
      <c r="A814" s="987"/>
      <c r="B814" s="987"/>
      <c r="C814" s="987"/>
      <c r="D814" s="987"/>
      <c r="E814" s="987"/>
      <c r="R814" s="988"/>
      <c r="S814" s="988"/>
      <c r="T814" s="988"/>
      <c r="U814" s="988"/>
      <c r="V814" s="988"/>
      <c r="W814" s="988"/>
      <c r="X814" s="988"/>
      <c r="Y814" s="988"/>
    </row>
    <row r="815" spans="1:25" x14ac:dyDescent="0.2">
      <c r="A815" s="987"/>
      <c r="B815" s="987"/>
      <c r="C815" s="987"/>
      <c r="D815" s="987"/>
      <c r="E815" s="987"/>
      <c r="R815" s="988"/>
      <c r="S815" s="988"/>
      <c r="T815" s="988"/>
      <c r="U815" s="988"/>
      <c r="V815" s="988"/>
      <c r="W815" s="988"/>
      <c r="X815" s="988"/>
      <c r="Y815" s="988"/>
    </row>
    <row r="816" spans="1:25" x14ac:dyDescent="0.2">
      <c r="A816" s="987"/>
      <c r="B816" s="987"/>
      <c r="C816" s="987"/>
      <c r="D816" s="987"/>
      <c r="E816" s="987"/>
      <c r="R816" s="988"/>
      <c r="S816" s="988"/>
      <c r="T816" s="988"/>
      <c r="U816" s="988"/>
      <c r="V816" s="988"/>
      <c r="W816" s="988"/>
      <c r="X816" s="988"/>
      <c r="Y816" s="988"/>
    </row>
    <row r="817" spans="1:25" x14ac:dyDescent="0.2">
      <c r="A817" s="987"/>
      <c r="B817" s="987"/>
      <c r="C817" s="987"/>
      <c r="D817" s="987"/>
      <c r="E817" s="987"/>
      <c r="R817" s="988"/>
      <c r="S817" s="988"/>
      <c r="T817" s="988"/>
      <c r="U817" s="988"/>
      <c r="V817" s="988"/>
      <c r="W817" s="988"/>
      <c r="X817" s="988"/>
      <c r="Y817" s="988"/>
    </row>
    <row r="818" spans="1:25" x14ac:dyDescent="0.2">
      <c r="A818" s="987"/>
      <c r="B818" s="987"/>
      <c r="C818" s="987"/>
      <c r="D818" s="987"/>
      <c r="E818" s="987"/>
      <c r="R818" s="988"/>
      <c r="S818" s="988"/>
      <c r="T818" s="988"/>
      <c r="U818" s="988"/>
      <c r="V818" s="988"/>
      <c r="W818" s="988"/>
      <c r="X818" s="988"/>
      <c r="Y818" s="988"/>
    </row>
    <row r="819" spans="1:25" x14ac:dyDescent="0.2">
      <c r="A819" s="987"/>
      <c r="B819" s="987"/>
      <c r="C819" s="987"/>
      <c r="D819" s="987"/>
      <c r="E819" s="987"/>
      <c r="R819" s="988"/>
      <c r="S819" s="988"/>
      <c r="T819" s="988"/>
      <c r="U819" s="988"/>
      <c r="V819" s="988"/>
      <c r="W819" s="988"/>
      <c r="X819" s="988"/>
      <c r="Y819" s="988"/>
    </row>
    <row r="820" spans="1:25" x14ac:dyDescent="0.2">
      <c r="A820" s="987"/>
      <c r="B820" s="987"/>
      <c r="C820" s="987"/>
      <c r="D820" s="987"/>
      <c r="E820" s="987"/>
      <c r="R820" s="988"/>
      <c r="S820" s="988"/>
      <c r="T820" s="988"/>
      <c r="U820" s="988"/>
      <c r="V820" s="988"/>
      <c r="W820" s="988"/>
      <c r="X820" s="988"/>
      <c r="Y820" s="988"/>
    </row>
    <row r="821" spans="1:25" x14ac:dyDescent="0.2">
      <c r="A821" s="987"/>
      <c r="B821" s="987"/>
      <c r="C821" s="987"/>
      <c r="D821" s="987"/>
      <c r="E821" s="987"/>
      <c r="R821" s="988"/>
      <c r="S821" s="988"/>
      <c r="T821" s="988"/>
      <c r="U821" s="988"/>
      <c r="V821" s="988"/>
      <c r="W821" s="988"/>
      <c r="X821" s="988"/>
      <c r="Y821" s="988"/>
    </row>
    <row r="822" spans="1:25" x14ac:dyDescent="0.2">
      <c r="A822" s="987"/>
      <c r="B822" s="987"/>
      <c r="C822" s="987"/>
      <c r="D822" s="987"/>
      <c r="E822" s="987"/>
      <c r="R822" s="988"/>
      <c r="S822" s="988"/>
      <c r="T822" s="988"/>
      <c r="U822" s="988"/>
      <c r="V822" s="988"/>
      <c r="W822" s="988"/>
      <c r="X822" s="988"/>
      <c r="Y822" s="988"/>
    </row>
    <row r="823" spans="1:25" x14ac:dyDescent="0.2">
      <c r="A823" s="987"/>
      <c r="B823" s="987"/>
      <c r="C823" s="987"/>
      <c r="D823" s="987"/>
      <c r="E823" s="987"/>
      <c r="R823" s="988"/>
      <c r="S823" s="988"/>
      <c r="T823" s="988"/>
      <c r="U823" s="988"/>
      <c r="V823" s="988"/>
      <c r="W823" s="988"/>
      <c r="X823" s="988"/>
      <c r="Y823" s="988"/>
    </row>
    <row r="824" spans="1:25" x14ac:dyDescent="0.2">
      <c r="A824" s="987"/>
      <c r="B824" s="987"/>
      <c r="C824" s="987"/>
      <c r="D824" s="987"/>
      <c r="E824" s="987"/>
      <c r="R824" s="988"/>
      <c r="S824" s="988"/>
      <c r="T824" s="988"/>
      <c r="U824" s="988"/>
      <c r="V824" s="988"/>
      <c r="W824" s="988"/>
      <c r="X824" s="988"/>
      <c r="Y824" s="988"/>
    </row>
    <row r="825" spans="1:25" x14ac:dyDescent="0.2">
      <c r="A825" s="987"/>
      <c r="B825" s="987"/>
      <c r="C825" s="987"/>
      <c r="D825" s="987"/>
      <c r="E825" s="987"/>
      <c r="R825" s="988"/>
      <c r="S825" s="988"/>
      <c r="T825" s="988"/>
      <c r="U825" s="988"/>
      <c r="V825" s="988"/>
      <c r="W825" s="988"/>
      <c r="X825" s="988"/>
      <c r="Y825" s="988"/>
    </row>
    <row r="826" spans="1:25" x14ac:dyDescent="0.2">
      <c r="A826" s="987"/>
      <c r="B826" s="987"/>
      <c r="C826" s="987"/>
      <c r="D826" s="987"/>
      <c r="E826" s="987"/>
      <c r="R826" s="988"/>
      <c r="S826" s="988"/>
      <c r="T826" s="988"/>
      <c r="U826" s="988"/>
      <c r="V826" s="988"/>
      <c r="W826" s="988"/>
      <c r="X826" s="988"/>
      <c r="Y826" s="988"/>
    </row>
    <row r="827" spans="1:25" x14ac:dyDescent="0.2">
      <c r="A827" s="987"/>
      <c r="B827" s="987"/>
      <c r="C827" s="987"/>
      <c r="D827" s="987"/>
      <c r="E827" s="987"/>
      <c r="R827" s="988"/>
      <c r="S827" s="988"/>
      <c r="T827" s="988"/>
      <c r="U827" s="988"/>
      <c r="V827" s="988"/>
      <c r="W827" s="988"/>
      <c r="X827" s="988"/>
      <c r="Y827" s="988"/>
    </row>
    <row r="828" spans="1:25" x14ac:dyDescent="0.2">
      <c r="A828" s="987"/>
      <c r="B828" s="987"/>
      <c r="C828" s="987"/>
      <c r="D828" s="987"/>
      <c r="E828" s="987"/>
      <c r="R828" s="988"/>
      <c r="S828" s="988"/>
      <c r="T828" s="988"/>
      <c r="U828" s="988"/>
      <c r="V828" s="988"/>
      <c r="W828" s="988"/>
      <c r="X828" s="988"/>
      <c r="Y828" s="988"/>
    </row>
    <row r="829" spans="1:25" x14ac:dyDescent="0.2">
      <c r="A829" s="987"/>
      <c r="B829" s="987"/>
      <c r="C829" s="987"/>
      <c r="D829" s="987"/>
      <c r="E829" s="987"/>
      <c r="R829" s="988"/>
      <c r="S829" s="988"/>
      <c r="T829" s="988"/>
      <c r="U829" s="988"/>
      <c r="V829" s="988"/>
      <c r="W829" s="988"/>
      <c r="X829" s="988"/>
      <c r="Y829" s="988"/>
    </row>
    <row r="830" spans="1:25" x14ac:dyDescent="0.2">
      <c r="A830" s="987"/>
      <c r="B830" s="987"/>
      <c r="C830" s="987"/>
      <c r="D830" s="987"/>
      <c r="E830" s="987"/>
      <c r="R830" s="988"/>
      <c r="S830" s="988"/>
      <c r="T830" s="988"/>
      <c r="U830" s="988"/>
      <c r="V830" s="988"/>
      <c r="W830" s="988"/>
      <c r="X830" s="988"/>
      <c r="Y830" s="988"/>
    </row>
    <row r="831" spans="1:25" x14ac:dyDescent="0.2">
      <c r="A831" s="987"/>
      <c r="B831" s="987"/>
      <c r="C831" s="987"/>
      <c r="D831" s="987"/>
      <c r="E831" s="987"/>
      <c r="R831" s="988"/>
      <c r="S831" s="988"/>
      <c r="T831" s="988"/>
      <c r="U831" s="988"/>
      <c r="V831" s="988"/>
      <c r="W831" s="988"/>
      <c r="X831" s="988"/>
      <c r="Y831" s="988"/>
    </row>
    <row r="832" spans="1:25" x14ac:dyDescent="0.2">
      <c r="A832" s="987"/>
      <c r="B832" s="987"/>
      <c r="C832" s="987"/>
      <c r="D832" s="987"/>
      <c r="E832" s="987"/>
      <c r="R832" s="988"/>
      <c r="S832" s="988"/>
      <c r="T832" s="988"/>
      <c r="U832" s="988"/>
      <c r="V832" s="988"/>
      <c r="W832" s="988"/>
      <c r="X832" s="988"/>
      <c r="Y832" s="988"/>
    </row>
    <row r="833" spans="1:25" x14ac:dyDescent="0.2">
      <c r="A833" s="987"/>
      <c r="B833" s="987"/>
      <c r="C833" s="987"/>
      <c r="D833" s="987"/>
      <c r="E833" s="987"/>
      <c r="R833" s="988"/>
      <c r="S833" s="988"/>
      <c r="T833" s="988"/>
      <c r="U833" s="988"/>
      <c r="V833" s="988"/>
      <c r="W833" s="988"/>
      <c r="X833" s="988"/>
      <c r="Y833" s="988"/>
    </row>
    <row r="834" spans="1:25" x14ac:dyDescent="0.2">
      <c r="A834" s="987"/>
      <c r="B834" s="987"/>
      <c r="C834" s="987"/>
      <c r="D834" s="987"/>
      <c r="E834" s="987"/>
      <c r="R834" s="988"/>
      <c r="S834" s="988"/>
      <c r="T834" s="988"/>
      <c r="U834" s="988"/>
      <c r="V834" s="988"/>
      <c r="W834" s="988"/>
      <c r="X834" s="988"/>
      <c r="Y834" s="988"/>
    </row>
    <row r="835" spans="1:25" x14ac:dyDescent="0.2">
      <c r="A835" s="987"/>
      <c r="B835" s="987"/>
      <c r="C835" s="987"/>
      <c r="D835" s="987"/>
      <c r="E835" s="987"/>
      <c r="R835" s="988"/>
      <c r="S835" s="988"/>
      <c r="T835" s="988"/>
      <c r="U835" s="988"/>
      <c r="V835" s="988"/>
      <c r="W835" s="988"/>
      <c r="X835" s="988"/>
      <c r="Y835" s="988"/>
    </row>
    <row r="836" spans="1:25" x14ac:dyDescent="0.2">
      <c r="A836" s="987"/>
      <c r="B836" s="987"/>
      <c r="C836" s="987"/>
      <c r="D836" s="987"/>
      <c r="E836" s="987"/>
      <c r="R836" s="988"/>
      <c r="S836" s="988"/>
      <c r="T836" s="988"/>
      <c r="U836" s="988"/>
      <c r="V836" s="988"/>
      <c r="W836" s="988"/>
      <c r="X836" s="988"/>
      <c r="Y836" s="988"/>
    </row>
    <row r="837" spans="1:25" x14ac:dyDescent="0.2">
      <c r="A837" s="987"/>
      <c r="B837" s="987"/>
      <c r="C837" s="987"/>
      <c r="D837" s="987"/>
      <c r="E837" s="987"/>
      <c r="R837" s="988"/>
      <c r="S837" s="988"/>
      <c r="T837" s="988"/>
      <c r="U837" s="988"/>
      <c r="V837" s="988"/>
      <c r="W837" s="988"/>
      <c r="X837" s="988"/>
      <c r="Y837" s="988"/>
    </row>
    <row r="838" spans="1:25" x14ac:dyDescent="0.2">
      <c r="A838" s="987"/>
      <c r="B838" s="987"/>
      <c r="C838" s="987"/>
      <c r="D838" s="987"/>
      <c r="E838" s="987"/>
      <c r="R838" s="988"/>
      <c r="S838" s="988"/>
      <c r="T838" s="988"/>
      <c r="U838" s="988"/>
      <c r="V838" s="988"/>
      <c r="W838" s="988"/>
      <c r="X838" s="988"/>
      <c r="Y838" s="988"/>
    </row>
    <row r="839" spans="1:25" x14ac:dyDescent="0.2">
      <c r="A839" s="987"/>
      <c r="B839" s="987"/>
      <c r="C839" s="987"/>
      <c r="D839" s="987"/>
      <c r="E839" s="987"/>
      <c r="R839" s="988"/>
      <c r="S839" s="988"/>
      <c r="T839" s="988"/>
      <c r="U839" s="988"/>
      <c r="V839" s="988"/>
      <c r="W839" s="988"/>
      <c r="X839" s="988"/>
      <c r="Y839" s="988"/>
    </row>
    <row r="840" spans="1:25" x14ac:dyDescent="0.2">
      <c r="A840" s="987"/>
      <c r="B840" s="987"/>
      <c r="C840" s="987"/>
      <c r="D840" s="987"/>
      <c r="E840" s="987"/>
      <c r="R840" s="988"/>
      <c r="S840" s="988"/>
      <c r="T840" s="988"/>
      <c r="U840" s="988"/>
      <c r="V840" s="988"/>
      <c r="W840" s="988"/>
      <c r="X840" s="988"/>
      <c r="Y840" s="988"/>
    </row>
    <row r="841" spans="1:25" x14ac:dyDescent="0.2">
      <c r="A841" s="987"/>
      <c r="B841" s="987"/>
      <c r="C841" s="987"/>
      <c r="D841" s="987"/>
      <c r="E841" s="987"/>
      <c r="R841" s="988"/>
      <c r="S841" s="988"/>
      <c r="T841" s="988"/>
      <c r="U841" s="988"/>
      <c r="V841" s="988"/>
      <c r="W841" s="988"/>
      <c r="X841" s="988"/>
      <c r="Y841" s="988"/>
    </row>
    <row r="842" spans="1:25" x14ac:dyDescent="0.2">
      <c r="A842" s="987"/>
      <c r="B842" s="987"/>
      <c r="C842" s="987"/>
      <c r="D842" s="987"/>
      <c r="E842" s="987"/>
      <c r="R842" s="988"/>
      <c r="S842" s="988"/>
      <c r="T842" s="988"/>
      <c r="U842" s="988"/>
      <c r="V842" s="988"/>
      <c r="W842" s="988"/>
      <c r="X842" s="988"/>
      <c r="Y842" s="988"/>
    </row>
    <row r="843" spans="1:25" x14ac:dyDescent="0.2">
      <c r="A843" s="987"/>
      <c r="B843" s="987"/>
      <c r="C843" s="987"/>
      <c r="D843" s="987"/>
      <c r="E843" s="987"/>
      <c r="R843" s="988"/>
      <c r="S843" s="988"/>
      <c r="T843" s="988"/>
      <c r="U843" s="988"/>
      <c r="V843" s="988"/>
      <c r="W843" s="988"/>
      <c r="X843" s="988"/>
      <c r="Y843" s="988"/>
    </row>
    <row r="844" spans="1:25" x14ac:dyDescent="0.2">
      <c r="A844" s="987"/>
      <c r="B844" s="987"/>
      <c r="C844" s="987"/>
      <c r="D844" s="987"/>
      <c r="E844" s="987"/>
      <c r="R844" s="988"/>
      <c r="S844" s="988"/>
      <c r="T844" s="988"/>
      <c r="U844" s="988"/>
      <c r="V844" s="988"/>
      <c r="W844" s="988"/>
      <c r="X844" s="988"/>
      <c r="Y844" s="988"/>
    </row>
    <row r="845" spans="1:25" x14ac:dyDescent="0.2">
      <c r="A845" s="987"/>
      <c r="B845" s="987"/>
      <c r="C845" s="987"/>
      <c r="D845" s="987"/>
      <c r="E845" s="987"/>
      <c r="R845" s="988"/>
      <c r="S845" s="988"/>
      <c r="T845" s="988"/>
      <c r="U845" s="988"/>
      <c r="V845" s="988"/>
      <c r="W845" s="988"/>
      <c r="X845" s="988"/>
      <c r="Y845" s="988"/>
    </row>
    <row r="846" spans="1:25" x14ac:dyDescent="0.2">
      <c r="A846" s="987"/>
      <c r="B846" s="987"/>
      <c r="C846" s="987"/>
      <c r="D846" s="987"/>
      <c r="E846" s="987"/>
      <c r="R846" s="988"/>
      <c r="S846" s="988"/>
      <c r="T846" s="988"/>
      <c r="U846" s="988"/>
      <c r="V846" s="988"/>
      <c r="W846" s="988"/>
      <c r="X846" s="988"/>
      <c r="Y846" s="988"/>
    </row>
    <row r="847" spans="1:25" x14ac:dyDescent="0.2">
      <c r="A847" s="987"/>
      <c r="B847" s="987"/>
      <c r="C847" s="987"/>
      <c r="D847" s="987"/>
      <c r="E847" s="987"/>
      <c r="R847" s="988"/>
      <c r="S847" s="988"/>
      <c r="T847" s="988"/>
      <c r="U847" s="988"/>
      <c r="V847" s="988"/>
      <c r="W847" s="988"/>
      <c r="X847" s="988"/>
      <c r="Y847" s="988"/>
    </row>
    <row r="848" spans="1:25" x14ac:dyDescent="0.2">
      <c r="A848" s="987"/>
      <c r="B848" s="987"/>
      <c r="C848" s="987"/>
      <c r="D848" s="987"/>
      <c r="E848" s="987"/>
      <c r="R848" s="988"/>
      <c r="S848" s="988"/>
      <c r="T848" s="988"/>
      <c r="U848" s="988"/>
      <c r="V848" s="988"/>
      <c r="W848" s="988"/>
      <c r="X848" s="988"/>
      <c r="Y848" s="988"/>
    </row>
    <row r="849" spans="1:25" x14ac:dyDescent="0.2">
      <c r="A849" s="987"/>
      <c r="B849" s="987"/>
      <c r="C849" s="987"/>
      <c r="D849" s="987"/>
      <c r="E849" s="987"/>
      <c r="R849" s="988"/>
      <c r="S849" s="988"/>
      <c r="T849" s="988"/>
      <c r="U849" s="988"/>
      <c r="V849" s="988"/>
      <c r="W849" s="988"/>
      <c r="X849" s="988"/>
      <c r="Y849" s="988"/>
    </row>
    <row r="850" spans="1:25" x14ac:dyDescent="0.2">
      <c r="A850" s="987"/>
      <c r="B850" s="987"/>
      <c r="C850" s="987"/>
      <c r="D850" s="987"/>
      <c r="E850" s="987"/>
      <c r="R850" s="988"/>
      <c r="S850" s="988"/>
      <c r="T850" s="988"/>
      <c r="U850" s="988"/>
      <c r="V850" s="988"/>
      <c r="W850" s="988"/>
      <c r="X850" s="988"/>
      <c r="Y850" s="988"/>
    </row>
    <row r="851" spans="1:25" x14ac:dyDescent="0.2">
      <c r="A851" s="987"/>
      <c r="B851" s="987"/>
      <c r="C851" s="987"/>
      <c r="D851" s="987"/>
      <c r="E851" s="987"/>
      <c r="R851" s="988"/>
      <c r="S851" s="988"/>
      <c r="T851" s="988"/>
      <c r="U851" s="988"/>
      <c r="V851" s="988"/>
      <c r="W851" s="988"/>
      <c r="X851" s="988"/>
      <c r="Y851" s="988"/>
    </row>
    <row r="852" spans="1:25" x14ac:dyDescent="0.2">
      <c r="A852" s="987"/>
      <c r="B852" s="987"/>
      <c r="C852" s="987"/>
      <c r="D852" s="987"/>
      <c r="E852" s="987"/>
      <c r="R852" s="988"/>
      <c r="S852" s="988"/>
      <c r="T852" s="988"/>
      <c r="U852" s="988"/>
      <c r="V852" s="988"/>
      <c r="W852" s="988"/>
      <c r="X852" s="988"/>
      <c r="Y852" s="988"/>
    </row>
    <row r="853" spans="1:25" x14ac:dyDescent="0.2">
      <c r="A853" s="987"/>
      <c r="B853" s="987"/>
      <c r="C853" s="987"/>
      <c r="D853" s="987"/>
      <c r="E853" s="987"/>
      <c r="R853" s="988"/>
      <c r="S853" s="988"/>
      <c r="T853" s="988"/>
      <c r="U853" s="988"/>
      <c r="V853" s="988"/>
      <c r="W853" s="988"/>
      <c r="X853" s="988"/>
      <c r="Y853" s="988"/>
    </row>
    <row r="854" spans="1:25" x14ac:dyDescent="0.2">
      <c r="A854" s="987"/>
      <c r="B854" s="987"/>
      <c r="C854" s="987"/>
      <c r="D854" s="987"/>
      <c r="E854" s="987"/>
      <c r="R854" s="988"/>
      <c r="S854" s="988"/>
      <c r="T854" s="988"/>
      <c r="U854" s="988"/>
      <c r="V854" s="988"/>
      <c r="W854" s="988"/>
      <c r="X854" s="988"/>
      <c r="Y854" s="988"/>
    </row>
    <row r="855" spans="1:25" x14ac:dyDescent="0.2">
      <c r="A855" s="987"/>
      <c r="B855" s="987"/>
      <c r="C855" s="987"/>
      <c r="D855" s="987"/>
      <c r="E855" s="987"/>
      <c r="R855" s="988"/>
      <c r="S855" s="988"/>
      <c r="T855" s="988"/>
      <c r="U855" s="988"/>
      <c r="V855" s="988"/>
      <c r="W855" s="988"/>
      <c r="X855" s="988"/>
      <c r="Y855" s="988"/>
    </row>
    <row r="856" spans="1:25" x14ac:dyDescent="0.2">
      <c r="A856" s="987"/>
      <c r="B856" s="987"/>
      <c r="C856" s="987"/>
      <c r="D856" s="987"/>
      <c r="E856" s="987"/>
      <c r="R856" s="988"/>
      <c r="S856" s="988"/>
      <c r="T856" s="988"/>
      <c r="U856" s="988"/>
      <c r="V856" s="988"/>
      <c r="W856" s="988"/>
      <c r="X856" s="988"/>
      <c r="Y856" s="988"/>
    </row>
    <row r="857" spans="1:25" x14ac:dyDescent="0.2">
      <c r="A857" s="987"/>
      <c r="B857" s="987"/>
      <c r="C857" s="987"/>
      <c r="D857" s="987"/>
      <c r="E857" s="987"/>
      <c r="R857" s="988"/>
      <c r="S857" s="988"/>
      <c r="T857" s="988"/>
      <c r="U857" s="988"/>
      <c r="V857" s="988"/>
      <c r="W857" s="988"/>
      <c r="X857" s="988"/>
      <c r="Y857" s="988"/>
    </row>
    <row r="858" spans="1:25" x14ac:dyDescent="0.2">
      <c r="A858" s="987"/>
      <c r="B858" s="987"/>
      <c r="C858" s="987"/>
      <c r="D858" s="987"/>
      <c r="E858" s="987"/>
      <c r="R858" s="988"/>
      <c r="S858" s="988"/>
      <c r="T858" s="988"/>
      <c r="U858" s="988"/>
      <c r="V858" s="988"/>
      <c r="W858" s="988"/>
      <c r="X858" s="988"/>
      <c r="Y858" s="988"/>
    </row>
    <row r="859" spans="1:25" x14ac:dyDescent="0.2">
      <c r="A859" s="987"/>
      <c r="B859" s="987"/>
      <c r="C859" s="987"/>
      <c r="D859" s="987"/>
      <c r="E859" s="987"/>
      <c r="R859" s="988"/>
      <c r="S859" s="988"/>
      <c r="T859" s="988"/>
      <c r="U859" s="988"/>
      <c r="V859" s="988"/>
      <c r="W859" s="988"/>
      <c r="X859" s="988"/>
      <c r="Y859" s="988"/>
    </row>
    <row r="860" spans="1:25" x14ac:dyDescent="0.2">
      <c r="A860" s="987"/>
      <c r="B860" s="987"/>
      <c r="C860" s="987"/>
      <c r="D860" s="987"/>
      <c r="E860" s="987"/>
      <c r="R860" s="988"/>
      <c r="S860" s="988"/>
      <c r="T860" s="988"/>
      <c r="U860" s="988"/>
      <c r="V860" s="988"/>
      <c r="W860" s="988"/>
      <c r="X860" s="988"/>
      <c r="Y860" s="988"/>
    </row>
    <row r="861" spans="1:25" x14ac:dyDescent="0.2">
      <c r="A861" s="987"/>
      <c r="B861" s="987"/>
      <c r="C861" s="987"/>
      <c r="D861" s="987"/>
      <c r="E861" s="987"/>
      <c r="R861" s="988"/>
      <c r="S861" s="988"/>
      <c r="T861" s="988"/>
      <c r="U861" s="988"/>
      <c r="V861" s="988"/>
      <c r="W861" s="988"/>
      <c r="X861" s="988"/>
      <c r="Y861" s="988"/>
    </row>
    <row r="862" spans="1:25" x14ac:dyDescent="0.2">
      <c r="A862" s="987"/>
      <c r="B862" s="987"/>
      <c r="C862" s="987"/>
      <c r="D862" s="987"/>
      <c r="E862" s="987"/>
      <c r="R862" s="988"/>
      <c r="S862" s="988"/>
      <c r="T862" s="988"/>
      <c r="U862" s="988"/>
      <c r="V862" s="988"/>
      <c r="W862" s="988"/>
      <c r="X862" s="988"/>
      <c r="Y862" s="988"/>
    </row>
    <row r="863" spans="1:25" x14ac:dyDescent="0.2">
      <c r="A863" s="987"/>
      <c r="B863" s="987"/>
      <c r="C863" s="987"/>
      <c r="D863" s="987"/>
      <c r="E863" s="987"/>
      <c r="R863" s="988"/>
      <c r="S863" s="988"/>
      <c r="T863" s="988"/>
      <c r="U863" s="988"/>
      <c r="V863" s="988"/>
      <c r="W863" s="988"/>
      <c r="X863" s="988"/>
      <c r="Y863" s="988"/>
    </row>
    <row r="864" spans="1:25" x14ac:dyDescent="0.2">
      <c r="A864" s="987"/>
      <c r="B864" s="987"/>
      <c r="C864" s="987"/>
      <c r="D864" s="987"/>
      <c r="E864" s="987"/>
      <c r="R864" s="988"/>
      <c r="S864" s="988"/>
      <c r="T864" s="988"/>
      <c r="U864" s="988"/>
      <c r="V864" s="988"/>
      <c r="W864" s="988"/>
      <c r="X864" s="988"/>
      <c r="Y864" s="988"/>
    </row>
    <row r="865" spans="1:25" x14ac:dyDescent="0.2">
      <c r="A865" s="987"/>
      <c r="B865" s="987"/>
      <c r="C865" s="987"/>
      <c r="D865" s="987"/>
      <c r="E865" s="987"/>
      <c r="R865" s="988"/>
      <c r="S865" s="988"/>
      <c r="T865" s="988"/>
      <c r="U865" s="988"/>
      <c r="V865" s="988"/>
      <c r="W865" s="988"/>
      <c r="X865" s="988"/>
      <c r="Y865" s="988"/>
    </row>
    <row r="866" spans="1:25" x14ac:dyDescent="0.2">
      <c r="A866" s="987"/>
      <c r="B866" s="987"/>
      <c r="C866" s="987"/>
      <c r="D866" s="987"/>
      <c r="E866" s="987"/>
      <c r="R866" s="988"/>
      <c r="S866" s="988"/>
      <c r="T866" s="988"/>
      <c r="U866" s="988"/>
      <c r="V866" s="988"/>
      <c r="W866" s="988"/>
      <c r="X866" s="988"/>
      <c r="Y866" s="988"/>
    </row>
    <row r="867" spans="1:25" x14ac:dyDescent="0.2">
      <c r="A867" s="987"/>
      <c r="B867" s="987"/>
      <c r="C867" s="987"/>
      <c r="D867" s="987"/>
      <c r="E867" s="987"/>
      <c r="R867" s="988"/>
      <c r="S867" s="988"/>
      <c r="T867" s="988"/>
      <c r="U867" s="988"/>
      <c r="V867" s="988"/>
      <c r="W867" s="988"/>
      <c r="X867" s="988"/>
      <c r="Y867" s="988"/>
    </row>
    <row r="868" spans="1:25" x14ac:dyDescent="0.2">
      <c r="A868" s="987"/>
      <c r="B868" s="987"/>
      <c r="C868" s="987"/>
      <c r="D868" s="987"/>
      <c r="E868" s="987"/>
      <c r="R868" s="988"/>
      <c r="S868" s="988"/>
      <c r="T868" s="988"/>
      <c r="U868" s="988"/>
      <c r="V868" s="988"/>
      <c r="W868" s="988"/>
      <c r="X868" s="988"/>
      <c r="Y868" s="988"/>
    </row>
    <row r="869" spans="1:25" x14ac:dyDescent="0.2">
      <c r="A869" s="987"/>
      <c r="B869" s="987"/>
      <c r="C869" s="987"/>
      <c r="D869" s="987"/>
      <c r="E869" s="987"/>
      <c r="R869" s="988"/>
      <c r="S869" s="988"/>
      <c r="T869" s="988"/>
      <c r="U869" s="988"/>
      <c r="V869" s="988"/>
      <c r="W869" s="988"/>
      <c r="X869" s="988"/>
      <c r="Y869" s="988"/>
    </row>
    <row r="870" spans="1:25" x14ac:dyDescent="0.2">
      <c r="A870" s="987"/>
      <c r="B870" s="987"/>
      <c r="C870" s="987"/>
      <c r="D870" s="987"/>
      <c r="E870" s="987"/>
      <c r="R870" s="988"/>
      <c r="S870" s="988"/>
      <c r="T870" s="988"/>
      <c r="U870" s="988"/>
      <c r="V870" s="988"/>
      <c r="W870" s="988"/>
      <c r="X870" s="988"/>
      <c r="Y870" s="988"/>
    </row>
    <row r="871" spans="1:25" x14ac:dyDescent="0.2">
      <c r="A871" s="987"/>
      <c r="B871" s="987"/>
      <c r="C871" s="987"/>
      <c r="D871" s="987"/>
      <c r="E871" s="987"/>
      <c r="R871" s="988"/>
      <c r="S871" s="988"/>
      <c r="T871" s="988"/>
      <c r="U871" s="988"/>
      <c r="V871" s="988"/>
      <c r="W871" s="988"/>
      <c r="X871" s="988"/>
      <c r="Y871" s="988"/>
    </row>
    <row r="872" spans="1:25" x14ac:dyDescent="0.2">
      <c r="A872" s="987"/>
      <c r="B872" s="987"/>
      <c r="C872" s="987"/>
      <c r="D872" s="987"/>
      <c r="E872" s="987"/>
      <c r="R872" s="988"/>
      <c r="S872" s="988"/>
      <c r="T872" s="988"/>
      <c r="U872" s="988"/>
      <c r="V872" s="988"/>
      <c r="W872" s="988"/>
      <c r="X872" s="988"/>
      <c r="Y872" s="988"/>
    </row>
    <row r="873" spans="1:25" x14ac:dyDescent="0.2">
      <c r="A873" s="987"/>
      <c r="B873" s="987"/>
      <c r="C873" s="987"/>
      <c r="D873" s="987"/>
      <c r="E873" s="987"/>
      <c r="R873" s="988"/>
      <c r="S873" s="988"/>
      <c r="T873" s="988"/>
      <c r="U873" s="988"/>
      <c r="V873" s="988"/>
      <c r="W873" s="988"/>
      <c r="X873" s="988"/>
      <c r="Y873" s="988"/>
    </row>
    <row r="874" spans="1:25" x14ac:dyDescent="0.2">
      <c r="A874" s="987"/>
      <c r="B874" s="987"/>
      <c r="C874" s="987"/>
      <c r="D874" s="987"/>
      <c r="E874" s="987"/>
      <c r="R874" s="988"/>
      <c r="S874" s="988"/>
      <c r="T874" s="988"/>
      <c r="U874" s="988"/>
      <c r="V874" s="988"/>
      <c r="W874" s="988"/>
      <c r="X874" s="988"/>
      <c r="Y874" s="988"/>
    </row>
    <row r="875" spans="1:25" x14ac:dyDescent="0.2">
      <c r="A875" s="987"/>
      <c r="B875" s="987"/>
      <c r="C875" s="987"/>
      <c r="D875" s="987"/>
      <c r="E875" s="987"/>
      <c r="R875" s="988"/>
      <c r="S875" s="988"/>
      <c r="T875" s="988"/>
      <c r="U875" s="988"/>
      <c r="V875" s="988"/>
      <c r="W875" s="988"/>
      <c r="X875" s="988"/>
      <c r="Y875" s="988"/>
    </row>
    <row r="876" spans="1:25" x14ac:dyDescent="0.2">
      <c r="A876" s="987"/>
      <c r="B876" s="987"/>
      <c r="C876" s="987"/>
      <c r="D876" s="987"/>
      <c r="E876" s="987"/>
      <c r="R876" s="988"/>
      <c r="S876" s="988"/>
      <c r="T876" s="988"/>
      <c r="U876" s="988"/>
      <c r="V876" s="988"/>
      <c r="W876" s="988"/>
      <c r="X876" s="988"/>
      <c r="Y876" s="988"/>
    </row>
    <row r="877" spans="1:25" x14ac:dyDescent="0.2">
      <c r="A877" s="987"/>
      <c r="B877" s="987"/>
      <c r="C877" s="987"/>
      <c r="D877" s="987"/>
      <c r="E877" s="987"/>
      <c r="R877" s="988"/>
      <c r="S877" s="988"/>
      <c r="T877" s="988"/>
      <c r="U877" s="988"/>
      <c r="V877" s="988"/>
      <c r="W877" s="988"/>
      <c r="X877" s="988"/>
      <c r="Y877" s="988"/>
    </row>
    <row r="878" spans="1:25" x14ac:dyDescent="0.2">
      <c r="A878" s="987"/>
      <c r="B878" s="987"/>
      <c r="C878" s="987"/>
      <c r="D878" s="987"/>
      <c r="E878" s="987"/>
      <c r="R878" s="988"/>
      <c r="S878" s="988"/>
      <c r="T878" s="988"/>
      <c r="U878" s="988"/>
      <c r="V878" s="988"/>
      <c r="W878" s="988"/>
      <c r="X878" s="988"/>
      <c r="Y878" s="988"/>
    </row>
    <row r="879" spans="1:25" x14ac:dyDescent="0.2">
      <c r="A879" s="987"/>
      <c r="B879" s="987"/>
      <c r="C879" s="987"/>
      <c r="D879" s="987"/>
      <c r="E879" s="987"/>
      <c r="R879" s="988"/>
      <c r="S879" s="988"/>
      <c r="T879" s="988"/>
      <c r="U879" s="988"/>
      <c r="V879" s="988"/>
      <c r="W879" s="988"/>
      <c r="X879" s="988"/>
      <c r="Y879" s="988"/>
    </row>
    <row r="880" spans="1:25" x14ac:dyDescent="0.2">
      <c r="A880" s="987"/>
      <c r="B880" s="987"/>
      <c r="C880" s="987"/>
      <c r="D880" s="987"/>
      <c r="E880" s="987"/>
      <c r="R880" s="988"/>
      <c r="S880" s="988"/>
      <c r="T880" s="988"/>
      <c r="U880" s="988"/>
      <c r="V880" s="988"/>
      <c r="W880" s="988"/>
      <c r="X880" s="988"/>
      <c r="Y880" s="988"/>
    </row>
    <row r="881" spans="1:25" x14ac:dyDescent="0.2">
      <c r="A881" s="987"/>
      <c r="B881" s="987"/>
      <c r="C881" s="987"/>
      <c r="D881" s="987"/>
      <c r="E881" s="987"/>
      <c r="R881" s="988"/>
      <c r="S881" s="988"/>
      <c r="T881" s="988"/>
      <c r="U881" s="988"/>
      <c r="V881" s="988"/>
      <c r="W881" s="988"/>
      <c r="X881" s="988"/>
      <c r="Y881" s="988"/>
    </row>
    <row r="882" spans="1:25" x14ac:dyDescent="0.2">
      <c r="A882" s="987"/>
      <c r="B882" s="987"/>
      <c r="C882" s="987"/>
      <c r="D882" s="987"/>
      <c r="E882" s="987"/>
      <c r="R882" s="988"/>
      <c r="S882" s="988"/>
      <c r="T882" s="988"/>
      <c r="U882" s="988"/>
      <c r="V882" s="988"/>
      <c r="W882" s="988"/>
      <c r="X882" s="988"/>
      <c r="Y882" s="988"/>
    </row>
    <row r="883" spans="1:25" x14ac:dyDescent="0.2">
      <c r="A883" s="987"/>
      <c r="B883" s="987"/>
      <c r="C883" s="987"/>
      <c r="D883" s="987"/>
      <c r="E883" s="987"/>
      <c r="R883" s="988"/>
      <c r="S883" s="988"/>
      <c r="T883" s="988"/>
      <c r="U883" s="988"/>
      <c r="V883" s="988"/>
      <c r="W883" s="988"/>
      <c r="X883" s="988"/>
      <c r="Y883" s="988"/>
    </row>
    <row r="884" spans="1:25" x14ac:dyDescent="0.2">
      <c r="A884" s="987"/>
      <c r="B884" s="987"/>
      <c r="C884" s="987"/>
      <c r="D884" s="987"/>
      <c r="E884" s="987"/>
      <c r="R884" s="988"/>
      <c r="S884" s="988"/>
      <c r="T884" s="988"/>
      <c r="U884" s="988"/>
      <c r="V884" s="988"/>
      <c r="W884" s="988"/>
      <c r="X884" s="988"/>
      <c r="Y884" s="988"/>
    </row>
    <row r="885" spans="1:25" x14ac:dyDescent="0.2">
      <c r="A885" s="987"/>
      <c r="B885" s="987"/>
      <c r="C885" s="987"/>
      <c r="D885" s="987"/>
      <c r="E885" s="987"/>
      <c r="R885" s="988"/>
      <c r="S885" s="988"/>
      <c r="T885" s="988"/>
      <c r="U885" s="988"/>
      <c r="V885" s="988"/>
      <c r="W885" s="988"/>
      <c r="X885" s="988"/>
      <c r="Y885" s="988"/>
    </row>
    <row r="886" spans="1:25" x14ac:dyDescent="0.2">
      <c r="A886" s="987"/>
      <c r="B886" s="987"/>
      <c r="C886" s="987"/>
      <c r="D886" s="987"/>
      <c r="E886" s="987"/>
      <c r="R886" s="988"/>
      <c r="S886" s="988"/>
      <c r="T886" s="988"/>
      <c r="U886" s="988"/>
      <c r="V886" s="988"/>
      <c r="W886" s="988"/>
      <c r="X886" s="988"/>
      <c r="Y886" s="988"/>
    </row>
    <row r="887" spans="1:25" x14ac:dyDescent="0.2">
      <c r="A887" s="987"/>
      <c r="B887" s="987"/>
      <c r="C887" s="987"/>
      <c r="D887" s="987"/>
      <c r="E887" s="987"/>
      <c r="R887" s="988"/>
      <c r="S887" s="988"/>
      <c r="T887" s="988"/>
      <c r="U887" s="988"/>
      <c r="V887" s="988"/>
      <c r="W887" s="988"/>
      <c r="X887" s="988"/>
      <c r="Y887" s="988"/>
    </row>
    <row r="888" spans="1:25" x14ac:dyDescent="0.2">
      <c r="A888" s="987"/>
      <c r="B888" s="987"/>
      <c r="C888" s="987"/>
      <c r="D888" s="987"/>
      <c r="E888" s="987"/>
      <c r="R888" s="988"/>
      <c r="S888" s="988"/>
      <c r="T888" s="988"/>
      <c r="U888" s="988"/>
      <c r="V888" s="988"/>
      <c r="W888" s="988"/>
      <c r="X888" s="988"/>
      <c r="Y888" s="988"/>
    </row>
    <row r="889" spans="1:25" x14ac:dyDescent="0.2">
      <c r="A889" s="987"/>
      <c r="B889" s="987"/>
      <c r="C889" s="987"/>
      <c r="D889" s="987"/>
      <c r="E889" s="987"/>
      <c r="R889" s="988"/>
      <c r="S889" s="988"/>
      <c r="T889" s="988"/>
      <c r="U889" s="988"/>
      <c r="V889" s="988"/>
      <c r="W889" s="988"/>
      <c r="X889" s="988"/>
      <c r="Y889" s="988"/>
    </row>
    <row r="890" spans="1:25" x14ac:dyDescent="0.2">
      <c r="A890" s="987"/>
      <c r="B890" s="987"/>
      <c r="C890" s="987"/>
      <c r="D890" s="987"/>
      <c r="E890" s="987"/>
      <c r="R890" s="988"/>
      <c r="S890" s="988"/>
      <c r="T890" s="988"/>
      <c r="U890" s="988"/>
      <c r="V890" s="988"/>
      <c r="W890" s="988"/>
      <c r="X890" s="988"/>
      <c r="Y890" s="988"/>
    </row>
    <row r="891" spans="1:25" x14ac:dyDescent="0.2">
      <c r="A891" s="987"/>
      <c r="B891" s="987"/>
      <c r="C891" s="987"/>
      <c r="D891" s="987"/>
      <c r="E891" s="987"/>
      <c r="R891" s="988"/>
      <c r="S891" s="988"/>
      <c r="T891" s="988"/>
      <c r="U891" s="988"/>
      <c r="V891" s="988"/>
      <c r="W891" s="988"/>
      <c r="X891" s="988"/>
      <c r="Y891" s="988"/>
    </row>
    <row r="892" spans="1:25" x14ac:dyDescent="0.2">
      <c r="A892" s="987"/>
      <c r="B892" s="987"/>
      <c r="C892" s="987"/>
      <c r="D892" s="987"/>
      <c r="E892" s="987"/>
      <c r="R892" s="988"/>
      <c r="S892" s="988"/>
      <c r="T892" s="988"/>
      <c r="U892" s="988"/>
      <c r="V892" s="988"/>
      <c r="W892" s="988"/>
      <c r="X892" s="988"/>
      <c r="Y892" s="988"/>
    </row>
    <row r="893" spans="1:25" x14ac:dyDescent="0.2">
      <c r="A893" s="987"/>
      <c r="B893" s="987"/>
      <c r="C893" s="987"/>
      <c r="D893" s="987"/>
      <c r="E893" s="987"/>
      <c r="R893" s="988"/>
      <c r="S893" s="988"/>
      <c r="T893" s="988"/>
      <c r="U893" s="988"/>
      <c r="V893" s="988"/>
      <c r="W893" s="988"/>
      <c r="X893" s="988"/>
      <c r="Y893" s="988"/>
    </row>
    <row r="894" spans="1:25" x14ac:dyDescent="0.2">
      <c r="A894" s="987"/>
      <c r="B894" s="987"/>
      <c r="C894" s="987"/>
      <c r="D894" s="987"/>
      <c r="E894" s="987"/>
      <c r="R894" s="988"/>
      <c r="S894" s="988"/>
      <c r="T894" s="988"/>
      <c r="U894" s="988"/>
      <c r="V894" s="988"/>
      <c r="W894" s="988"/>
      <c r="X894" s="988"/>
      <c r="Y894" s="988"/>
    </row>
    <row r="895" spans="1:25" x14ac:dyDescent="0.2">
      <c r="A895" s="987"/>
      <c r="B895" s="987"/>
      <c r="C895" s="987"/>
      <c r="D895" s="987"/>
      <c r="E895" s="987"/>
      <c r="R895" s="988"/>
      <c r="S895" s="988"/>
      <c r="T895" s="988"/>
      <c r="U895" s="988"/>
      <c r="V895" s="988"/>
      <c r="W895" s="988"/>
      <c r="X895" s="988"/>
      <c r="Y895" s="988"/>
    </row>
    <row r="896" spans="1:25" x14ac:dyDescent="0.2">
      <c r="A896" s="987"/>
      <c r="B896" s="987"/>
      <c r="C896" s="987"/>
      <c r="D896" s="987"/>
      <c r="E896" s="987"/>
      <c r="R896" s="988"/>
      <c r="S896" s="988"/>
      <c r="T896" s="988"/>
      <c r="U896" s="988"/>
      <c r="V896" s="988"/>
      <c r="W896" s="988"/>
      <c r="X896" s="988"/>
      <c r="Y896" s="988"/>
    </row>
    <row r="897" spans="1:25" x14ac:dyDescent="0.2">
      <c r="A897" s="987"/>
      <c r="B897" s="987"/>
      <c r="C897" s="987"/>
      <c r="D897" s="987"/>
      <c r="E897" s="987"/>
      <c r="R897" s="988"/>
      <c r="S897" s="988"/>
      <c r="T897" s="988"/>
      <c r="U897" s="988"/>
      <c r="V897" s="988"/>
      <c r="W897" s="988"/>
      <c r="X897" s="988"/>
      <c r="Y897" s="988"/>
    </row>
    <row r="898" spans="1:25" x14ac:dyDescent="0.2">
      <c r="A898" s="987"/>
      <c r="B898" s="987"/>
      <c r="C898" s="987"/>
      <c r="D898" s="987"/>
      <c r="E898" s="987"/>
      <c r="R898" s="988"/>
      <c r="S898" s="988"/>
      <c r="T898" s="988"/>
      <c r="U898" s="988"/>
      <c r="V898" s="988"/>
      <c r="W898" s="988"/>
      <c r="X898" s="988"/>
      <c r="Y898" s="988"/>
    </row>
    <row r="899" spans="1:25" x14ac:dyDescent="0.2">
      <c r="A899" s="987"/>
      <c r="B899" s="987"/>
      <c r="C899" s="987"/>
      <c r="D899" s="987"/>
      <c r="E899" s="987"/>
      <c r="R899" s="988"/>
      <c r="S899" s="988"/>
      <c r="T899" s="988"/>
      <c r="U899" s="988"/>
      <c r="V899" s="988"/>
      <c r="W899" s="988"/>
      <c r="X899" s="988"/>
      <c r="Y899" s="988"/>
    </row>
    <row r="900" spans="1:25" x14ac:dyDescent="0.2">
      <c r="A900" s="987"/>
      <c r="B900" s="987"/>
      <c r="C900" s="987"/>
      <c r="D900" s="987"/>
      <c r="E900" s="987"/>
      <c r="R900" s="988"/>
      <c r="S900" s="988"/>
      <c r="T900" s="988"/>
      <c r="U900" s="988"/>
      <c r="V900" s="988"/>
      <c r="W900" s="988"/>
      <c r="X900" s="988"/>
      <c r="Y900" s="988"/>
    </row>
    <row r="901" spans="1:25" x14ac:dyDescent="0.2">
      <c r="A901" s="987"/>
      <c r="B901" s="987"/>
      <c r="C901" s="987"/>
      <c r="D901" s="987"/>
      <c r="E901" s="987"/>
      <c r="R901" s="988"/>
      <c r="S901" s="988"/>
      <c r="T901" s="988"/>
      <c r="U901" s="988"/>
      <c r="V901" s="988"/>
      <c r="W901" s="988"/>
      <c r="X901" s="988"/>
      <c r="Y901" s="988"/>
    </row>
    <row r="902" spans="1:25" x14ac:dyDescent="0.2">
      <c r="A902" s="987"/>
      <c r="B902" s="987"/>
      <c r="C902" s="987"/>
      <c r="D902" s="987"/>
      <c r="E902" s="987"/>
      <c r="R902" s="988"/>
      <c r="S902" s="988"/>
      <c r="T902" s="988"/>
      <c r="U902" s="988"/>
      <c r="V902" s="988"/>
      <c r="W902" s="988"/>
      <c r="X902" s="988"/>
      <c r="Y902" s="988"/>
    </row>
    <row r="903" spans="1:25" x14ac:dyDescent="0.2">
      <c r="A903" s="987"/>
      <c r="B903" s="987"/>
      <c r="C903" s="987"/>
      <c r="D903" s="987"/>
      <c r="E903" s="987"/>
      <c r="R903" s="988"/>
      <c r="S903" s="988"/>
      <c r="T903" s="988"/>
      <c r="U903" s="988"/>
      <c r="V903" s="988"/>
      <c r="W903" s="988"/>
      <c r="X903" s="988"/>
      <c r="Y903" s="988"/>
    </row>
    <row r="904" spans="1:25" x14ac:dyDescent="0.2">
      <c r="A904" s="987"/>
      <c r="B904" s="987"/>
      <c r="C904" s="987"/>
      <c r="D904" s="987"/>
      <c r="E904" s="987"/>
      <c r="R904" s="988"/>
      <c r="S904" s="988"/>
      <c r="T904" s="988"/>
      <c r="U904" s="988"/>
      <c r="V904" s="988"/>
      <c r="W904" s="988"/>
      <c r="X904" s="988"/>
      <c r="Y904" s="988"/>
    </row>
    <row r="905" spans="1:25" x14ac:dyDescent="0.2">
      <c r="A905" s="987"/>
      <c r="B905" s="987"/>
      <c r="C905" s="987"/>
      <c r="D905" s="987"/>
      <c r="E905" s="987"/>
      <c r="R905" s="988"/>
      <c r="S905" s="988"/>
      <c r="T905" s="988"/>
      <c r="U905" s="988"/>
      <c r="V905" s="988"/>
      <c r="W905" s="988"/>
      <c r="X905" s="988"/>
      <c r="Y905" s="988"/>
    </row>
    <row r="906" spans="1:25" x14ac:dyDescent="0.2">
      <c r="A906" s="987"/>
      <c r="B906" s="987"/>
      <c r="C906" s="987"/>
      <c r="D906" s="987"/>
      <c r="E906" s="987"/>
      <c r="R906" s="988"/>
      <c r="S906" s="988"/>
      <c r="T906" s="988"/>
      <c r="U906" s="988"/>
      <c r="V906" s="988"/>
      <c r="W906" s="988"/>
      <c r="X906" s="988"/>
      <c r="Y906" s="988"/>
    </row>
    <row r="907" spans="1:25" x14ac:dyDescent="0.2">
      <c r="A907" s="987"/>
      <c r="B907" s="987"/>
      <c r="C907" s="987"/>
      <c r="D907" s="987"/>
      <c r="E907" s="987"/>
      <c r="R907" s="988"/>
      <c r="S907" s="988"/>
      <c r="T907" s="988"/>
      <c r="U907" s="988"/>
      <c r="V907" s="988"/>
      <c r="W907" s="988"/>
      <c r="X907" s="988"/>
      <c r="Y907" s="988"/>
    </row>
    <row r="908" spans="1:25" x14ac:dyDescent="0.2">
      <c r="A908" s="987"/>
      <c r="B908" s="987"/>
      <c r="C908" s="987"/>
      <c r="D908" s="987"/>
      <c r="E908" s="987"/>
      <c r="R908" s="988"/>
      <c r="S908" s="988"/>
      <c r="T908" s="988"/>
      <c r="U908" s="988"/>
      <c r="V908" s="988"/>
      <c r="W908" s="988"/>
      <c r="X908" s="988"/>
      <c r="Y908" s="988"/>
    </row>
    <row r="909" spans="1:25" x14ac:dyDescent="0.2">
      <c r="A909" s="987"/>
      <c r="B909" s="987"/>
      <c r="C909" s="987"/>
      <c r="D909" s="987"/>
      <c r="E909" s="987"/>
      <c r="R909" s="988"/>
      <c r="S909" s="988"/>
      <c r="T909" s="988"/>
      <c r="U909" s="988"/>
      <c r="V909" s="988"/>
      <c r="W909" s="988"/>
      <c r="X909" s="988"/>
      <c r="Y909" s="988"/>
    </row>
    <row r="910" spans="1:25" x14ac:dyDescent="0.2">
      <c r="A910" s="987"/>
      <c r="B910" s="987"/>
      <c r="C910" s="987"/>
      <c r="D910" s="987"/>
      <c r="E910" s="987"/>
      <c r="R910" s="988"/>
      <c r="S910" s="988"/>
      <c r="T910" s="988"/>
      <c r="U910" s="988"/>
      <c r="V910" s="988"/>
      <c r="W910" s="988"/>
      <c r="X910" s="988"/>
      <c r="Y910" s="988"/>
    </row>
    <row r="911" spans="1:25" x14ac:dyDescent="0.2">
      <c r="A911" s="987"/>
      <c r="B911" s="987"/>
      <c r="C911" s="987"/>
      <c r="D911" s="987"/>
      <c r="E911" s="987"/>
      <c r="R911" s="988"/>
      <c r="S911" s="988"/>
      <c r="T911" s="988"/>
      <c r="U911" s="988"/>
      <c r="V911" s="988"/>
      <c r="W911" s="988"/>
      <c r="X911" s="988"/>
      <c r="Y911" s="988"/>
    </row>
    <row r="912" spans="1:25" x14ac:dyDescent="0.2">
      <c r="A912" s="987"/>
      <c r="B912" s="987"/>
      <c r="C912" s="987"/>
      <c r="D912" s="987"/>
      <c r="E912" s="987"/>
      <c r="R912" s="988"/>
      <c r="S912" s="988"/>
      <c r="T912" s="988"/>
      <c r="U912" s="988"/>
      <c r="V912" s="988"/>
      <c r="W912" s="988"/>
      <c r="X912" s="988"/>
      <c r="Y912" s="988"/>
    </row>
    <row r="913" spans="1:25" x14ac:dyDescent="0.2">
      <c r="A913" s="987"/>
      <c r="B913" s="987"/>
      <c r="C913" s="987"/>
      <c r="D913" s="987"/>
      <c r="E913" s="987"/>
      <c r="R913" s="988"/>
      <c r="S913" s="988"/>
      <c r="T913" s="988"/>
      <c r="U913" s="988"/>
      <c r="V913" s="988"/>
      <c r="W913" s="988"/>
      <c r="X913" s="988"/>
      <c r="Y913" s="988"/>
    </row>
    <row r="914" spans="1:25" x14ac:dyDescent="0.2">
      <c r="A914" s="987"/>
      <c r="B914" s="987"/>
      <c r="C914" s="987"/>
      <c r="D914" s="987"/>
      <c r="E914" s="987"/>
      <c r="R914" s="988"/>
      <c r="S914" s="988"/>
      <c r="T914" s="988"/>
      <c r="U914" s="988"/>
      <c r="V914" s="988"/>
      <c r="W914" s="988"/>
      <c r="X914" s="988"/>
      <c r="Y914" s="988"/>
    </row>
    <row r="915" spans="1:25" x14ac:dyDescent="0.2">
      <c r="A915" s="987"/>
      <c r="B915" s="987"/>
      <c r="C915" s="987"/>
      <c r="D915" s="987"/>
      <c r="E915" s="987"/>
      <c r="R915" s="988"/>
      <c r="S915" s="988"/>
      <c r="T915" s="988"/>
      <c r="U915" s="988"/>
      <c r="V915" s="988"/>
      <c r="W915" s="988"/>
      <c r="X915" s="988"/>
      <c r="Y915" s="988"/>
    </row>
    <row r="916" spans="1:25" x14ac:dyDescent="0.2">
      <c r="A916" s="987"/>
      <c r="B916" s="987"/>
      <c r="C916" s="987"/>
      <c r="D916" s="987"/>
      <c r="E916" s="987"/>
      <c r="R916" s="988"/>
      <c r="S916" s="988"/>
      <c r="T916" s="988"/>
      <c r="U916" s="988"/>
      <c r="V916" s="988"/>
      <c r="W916" s="988"/>
      <c r="X916" s="988"/>
      <c r="Y916" s="988"/>
    </row>
    <row r="917" spans="1:25" x14ac:dyDescent="0.2">
      <c r="A917" s="987"/>
      <c r="B917" s="987"/>
      <c r="C917" s="987"/>
      <c r="D917" s="987"/>
      <c r="E917" s="987"/>
      <c r="R917" s="988"/>
      <c r="S917" s="988"/>
      <c r="T917" s="988"/>
      <c r="U917" s="988"/>
      <c r="V917" s="988"/>
      <c r="W917" s="988"/>
      <c r="X917" s="988"/>
      <c r="Y917" s="988"/>
    </row>
    <row r="918" spans="1:25" x14ac:dyDescent="0.2">
      <c r="A918" s="987"/>
      <c r="B918" s="987"/>
      <c r="C918" s="987"/>
      <c r="D918" s="987"/>
      <c r="E918" s="987"/>
      <c r="R918" s="988"/>
      <c r="S918" s="988"/>
      <c r="T918" s="988"/>
      <c r="U918" s="988"/>
      <c r="V918" s="988"/>
      <c r="W918" s="988"/>
      <c r="X918" s="988"/>
      <c r="Y918" s="988"/>
    </row>
    <row r="919" spans="1:25" x14ac:dyDescent="0.2">
      <c r="A919" s="987"/>
      <c r="B919" s="987"/>
      <c r="C919" s="987"/>
      <c r="D919" s="987"/>
      <c r="E919" s="987"/>
      <c r="R919" s="988"/>
      <c r="S919" s="988"/>
      <c r="T919" s="988"/>
      <c r="U919" s="988"/>
      <c r="V919" s="988"/>
      <c r="W919" s="988"/>
      <c r="X919" s="988"/>
      <c r="Y919" s="988"/>
    </row>
    <row r="920" spans="1:25" x14ac:dyDescent="0.2">
      <c r="A920" s="987"/>
      <c r="B920" s="987"/>
      <c r="C920" s="987"/>
      <c r="D920" s="987"/>
      <c r="E920" s="987"/>
      <c r="R920" s="988"/>
      <c r="S920" s="988"/>
      <c r="T920" s="988"/>
      <c r="U920" s="988"/>
      <c r="V920" s="988"/>
      <c r="W920" s="988"/>
      <c r="X920" s="988"/>
      <c r="Y920" s="988"/>
    </row>
    <row r="921" spans="1:25" x14ac:dyDescent="0.2">
      <c r="A921" s="987"/>
      <c r="B921" s="987"/>
      <c r="C921" s="987"/>
      <c r="D921" s="987"/>
      <c r="E921" s="987"/>
      <c r="R921" s="988"/>
      <c r="S921" s="988"/>
      <c r="T921" s="988"/>
      <c r="U921" s="988"/>
      <c r="V921" s="988"/>
      <c r="W921" s="988"/>
      <c r="X921" s="988"/>
      <c r="Y921" s="988"/>
    </row>
    <row r="922" spans="1:25" x14ac:dyDescent="0.2">
      <c r="A922" s="987"/>
      <c r="B922" s="987"/>
      <c r="C922" s="987"/>
      <c r="D922" s="987"/>
      <c r="E922" s="987"/>
      <c r="R922" s="988"/>
      <c r="S922" s="988"/>
      <c r="T922" s="988"/>
      <c r="U922" s="988"/>
      <c r="V922" s="988"/>
      <c r="W922" s="988"/>
      <c r="X922" s="988"/>
      <c r="Y922" s="988"/>
    </row>
    <row r="923" spans="1:25" x14ac:dyDescent="0.2">
      <c r="A923" s="987"/>
      <c r="B923" s="987"/>
      <c r="C923" s="987"/>
      <c r="D923" s="987"/>
      <c r="E923" s="987"/>
      <c r="R923" s="988"/>
      <c r="S923" s="988"/>
      <c r="T923" s="988"/>
      <c r="U923" s="988"/>
      <c r="V923" s="988"/>
      <c r="W923" s="988"/>
      <c r="X923" s="988"/>
      <c r="Y923" s="988"/>
    </row>
    <row r="924" spans="1:25" x14ac:dyDescent="0.2">
      <c r="A924" s="987"/>
      <c r="B924" s="987"/>
      <c r="C924" s="987"/>
      <c r="D924" s="987"/>
      <c r="E924" s="987"/>
      <c r="R924" s="988"/>
      <c r="S924" s="988"/>
      <c r="T924" s="988"/>
      <c r="U924" s="988"/>
      <c r="V924" s="988"/>
      <c r="W924" s="988"/>
      <c r="X924" s="988"/>
      <c r="Y924" s="988"/>
    </row>
    <row r="925" spans="1:25" x14ac:dyDescent="0.2">
      <c r="A925" s="987"/>
      <c r="B925" s="987"/>
      <c r="C925" s="987"/>
      <c r="D925" s="987"/>
      <c r="E925" s="987"/>
      <c r="R925" s="988"/>
      <c r="S925" s="988"/>
      <c r="T925" s="988"/>
      <c r="U925" s="988"/>
      <c r="V925" s="988"/>
      <c r="W925" s="988"/>
      <c r="X925" s="988"/>
      <c r="Y925" s="988"/>
    </row>
    <row r="926" spans="1:25" x14ac:dyDescent="0.2">
      <c r="A926" s="987"/>
      <c r="B926" s="987"/>
      <c r="C926" s="987"/>
      <c r="D926" s="987"/>
      <c r="E926" s="987"/>
      <c r="R926" s="988"/>
      <c r="S926" s="988"/>
      <c r="T926" s="988"/>
      <c r="U926" s="988"/>
      <c r="V926" s="988"/>
      <c r="W926" s="988"/>
      <c r="X926" s="988"/>
      <c r="Y926" s="988"/>
    </row>
    <row r="927" spans="1:25" x14ac:dyDescent="0.2">
      <c r="A927" s="987"/>
      <c r="B927" s="987"/>
      <c r="C927" s="987"/>
      <c r="D927" s="987"/>
      <c r="E927" s="987"/>
      <c r="R927" s="988"/>
      <c r="S927" s="988"/>
      <c r="T927" s="988"/>
      <c r="U927" s="988"/>
      <c r="V927" s="988"/>
      <c r="W927" s="988"/>
      <c r="X927" s="988"/>
      <c r="Y927" s="988"/>
    </row>
    <row r="928" spans="1:25" x14ac:dyDescent="0.2">
      <c r="A928" s="987"/>
      <c r="B928" s="987"/>
      <c r="C928" s="987"/>
      <c r="D928" s="987"/>
      <c r="E928" s="987"/>
      <c r="R928" s="988"/>
      <c r="S928" s="988"/>
      <c r="T928" s="988"/>
      <c r="U928" s="988"/>
      <c r="V928" s="988"/>
      <c r="W928" s="988"/>
      <c r="X928" s="988"/>
      <c r="Y928" s="988"/>
    </row>
    <row r="929" spans="1:25" x14ac:dyDescent="0.2">
      <c r="A929" s="987"/>
      <c r="B929" s="987"/>
      <c r="C929" s="987"/>
      <c r="D929" s="987"/>
      <c r="E929" s="987"/>
      <c r="R929" s="988"/>
      <c r="S929" s="988"/>
      <c r="T929" s="988"/>
      <c r="U929" s="988"/>
      <c r="V929" s="988"/>
      <c r="W929" s="988"/>
      <c r="X929" s="988"/>
      <c r="Y929" s="988"/>
    </row>
    <row r="930" spans="1:25" x14ac:dyDescent="0.2">
      <c r="A930" s="987"/>
      <c r="B930" s="987"/>
      <c r="C930" s="987"/>
      <c r="D930" s="987"/>
      <c r="E930" s="987"/>
      <c r="R930" s="988"/>
      <c r="S930" s="988"/>
      <c r="T930" s="988"/>
      <c r="U930" s="988"/>
      <c r="V930" s="988"/>
      <c r="W930" s="988"/>
      <c r="X930" s="988"/>
      <c r="Y930" s="988"/>
    </row>
    <row r="931" spans="1:25" x14ac:dyDescent="0.2">
      <c r="A931" s="987"/>
      <c r="B931" s="987"/>
      <c r="C931" s="987"/>
      <c r="D931" s="987"/>
      <c r="E931" s="987"/>
      <c r="R931" s="988"/>
      <c r="S931" s="988"/>
      <c r="T931" s="988"/>
      <c r="U931" s="988"/>
      <c r="V931" s="988"/>
      <c r="W931" s="988"/>
      <c r="X931" s="988"/>
      <c r="Y931" s="988"/>
    </row>
    <row r="932" spans="1:25" x14ac:dyDescent="0.2">
      <c r="A932" s="987"/>
      <c r="B932" s="987"/>
      <c r="C932" s="987"/>
      <c r="D932" s="987"/>
      <c r="E932" s="987"/>
      <c r="R932" s="988"/>
      <c r="S932" s="988"/>
      <c r="T932" s="988"/>
      <c r="U932" s="988"/>
      <c r="V932" s="988"/>
      <c r="W932" s="988"/>
      <c r="X932" s="988"/>
      <c r="Y932" s="988"/>
    </row>
    <row r="933" spans="1:25" x14ac:dyDescent="0.2">
      <c r="A933" s="987"/>
      <c r="B933" s="987"/>
      <c r="C933" s="987"/>
      <c r="D933" s="987"/>
      <c r="E933" s="987"/>
      <c r="R933" s="988"/>
      <c r="S933" s="988"/>
      <c r="T933" s="988"/>
      <c r="U933" s="988"/>
      <c r="V933" s="988"/>
      <c r="W933" s="988"/>
      <c r="X933" s="988"/>
      <c r="Y933" s="988"/>
    </row>
    <row r="934" spans="1:25" x14ac:dyDescent="0.2">
      <c r="A934" s="987"/>
      <c r="B934" s="987"/>
      <c r="C934" s="987"/>
      <c r="D934" s="987"/>
      <c r="E934" s="987"/>
      <c r="R934" s="988"/>
      <c r="S934" s="988"/>
      <c r="T934" s="988"/>
      <c r="U934" s="988"/>
      <c r="V934" s="988"/>
      <c r="W934" s="988"/>
      <c r="X934" s="988"/>
      <c r="Y934" s="988"/>
    </row>
    <row r="935" spans="1:25" x14ac:dyDescent="0.2">
      <c r="A935" s="987"/>
      <c r="B935" s="987"/>
      <c r="C935" s="987"/>
      <c r="D935" s="987"/>
      <c r="E935" s="987"/>
      <c r="R935" s="988"/>
      <c r="S935" s="988"/>
      <c r="T935" s="988"/>
      <c r="U935" s="988"/>
      <c r="V935" s="988"/>
      <c r="W935" s="988"/>
      <c r="X935" s="988"/>
      <c r="Y935" s="988"/>
    </row>
    <row r="936" spans="1:25" x14ac:dyDescent="0.2">
      <c r="A936" s="987"/>
      <c r="B936" s="987"/>
      <c r="C936" s="987"/>
      <c r="D936" s="987"/>
      <c r="E936" s="987"/>
      <c r="R936" s="988"/>
      <c r="S936" s="988"/>
      <c r="T936" s="988"/>
      <c r="U936" s="988"/>
      <c r="V936" s="988"/>
      <c r="W936" s="988"/>
      <c r="X936" s="988"/>
      <c r="Y936" s="988"/>
    </row>
    <row r="937" spans="1:25" x14ac:dyDescent="0.2">
      <c r="A937" s="987"/>
      <c r="B937" s="987"/>
      <c r="C937" s="987"/>
      <c r="D937" s="987"/>
      <c r="E937" s="987"/>
      <c r="R937" s="988"/>
      <c r="S937" s="988"/>
      <c r="T937" s="988"/>
      <c r="U937" s="988"/>
      <c r="V937" s="988"/>
      <c r="W937" s="988"/>
      <c r="X937" s="988"/>
      <c r="Y937" s="988"/>
    </row>
    <row r="938" spans="1:25" x14ac:dyDescent="0.2">
      <c r="A938" s="987"/>
      <c r="B938" s="987"/>
      <c r="C938" s="987"/>
      <c r="D938" s="987"/>
      <c r="E938" s="987"/>
      <c r="R938" s="988"/>
      <c r="S938" s="988"/>
      <c r="T938" s="988"/>
      <c r="U938" s="988"/>
      <c r="V938" s="988"/>
      <c r="W938" s="988"/>
      <c r="X938" s="988"/>
      <c r="Y938" s="988"/>
    </row>
    <row r="939" spans="1:25" x14ac:dyDescent="0.2">
      <c r="A939" s="987"/>
      <c r="B939" s="987"/>
      <c r="C939" s="987"/>
      <c r="D939" s="987"/>
      <c r="E939" s="987"/>
      <c r="R939" s="988"/>
      <c r="S939" s="988"/>
      <c r="T939" s="988"/>
      <c r="U939" s="988"/>
      <c r="V939" s="988"/>
      <c r="W939" s="988"/>
      <c r="X939" s="988"/>
      <c r="Y939" s="988"/>
    </row>
    <row r="940" spans="1:25" x14ac:dyDescent="0.2">
      <c r="A940" s="987"/>
      <c r="B940" s="987"/>
      <c r="C940" s="987"/>
      <c r="D940" s="987"/>
      <c r="E940" s="987"/>
      <c r="R940" s="988"/>
      <c r="S940" s="988"/>
      <c r="T940" s="988"/>
      <c r="U940" s="988"/>
      <c r="V940" s="988"/>
      <c r="W940" s="988"/>
      <c r="X940" s="988"/>
      <c r="Y940" s="988"/>
    </row>
    <row r="941" spans="1:25" x14ac:dyDescent="0.2">
      <c r="A941" s="987"/>
      <c r="B941" s="987"/>
      <c r="C941" s="987"/>
      <c r="D941" s="987"/>
      <c r="E941" s="987"/>
      <c r="R941" s="988"/>
      <c r="S941" s="988"/>
      <c r="T941" s="988"/>
      <c r="U941" s="988"/>
      <c r="V941" s="988"/>
      <c r="W941" s="988"/>
      <c r="X941" s="988"/>
      <c r="Y941" s="988"/>
    </row>
    <row r="942" spans="1:25" x14ac:dyDescent="0.2">
      <c r="A942" s="987"/>
      <c r="B942" s="987"/>
      <c r="C942" s="987"/>
      <c r="D942" s="987"/>
      <c r="E942" s="987"/>
      <c r="R942" s="988"/>
      <c r="S942" s="988"/>
      <c r="T942" s="988"/>
      <c r="U942" s="988"/>
      <c r="V942" s="988"/>
      <c r="W942" s="988"/>
      <c r="X942" s="988"/>
      <c r="Y942" s="988"/>
    </row>
    <row r="943" spans="1:25" x14ac:dyDescent="0.2">
      <c r="A943" s="987"/>
      <c r="B943" s="987"/>
      <c r="C943" s="987"/>
      <c r="D943" s="987"/>
      <c r="E943" s="987"/>
      <c r="R943" s="988"/>
      <c r="S943" s="988"/>
      <c r="T943" s="988"/>
      <c r="U943" s="988"/>
      <c r="V943" s="988"/>
      <c r="W943" s="988"/>
      <c r="X943" s="988"/>
      <c r="Y943" s="988"/>
    </row>
    <row r="944" spans="1:25" x14ac:dyDescent="0.2">
      <c r="A944" s="987"/>
      <c r="B944" s="987"/>
      <c r="C944" s="987"/>
      <c r="D944" s="987"/>
      <c r="E944" s="987"/>
      <c r="R944" s="988"/>
      <c r="S944" s="988"/>
      <c r="T944" s="988"/>
      <c r="U944" s="988"/>
      <c r="V944" s="988"/>
      <c r="W944" s="988"/>
      <c r="X944" s="988"/>
      <c r="Y944" s="988"/>
    </row>
    <row r="945" spans="1:25" x14ac:dyDescent="0.2">
      <c r="A945" s="987"/>
      <c r="B945" s="987"/>
      <c r="C945" s="987"/>
      <c r="D945" s="987"/>
      <c r="E945" s="987"/>
      <c r="R945" s="988"/>
      <c r="S945" s="988"/>
      <c r="T945" s="988"/>
      <c r="U945" s="988"/>
      <c r="V945" s="988"/>
      <c r="W945" s="988"/>
      <c r="X945" s="988"/>
      <c r="Y945" s="988"/>
    </row>
    <row r="946" spans="1:25" x14ac:dyDescent="0.2">
      <c r="A946" s="987"/>
      <c r="B946" s="987"/>
      <c r="C946" s="987"/>
      <c r="D946" s="987"/>
      <c r="E946" s="987"/>
      <c r="R946" s="988"/>
      <c r="S946" s="988"/>
      <c r="T946" s="988"/>
      <c r="U946" s="988"/>
      <c r="V946" s="988"/>
      <c r="W946" s="988"/>
      <c r="X946" s="988"/>
      <c r="Y946" s="988"/>
    </row>
    <row r="947" spans="1:25" x14ac:dyDescent="0.2">
      <c r="A947" s="987"/>
      <c r="B947" s="987"/>
      <c r="C947" s="987"/>
      <c r="D947" s="987"/>
      <c r="E947" s="987"/>
      <c r="R947" s="988"/>
      <c r="S947" s="988"/>
      <c r="T947" s="988"/>
      <c r="U947" s="988"/>
      <c r="V947" s="988"/>
      <c r="W947" s="988"/>
      <c r="X947" s="988"/>
      <c r="Y947" s="988"/>
    </row>
    <row r="948" spans="1:25" x14ac:dyDescent="0.2">
      <c r="A948" s="987"/>
      <c r="B948" s="987"/>
      <c r="C948" s="987"/>
      <c r="D948" s="987"/>
      <c r="E948" s="987"/>
      <c r="R948" s="988"/>
      <c r="S948" s="988"/>
      <c r="T948" s="988"/>
      <c r="U948" s="988"/>
      <c r="V948" s="988"/>
      <c r="W948" s="988"/>
      <c r="X948" s="988"/>
      <c r="Y948" s="988"/>
    </row>
    <row r="949" spans="1:25" x14ac:dyDescent="0.2">
      <c r="A949" s="987"/>
      <c r="B949" s="987"/>
      <c r="C949" s="987"/>
      <c r="D949" s="987"/>
      <c r="E949" s="987"/>
      <c r="R949" s="988"/>
      <c r="S949" s="988"/>
      <c r="T949" s="988"/>
      <c r="U949" s="988"/>
      <c r="V949" s="988"/>
      <c r="W949" s="988"/>
      <c r="X949" s="988"/>
      <c r="Y949" s="988"/>
    </row>
    <row r="950" spans="1:25" x14ac:dyDescent="0.2">
      <c r="A950" s="987"/>
      <c r="B950" s="987"/>
      <c r="C950" s="987"/>
      <c r="D950" s="987"/>
      <c r="E950" s="987"/>
      <c r="R950" s="988"/>
      <c r="S950" s="988"/>
      <c r="T950" s="988"/>
      <c r="U950" s="988"/>
      <c r="V950" s="988"/>
      <c r="W950" s="988"/>
      <c r="X950" s="988"/>
      <c r="Y950" s="988"/>
    </row>
    <row r="951" spans="1:25" x14ac:dyDescent="0.2">
      <c r="A951" s="987"/>
      <c r="B951" s="987"/>
      <c r="C951" s="987"/>
      <c r="D951" s="987"/>
      <c r="E951" s="987"/>
      <c r="R951" s="988"/>
      <c r="S951" s="988"/>
      <c r="T951" s="988"/>
      <c r="U951" s="988"/>
      <c r="V951" s="988"/>
      <c r="W951" s="988"/>
      <c r="X951" s="988"/>
      <c r="Y951" s="988"/>
    </row>
    <row r="952" spans="1:25" x14ac:dyDescent="0.2">
      <c r="A952" s="987"/>
      <c r="B952" s="987"/>
      <c r="C952" s="987"/>
      <c r="D952" s="987"/>
      <c r="E952" s="987"/>
      <c r="R952" s="988"/>
      <c r="S952" s="988"/>
      <c r="T952" s="988"/>
      <c r="U952" s="988"/>
      <c r="V952" s="988"/>
      <c r="W952" s="988"/>
      <c r="X952" s="988"/>
      <c r="Y952" s="988"/>
    </row>
    <row r="953" spans="1:25" x14ac:dyDescent="0.2">
      <c r="A953" s="987"/>
      <c r="B953" s="987"/>
      <c r="C953" s="987"/>
      <c r="D953" s="987"/>
      <c r="E953" s="987"/>
      <c r="R953" s="988"/>
      <c r="S953" s="988"/>
      <c r="T953" s="988"/>
      <c r="U953" s="988"/>
      <c r="V953" s="988"/>
      <c r="W953" s="988"/>
      <c r="X953" s="988"/>
      <c r="Y953" s="988"/>
    </row>
    <row r="954" spans="1:25" x14ac:dyDescent="0.2">
      <c r="A954" s="987"/>
      <c r="B954" s="987"/>
      <c r="C954" s="987"/>
      <c r="D954" s="987"/>
      <c r="E954" s="987"/>
      <c r="R954" s="988"/>
      <c r="S954" s="988"/>
      <c r="T954" s="988"/>
      <c r="U954" s="988"/>
      <c r="V954" s="988"/>
      <c r="W954" s="988"/>
      <c r="X954" s="988"/>
      <c r="Y954" s="988"/>
    </row>
    <row r="955" spans="1:25" x14ac:dyDescent="0.2">
      <c r="A955" s="987"/>
      <c r="B955" s="987"/>
      <c r="C955" s="987"/>
      <c r="D955" s="987"/>
      <c r="E955" s="987"/>
      <c r="R955" s="988"/>
      <c r="S955" s="988"/>
      <c r="T955" s="988"/>
      <c r="U955" s="988"/>
      <c r="V955" s="988"/>
      <c r="W955" s="988"/>
      <c r="X955" s="988"/>
      <c r="Y955" s="988"/>
    </row>
    <row r="956" spans="1:25" x14ac:dyDescent="0.2">
      <c r="A956" s="987"/>
      <c r="B956" s="987"/>
      <c r="C956" s="987"/>
      <c r="D956" s="987"/>
      <c r="E956" s="987"/>
      <c r="R956" s="988"/>
      <c r="S956" s="988"/>
      <c r="T956" s="988"/>
      <c r="U956" s="988"/>
      <c r="V956" s="988"/>
      <c r="W956" s="988"/>
      <c r="X956" s="988"/>
      <c r="Y956" s="988"/>
    </row>
    <row r="957" spans="1:25" x14ac:dyDescent="0.2">
      <c r="A957" s="987"/>
      <c r="B957" s="987"/>
      <c r="C957" s="987"/>
      <c r="D957" s="987"/>
      <c r="E957" s="987"/>
      <c r="R957" s="988"/>
      <c r="S957" s="988"/>
      <c r="T957" s="988"/>
      <c r="U957" s="988"/>
      <c r="V957" s="988"/>
      <c r="W957" s="988"/>
      <c r="X957" s="988"/>
      <c r="Y957" s="988"/>
    </row>
    <row r="958" spans="1:25" x14ac:dyDescent="0.2">
      <c r="A958" s="987"/>
      <c r="B958" s="987"/>
      <c r="C958" s="987"/>
      <c r="D958" s="987"/>
      <c r="E958" s="987"/>
      <c r="R958" s="988"/>
      <c r="S958" s="988"/>
      <c r="T958" s="988"/>
      <c r="U958" s="988"/>
      <c r="V958" s="988"/>
      <c r="W958" s="988"/>
      <c r="X958" s="988"/>
      <c r="Y958" s="988"/>
    </row>
    <row r="959" spans="1:25" x14ac:dyDescent="0.2">
      <c r="A959" s="987"/>
      <c r="B959" s="987"/>
      <c r="C959" s="987"/>
      <c r="D959" s="987"/>
      <c r="E959" s="987"/>
      <c r="R959" s="988"/>
      <c r="S959" s="988"/>
      <c r="T959" s="988"/>
      <c r="U959" s="988"/>
      <c r="V959" s="988"/>
      <c r="W959" s="988"/>
      <c r="X959" s="988"/>
      <c r="Y959" s="988"/>
    </row>
    <row r="960" spans="1:25" x14ac:dyDescent="0.2">
      <c r="A960" s="987"/>
      <c r="B960" s="987"/>
      <c r="C960" s="987"/>
      <c r="D960" s="987"/>
      <c r="E960" s="987"/>
      <c r="R960" s="988"/>
      <c r="S960" s="988"/>
      <c r="T960" s="988"/>
      <c r="U960" s="988"/>
      <c r="V960" s="988"/>
      <c r="W960" s="988"/>
      <c r="X960" s="988"/>
      <c r="Y960" s="988"/>
    </row>
    <row r="961" spans="1:25" x14ac:dyDescent="0.2">
      <c r="A961" s="987"/>
      <c r="B961" s="987"/>
      <c r="C961" s="987"/>
      <c r="D961" s="987"/>
      <c r="E961" s="987"/>
      <c r="R961" s="988"/>
      <c r="S961" s="988"/>
      <c r="T961" s="988"/>
      <c r="U961" s="988"/>
      <c r="V961" s="988"/>
      <c r="W961" s="988"/>
      <c r="X961" s="988"/>
      <c r="Y961" s="988"/>
    </row>
    <row r="962" spans="1:25" x14ac:dyDescent="0.2">
      <c r="A962" s="987"/>
      <c r="B962" s="987"/>
      <c r="C962" s="987"/>
      <c r="D962" s="987"/>
      <c r="E962" s="987"/>
      <c r="R962" s="988"/>
      <c r="S962" s="988"/>
      <c r="T962" s="988"/>
      <c r="U962" s="988"/>
      <c r="V962" s="988"/>
      <c r="W962" s="988"/>
      <c r="X962" s="988"/>
      <c r="Y962" s="988"/>
    </row>
    <row r="963" spans="1:25" x14ac:dyDescent="0.2">
      <c r="A963" s="987"/>
      <c r="B963" s="987"/>
      <c r="C963" s="987"/>
      <c r="D963" s="987"/>
      <c r="E963" s="987"/>
      <c r="R963" s="988"/>
      <c r="S963" s="988"/>
      <c r="T963" s="988"/>
      <c r="U963" s="988"/>
      <c r="V963" s="988"/>
      <c r="W963" s="988"/>
      <c r="X963" s="988"/>
      <c r="Y963" s="988"/>
    </row>
    <row r="964" spans="1:25" x14ac:dyDescent="0.2">
      <c r="A964" s="987"/>
      <c r="B964" s="987"/>
      <c r="C964" s="987"/>
      <c r="D964" s="987"/>
      <c r="E964" s="987"/>
      <c r="R964" s="988"/>
      <c r="S964" s="988"/>
      <c r="T964" s="988"/>
      <c r="U964" s="988"/>
      <c r="V964" s="988"/>
      <c r="W964" s="988"/>
      <c r="X964" s="988"/>
      <c r="Y964" s="988"/>
    </row>
    <row r="965" spans="1:25" x14ac:dyDescent="0.2">
      <c r="A965" s="987"/>
      <c r="B965" s="987"/>
      <c r="C965" s="987"/>
      <c r="D965" s="987"/>
      <c r="E965" s="987"/>
      <c r="R965" s="988"/>
      <c r="S965" s="988"/>
      <c r="T965" s="988"/>
      <c r="U965" s="988"/>
      <c r="V965" s="988"/>
      <c r="W965" s="988"/>
      <c r="X965" s="988"/>
      <c r="Y965" s="988"/>
    </row>
    <row r="966" spans="1:25" x14ac:dyDescent="0.2">
      <c r="A966" s="987"/>
      <c r="B966" s="987"/>
      <c r="C966" s="987"/>
      <c r="D966" s="987"/>
      <c r="E966" s="987"/>
      <c r="R966" s="988"/>
      <c r="S966" s="988"/>
      <c r="T966" s="988"/>
      <c r="U966" s="988"/>
      <c r="V966" s="988"/>
      <c r="W966" s="988"/>
      <c r="X966" s="988"/>
      <c r="Y966" s="988"/>
    </row>
    <row r="967" spans="1:25" x14ac:dyDescent="0.2">
      <c r="A967" s="987"/>
      <c r="B967" s="987"/>
      <c r="C967" s="987"/>
      <c r="D967" s="987"/>
      <c r="E967" s="987"/>
      <c r="R967" s="988"/>
      <c r="S967" s="988"/>
      <c r="T967" s="988"/>
      <c r="U967" s="988"/>
      <c r="V967" s="988"/>
      <c r="W967" s="988"/>
      <c r="X967" s="988"/>
      <c r="Y967" s="988"/>
    </row>
    <row r="968" spans="1:25" x14ac:dyDescent="0.2">
      <c r="A968" s="987"/>
      <c r="B968" s="987"/>
      <c r="C968" s="987"/>
      <c r="D968" s="987"/>
      <c r="E968" s="987"/>
      <c r="R968" s="988"/>
      <c r="S968" s="988"/>
      <c r="T968" s="988"/>
      <c r="U968" s="988"/>
      <c r="V968" s="988"/>
      <c r="W968" s="988"/>
      <c r="X968" s="988"/>
      <c r="Y968" s="988"/>
    </row>
    <row r="969" spans="1:25" x14ac:dyDescent="0.2">
      <c r="A969" s="987"/>
      <c r="B969" s="987"/>
      <c r="C969" s="987"/>
      <c r="D969" s="987"/>
      <c r="E969" s="987"/>
      <c r="R969" s="988"/>
      <c r="S969" s="988"/>
      <c r="T969" s="988"/>
      <c r="U969" s="988"/>
      <c r="V969" s="988"/>
      <c r="W969" s="988"/>
      <c r="X969" s="988"/>
      <c r="Y969" s="988"/>
    </row>
    <row r="970" spans="1:25" x14ac:dyDescent="0.2">
      <c r="A970" s="987"/>
      <c r="B970" s="987"/>
      <c r="C970" s="987"/>
      <c r="D970" s="987"/>
      <c r="E970" s="987"/>
      <c r="R970" s="988"/>
      <c r="S970" s="988"/>
      <c r="T970" s="988"/>
      <c r="U970" s="988"/>
      <c r="V970" s="988"/>
      <c r="W970" s="988"/>
      <c r="X970" s="988"/>
      <c r="Y970" s="988"/>
    </row>
    <row r="971" spans="1:25" x14ac:dyDescent="0.2">
      <c r="A971" s="987"/>
      <c r="B971" s="987"/>
      <c r="C971" s="987"/>
      <c r="D971" s="987"/>
      <c r="E971" s="987"/>
      <c r="R971" s="988"/>
      <c r="S971" s="988"/>
      <c r="T971" s="988"/>
      <c r="U971" s="988"/>
      <c r="V971" s="988"/>
      <c r="W971" s="988"/>
      <c r="X971" s="988"/>
      <c r="Y971" s="988"/>
    </row>
    <row r="972" spans="1:25" x14ac:dyDescent="0.2">
      <c r="A972" s="987"/>
      <c r="B972" s="987"/>
      <c r="C972" s="987"/>
      <c r="D972" s="987"/>
      <c r="E972" s="987"/>
      <c r="R972" s="988"/>
      <c r="S972" s="988"/>
      <c r="T972" s="988"/>
      <c r="U972" s="988"/>
      <c r="V972" s="988"/>
      <c r="W972" s="988"/>
      <c r="X972" s="988"/>
      <c r="Y972" s="988"/>
    </row>
    <row r="973" spans="1:25" x14ac:dyDescent="0.2">
      <c r="A973" s="987"/>
      <c r="B973" s="987"/>
      <c r="C973" s="987"/>
      <c r="D973" s="987"/>
      <c r="E973" s="987"/>
      <c r="R973" s="988"/>
      <c r="S973" s="988"/>
      <c r="T973" s="988"/>
      <c r="U973" s="988"/>
      <c r="V973" s="988"/>
      <c r="W973" s="988"/>
      <c r="X973" s="988"/>
      <c r="Y973" s="988"/>
    </row>
    <row r="974" spans="1:25" x14ac:dyDescent="0.2">
      <c r="A974" s="987"/>
      <c r="B974" s="987"/>
      <c r="C974" s="987"/>
      <c r="D974" s="987"/>
      <c r="E974" s="987"/>
      <c r="R974" s="988"/>
      <c r="S974" s="988"/>
      <c r="T974" s="988"/>
      <c r="U974" s="988"/>
      <c r="V974" s="988"/>
      <c r="W974" s="988"/>
      <c r="X974" s="988"/>
      <c r="Y974" s="988"/>
    </row>
    <row r="975" spans="1:25" x14ac:dyDescent="0.2">
      <c r="A975" s="987"/>
      <c r="B975" s="987"/>
      <c r="C975" s="987"/>
      <c r="D975" s="987"/>
      <c r="E975" s="987"/>
      <c r="R975" s="988"/>
      <c r="S975" s="988"/>
      <c r="T975" s="988"/>
      <c r="U975" s="988"/>
      <c r="V975" s="988"/>
      <c r="W975" s="988"/>
      <c r="X975" s="988"/>
      <c r="Y975" s="988"/>
    </row>
    <row r="976" spans="1:25" x14ac:dyDescent="0.2">
      <c r="A976" s="987"/>
      <c r="B976" s="987"/>
      <c r="C976" s="987"/>
      <c r="D976" s="987"/>
      <c r="E976" s="987"/>
      <c r="R976" s="988"/>
      <c r="S976" s="988"/>
      <c r="T976" s="988"/>
      <c r="U976" s="988"/>
      <c r="V976" s="988"/>
      <c r="W976" s="988"/>
      <c r="X976" s="988"/>
      <c r="Y976" s="988"/>
    </row>
    <row r="977" spans="1:25" x14ac:dyDescent="0.2">
      <c r="A977" s="987"/>
      <c r="B977" s="987"/>
      <c r="C977" s="987"/>
      <c r="D977" s="987"/>
      <c r="E977" s="987"/>
      <c r="R977" s="988"/>
      <c r="S977" s="988"/>
      <c r="T977" s="988"/>
      <c r="U977" s="988"/>
      <c r="V977" s="988"/>
      <c r="W977" s="988"/>
      <c r="X977" s="988"/>
      <c r="Y977" s="988"/>
    </row>
    <row r="978" spans="1:25" x14ac:dyDescent="0.2">
      <c r="A978" s="987"/>
      <c r="B978" s="987"/>
      <c r="C978" s="987"/>
      <c r="D978" s="987"/>
      <c r="E978" s="987"/>
      <c r="R978" s="988"/>
      <c r="S978" s="988"/>
      <c r="T978" s="988"/>
      <c r="U978" s="988"/>
      <c r="V978" s="988"/>
      <c r="W978" s="988"/>
      <c r="X978" s="988"/>
      <c r="Y978" s="988"/>
    </row>
    <row r="979" spans="1:25" x14ac:dyDescent="0.2">
      <c r="A979" s="987"/>
      <c r="B979" s="987"/>
      <c r="C979" s="987"/>
      <c r="D979" s="987"/>
      <c r="E979" s="987"/>
      <c r="R979" s="988"/>
      <c r="S979" s="988"/>
      <c r="T979" s="988"/>
      <c r="U979" s="988"/>
      <c r="V979" s="988"/>
      <c r="W979" s="988"/>
      <c r="X979" s="988"/>
      <c r="Y979" s="988"/>
    </row>
    <row r="980" spans="1:25" x14ac:dyDescent="0.2">
      <c r="A980" s="987"/>
      <c r="B980" s="987"/>
      <c r="C980" s="987"/>
      <c r="D980" s="987"/>
      <c r="E980" s="987"/>
      <c r="R980" s="988"/>
      <c r="S980" s="988"/>
      <c r="T980" s="988"/>
      <c r="U980" s="988"/>
      <c r="V980" s="988"/>
      <c r="W980" s="988"/>
      <c r="X980" s="988"/>
      <c r="Y980" s="988"/>
    </row>
    <row r="981" spans="1:25" x14ac:dyDescent="0.2">
      <c r="A981" s="987"/>
      <c r="B981" s="987"/>
      <c r="C981" s="987"/>
      <c r="D981" s="987"/>
      <c r="E981" s="987"/>
      <c r="R981" s="988"/>
      <c r="S981" s="988"/>
      <c r="T981" s="988"/>
      <c r="U981" s="988"/>
      <c r="V981" s="988"/>
      <c r="W981" s="988"/>
      <c r="X981" s="988"/>
      <c r="Y981" s="988"/>
    </row>
    <row r="982" spans="1:25" x14ac:dyDescent="0.2">
      <c r="A982" s="987"/>
      <c r="B982" s="987"/>
      <c r="C982" s="987"/>
      <c r="D982" s="987"/>
      <c r="E982" s="987"/>
      <c r="R982" s="988"/>
      <c r="S982" s="988"/>
      <c r="T982" s="988"/>
      <c r="U982" s="988"/>
      <c r="V982" s="988"/>
      <c r="W982" s="988"/>
      <c r="X982" s="988"/>
      <c r="Y982" s="988"/>
    </row>
    <row r="983" spans="1:25" x14ac:dyDescent="0.2">
      <c r="A983" s="987"/>
      <c r="B983" s="987"/>
      <c r="C983" s="987"/>
      <c r="D983" s="987"/>
      <c r="E983" s="987"/>
      <c r="R983" s="988"/>
      <c r="S983" s="988"/>
      <c r="T983" s="988"/>
      <c r="U983" s="988"/>
      <c r="V983" s="988"/>
      <c r="W983" s="988"/>
      <c r="X983" s="988"/>
      <c r="Y983" s="988"/>
    </row>
    <row r="984" spans="1:25" x14ac:dyDescent="0.2">
      <c r="A984" s="987"/>
      <c r="B984" s="987"/>
      <c r="C984" s="987"/>
      <c r="D984" s="987"/>
      <c r="E984" s="987"/>
      <c r="R984" s="988"/>
      <c r="S984" s="988"/>
      <c r="T984" s="988"/>
      <c r="U984" s="988"/>
      <c r="V984" s="988"/>
      <c r="W984" s="988"/>
      <c r="X984" s="988"/>
      <c r="Y984" s="988"/>
    </row>
    <row r="985" spans="1:25" x14ac:dyDescent="0.2">
      <c r="A985" s="987"/>
      <c r="B985" s="987"/>
      <c r="C985" s="987"/>
      <c r="D985" s="987"/>
      <c r="E985" s="987"/>
      <c r="R985" s="988"/>
      <c r="S985" s="988"/>
      <c r="T985" s="988"/>
      <c r="U985" s="988"/>
      <c r="V985" s="988"/>
      <c r="W985" s="988"/>
      <c r="X985" s="988"/>
      <c r="Y985" s="988"/>
    </row>
    <row r="986" spans="1:25" x14ac:dyDescent="0.2">
      <c r="A986" s="987"/>
      <c r="B986" s="987"/>
      <c r="C986" s="987"/>
      <c r="D986" s="987"/>
      <c r="E986" s="987"/>
      <c r="R986" s="988"/>
      <c r="S986" s="988"/>
      <c r="T986" s="988"/>
      <c r="U986" s="988"/>
      <c r="V986" s="988"/>
      <c r="W986" s="988"/>
      <c r="X986" s="988"/>
      <c r="Y986" s="988"/>
    </row>
    <row r="987" spans="1:25" x14ac:dyDescent="0.2">
      <c r="A987" s="987"/>
      <c r="B987" s="987"/>
      <c r="C987" s="987"/>
      <c r="D987" s="987"/>
      <c r="E987" s="987"/>
      <c r="R987" s="988"/>
      <c r="S987" s="988"/>
      <c r="T987" s="988"/>
      <c r="U987" s="988"/>
      <c r="V987" s="988"/>
      <c r="W987" s="988"/>
      <c r="X987" s="988"/>
      <c r="Y987" s="988"/>
    </row>
    <row r="988" spans="1:25" x14ac:dyDescent="0.2">
      <c r="A988" s="987"/>
      <c r="B988" s="987"/>
      <c r="C988" s="987"/>
      <c r="D988" s="987"/>
      <c r="E988" s="987"/>
      <c r="R988" s="988"/>
      <c r="S988" s="988"/>
      <c r="T988" s="988"/>
      <c r="U988" s="988"/>
      <c r="V988" s="988"/>
      <c r="W988" s="988"/>
      <c r="X988" s="988"/>
      <c r="Y988" s="988"/>
    </row>
    <row r="989" spans="1:25" x14ac:dyDescent="0.2">
      <c r="A989" s="987"/>
      <c r="B989" s="987"/>
      <c r="C989" s="987"/>
      <c r="D989" s="987"/>
      <c r="E989" s="987"/>
      <c r="R989" s="988"/>
      <c r="S989" s="988"/>
      <c r="T989" s="988"/>
      <c r="U989" s="988"/>
      <c r="V989" s="988"/>
      <c r="W989" s="988"/>
      <c r="X989" s="988"/>
      <c r="Y989" s="988"/>
    </row>
    <row r="990" spans="1:25" x14ac:dyDescent="0.2">
      <c r="A990" s="987"/>
      <c r="B990" s="987"/>
      <c r="C990" s="987"/>
      <c r="D990" s="987"/>
      <c r="E990" s="987"/>
      <c r="R990" s="988"/>
      <c r="S990" s="988"/>
      <c r="T990" s="988"/>
      <c r="U990" s="988"/>
      <c r="V990" s="988"/>
      <c r="W990" s="988"/>
      <c r="X990" s="988"/>
      <c r="Y990" s="988"/>
    </row>
    <row r="991" spans="1:25" x14ac:dyDescent="0.2">
      <c r="A991" s="987"/>
      <c r="B991" s="987"/>
      <c r="C991" s="987"/>
      <c r="D991" s="987"/>
      <c r="E991" s="987"/>
      <c r="R991" s="988"/>
      <c r="S991" s="988"/>
      <c r="T991" s="988"/>
      <c r="U991" s="988"/>
      <c r="V991" s="988"/>
      <c r="W991" s="988"/>
      <c r="X991" s="988"/>
      <c r="Y991" s="988"/>
    </row>
    <row r="992" spans="1:25" x14ac:dyDescent="0.2">
      <c r="A992" s="987"/>
      <c r="B992" s="987"/>
      <c r="C992" s="987"/>
      <c r="D992" s="987"/>
      <c r="E992" s="987"/>
      <c r="R992" s="988"/>
      <c r="S992" s="988"/>
      <c r="T992" s="988"/>
      <c r="U992" s="988"/>
      <c r="V992" s="988"/>
      <c r="W992" s="988"/>
      <c r="X992" s="988"/>
      <c r="Y992" s="988"/>
    </row>
    <row r="993" spans="1:25" x14ac:dyDescent="0.2">
      <c r="A993" s="987"/>
      <c r="B993" s="987"/>
      <c r="C993" s="987"/>
      <c r="D993" s="987"/>
      <c r="E993" s="987"/>
      <c r="R993" s="988"/>
      <c r="S993" s="988"/>
      <c r="T993" s="988"/>
      <c r="U993" s="988"/>
      <c r="V993" s="988"/>
      <c r="W993" s="988"/>
      <c r="X993" s="988"/>
      <c r="Y993" s="988"/>
    </row>
    <row r="994" spans="1:25" x14ac:dyDescent="0.2">
      <c r="A994" s="987"/>
      <c r="B994" s="987"/>
      <c r="C994" s="987"/>
      <c r="D994" s="987"/>
      <c r="E994" s="987"/>
      <c r="R994" s="988"/>
      <c r="S994" s="988"/>
      <c r="T994" s="988"/>
      <c r="U994" s="988"/>
      <c r="V994" s="988"/>
      <c r="W994" s="988"/>
      <c r="X994" s="988"/>
      <c r="Y994" s="988"/>
    </row>
    <row r="995" spans="1:25" x14ac:dyDescent="0.2">
      <c r="A995" s="987"/>
      <c r="B995" s="987"/>
      <c r="C995" s="987"/>
      <c r="D995" s="987"/>
      <c r="E995" s="987"/>
      <c r="R995" s="988"/>
      <c r="S995" s="988"/>
      <c r="T995" s="988"/>
      <c r="U995" s="988"/>
      <c r="V995" s="988"/>
      <c r="W995" s="988"/>
      <c r="X995" s="988"/>
      <c r="Y995" s="988"/>
    </row>
    <row r="996" spans="1:25" x14ac:dyDescent="0.2">
      <c r="A996" s="987"/>
      <c r="B996" s="987"/>
      <c r="C996" s="987"/>
      <c r="D996" s="987"/>
      <c r="E996" s="987"/>
      <c r="R996" s="988"/>
      <c r="S996" s="988"/>
      <c r="T996" s="988"/>
      <c r="U996" s="988"/>
      <c r="V996" s="988"/>
      <c r="W996" s="988"/>
      <c r="X996" s="988"/>
      <c r="Y996" s="988"/>
    </row>
    <row r="997" spans="1:25" x14ac:dyDescent="0.2">
      <c r="A997" s="987"/>
      <c r="B997" s="987"/>
      <c r="C997" s="987"/>
      <c r="D997" s="987"/>
      <c r="E997" s="987"/>
      <c r="R997" s="988"/>
      <c r="S997" s="988"/>
      <c r="T997" s="988"/>
      <c r="U997" s="988"/>
      <c r="V997" s="988"/>
      <c r="W997" s="988"/>
      <c r="X997" s="988"/>
      <c r="Y997" s="988"/>
    </row>
    <row r="998" spans="1:25" x14ac:dyDescent="0.2">
      <c r="A998" s="987"/>
      <c r="B998" s="987"/>
      <c r="C998" s="987"/>
      <c r="D998" s="987"/>
      <c r="E998" s="987"/>
      <c r="R998" s="988"/>
      <c r="S998" s="988"/>
      <c r="T998" s="988"/>
      <c r="U998" s="988"/>
      <c r="V998" s="988"/>
      <c r="W998" s="988"/>
      <c r="X998" s="988"/>
      <c r="Y998" s="988"/>
    </row>
    <row r="999" spans="1:25" x14ac:dyDescent="0.2">
      <c r="A999" s="987"/>
      <c r="B999" s="987"/>
      <c r="C999" s="987"/>
      <c r="D999" s="987"/>
      <c r="E999" s="987"/>
      <c r="R999" s="988"/>
      <c r="S999" s="988"/>
      <c r="T999" s="988"/>
      <c r="U999" s="988"/>
      <c r="V999" s="988"/>
      <c r="W999" s="988"/>
      <c r="X999" s="988"/>
      <c r="Y999" s="988"/>
    </row>
    <row r="1000" spans="1:25" x14ac:dyDescent="0.2">
      <c r="A1000" s="987"/>
      <c r="B1000" s="987"/>
      <c r="C1000" s="987"/>
      <c r="D1000" s="987"/>
      <c r="E1000" s="987"/>
      <c r="R1000" s="988"/>
      <c r="S1000" s="988"/>
      <c r="T1000" s="988"/>
      <c r="U1000" s="988"/>
      <c r="V1000" s="988"/>
      <c r="W1000" s="988"/>
      <c r="X1000" s="988"/>
      <c r="Y1000" s="988"/>
    </row>
    <row r="1001" spans="1:25" x14ac:dyDescent="0.2">
      <c r="A1001" s="987"/>
      <c r="B1001" s="987"/>
      <c r="C1001" s="987"/>
      <c r="D1001" s="987"/>
      <c r="E1001" s="987"/>
      <c r="R1001" s="988"/>
      <c r="S1001" s="988"/>
      <c r="T1001" s="988"/>
      <c r="U1001" s="988"/>
      <c r="V1001" s="988"/>
      <c r="W1001" s="988"/>
      <c r="X1001" s="988"/>
      <c r="Y1001" s="988"/>
    </row>
    <row r="1002" spans="1:25" x14ac:dyDescent="0.2">
      <c r="A1002" s="987"/>
      <c r="B1002" s="987"/>
      <c r="C1002" s="987"/>
      <c r="D1002" s="987"/>
      <c r="E1002" s="987"/>
      <c r="R1002" s="988"/>
      <c r="S1002" s="988"/>
      <c r="T1002" s="988"/>
      <c r="U1002" s="988"/>
      <c r="V1002" s="988"/>
      <c r="W1002" s="988"/>
      <c r="X1002" s="988"/>
      <c r="Y1002" s="988"/>
    </row>
    <row r="1003" spans="1:25" x14ac:dyDescent="0.2">
      <c r="A1003" s="987"/>
      <c r="B1003" s="987"/>
      <c r="C1003" s="987"/>
      <c r="D1003" s="987"/>
      <c r="E1003" s="987"/>
      <c r="R1003" s="988"/>
      <c r="S1003" s="988"/>
      <c r="T1003" s="988"/>
      <c r="U1003" s="988"/>
      <c r="V1003" s="988"/>
      <c r="W1003" s="988"/>
      <c r="X1003" s="988"/>
      <c r="Y1003" s="988"/>
    </row>
    <row r="1004" spans="1:25" x14ac:dyDescent="0.2">
      <c r="A1004" s="987"/>
      <c r="B1004" s="987"/>
      <c r="C1004" s="987"/>
      <c r="D1004" s="987"/>
      <c r="E1004" s="987"/>
      <c r="R1004" s="988"/>
      <c r="S1004" s="988"/>
      <c r="T1004" s="988"/>
      <c r="U1004" s="988"/>
      <c r="V1004" s="988"/>
      <c r="W1004" s="988"/>
      <c r="X1004" s="988"/>
      <c r="Y1004" s="988"/>
    </row>
    <row r="1005" spans="1:25" x14ac:dyDescent="0.2">
      <c r="A1005" s="987"/>
      <c r="B1005" s="987"/>
      <c r="C1005" s="987"/>
      <c r="D1005" s="987"/>
      <c r="E1005" s="987"/>
      <c r="R1005" s="988"/>
      <c r="S1005" s="988"/>
      <c r="T1005" s="988"/>
      <c r="U1005" s="988"/>
      <c r="V1005" s="988"/>
      <c r="W1005" s="988"/>
      <c r="X1005" s="988"/>
      <c r="Y1005" s="988"/>
    </row>
    <row r="1006" spans="1:25" x14ac:dyDescent="0.2">
      <c r="A1006" s="987"/>
      <c r="B1006" s="987"/>
      <c r="C1006" s="987"/>
      <c r="D1006" s="987"/>
      <c r="E1006" s="987"/>
      <c r="R1006" s="988"/>
      <c r="S1006" s="988"/>
      <c r="T1006" s="988"/>
      <c r="U1006" s="988"/>
      <c r="V1006" s="988"/>
      <c r="W1006" s="988"/>
      <c r="X1006" s="988"/>
      <c r="Y1006" s="988"/>
    </row>
    <row r="1007" spans="1:25" x14ac:dyDescent="0.2">
      <c r="A1007" s="987"/>
      <c r="B1007" s="987"/>
      <c r="C1007" s="987"/>
      <c r="D1007" s="987"/>
      <c r="E1007" s="987"/>
      <c r="R1007" s="988"/>
      <c r="S1007" s="988"/>
      <c r="T1007" s="988"/>
      <c r="U1007" s="988"/>
      <c r="V1007" s="988"/>
      <c r="W1007" s="988"/>
      <c r="X1007" s="988"/>
      <c r="Y1007" s="988"/>
    </row>
    <row r="1008" spans="1:25" x14ac:dyDescent="0.2">
      <c r="A1008" s="987"/>
      <c r="B1008" s="987"/>
      <c r="C1008" s="987"/>
      <c r="D1008" s="987"/>
      <c r="E1008" s="987"/>
      <c r="R1008" s="988"/>
      <c r="S1008" s="988"/>
      <c r="T1008" s="988"/>
      <c r="U1008" s="988"/>
      <c r="V1008" s="988"/>
      <c r="W1008" s="988"/>
      <c r="X1008" s="988"/>
      <c r="Y1008" s="988"/>
    </row>
    <row r="1009" spans="1:25" x14ac:dyDescent="0.2">
      <c r="A1009" s="987"/>
      <c r="B1009" s="987"/>
      <c r="C1009" s="987"/>
      <c r="D1009" s="987"/>
      <c r="E1009" s="987"/>
      <c r="R1009" s="988"/>
      <c r="S1009" s="988"/>
      <c r="T1009" s="988"/>
      <c r="U1009" s="988"/>
      <c r="V1009" s="988"/>
      <c r="W1009" s="988"/>
      <c r="X1009" s="988"/>
      <c r="Y1009" s="988"/>
    </row>
    <row r="1010" spans="1:25" x14ac:dyDescent="0.2">
      <c r="A1010" s="987"/>
      <c r="B1010" s="987"/>
      <c r="C1010" s="987"/>
      <c r="D1010" s="987"/>
      <c r="E1010" s="987"/>
      <c r="R1010" s="988"/>
      <c r="S1010" s="988"/>
      <c r="T1010" s="988"/>
      <c r="U1010" s="988"/>
      <c r="V1010" s="988"/>
      <c r="W1010" s="988"/>
      <c r="X1010" s="988"/>
      <c r="Y1010" s="988"/>
    </row>
    <row r="1011" spans="1:25" x14ac:dyDescent="0.2">
      <c r="A1011" s="987"/>
      <c r="B1011" s="987"/>
      <c r="C1011" s="987"/>
      <c r="D1011" s="987"/>
      <c r="E1011" s="987"/>
      <c r="R1011" s="988"/>
      <c r="S1011" s="988"/>
      <c r="T1011" s="988"/>
      <c r="U1011" s="988"/>
      <c r="V1011" s="988"/>
      <c r="W1011" s="988"/>
      <c r="X1011" s="988"/>
      <c r="Y1011" s="988"/>
    </row>
    <row r="1012" spans="1:25" x14ac:dyDescent="0.2">
      <c r="A1012" s="987"/>
      <c r="B1012" s="987"/>
      <c r="C1012" s="987"/>
      <c r="D1012" s="987"/>
      <c r="E1012" s="987"/>
      <c r="R1012" s="988"/>
      <c r="S1012" s="988"/>
      <c r="T1012" s="988"/>
      <c r="U1012" s="988"/>
      <c r="V1012" s="988"/>
      <c r="W1012" s="988"/>
      <c r="X1012" s="988"/>
      <c r="Y1012" s="988"/>
    </row>
    <row r="1013" spans="1:25" x14ac:dyDescent="0.2">
      <c r="A1013" s="987"/>
      <c r="B1013" s="987"/>
      <c r="C1013" s="987"/>
      <c r="D1013" s="987"/>
      <c r="E1013" s="987"/>
      <c r="R1013" s="988"/>
      <c r="S1013" s="988"/>
      <c r="T1013" s="988"/>
      <c r="U1013" s="988"/>
      <c r="V1013" s="988"/>
      <c r="W1013" s="988"/>
      <c r="X1013" s="988"/>
      <c r="Y1013" s="988"/>
    </row>
    <row r="1014" spans="1:25" x14ac:dyDescent="0.2">
      <c r="A1014" s="987"/>
      <c r="B1014" s="987"/>
      <c r="C1014" s="987"/>
      <c r="D1014" s="987"/>
      <c r="E1014" s="987"/>
      <c r="R1014" s="988"/>
      <c r="S1014" s="988"/>
      <c r="T1014" s="988"/>
      <c r="U1014" s="988"/>
      <c r="V1014" s="988"/>
      <c r="W1014" s="988"/>
      <c r="X1014" s="988"/>
      <c r="Y1014" s="988"/>
    </row>
    <row r="1015" spans="1:25" x14ac:dyDescent="0.2">
      <c r="A1015" s="987"/>
      <c r="B1015" s="987"/>
      <c r="C1015" s="987"/>
      <c r="D1015" s="987"/>
      <c r="E1015" s="987"/>
      <c r="R1015" s="988"/>
      <c r="S1015" s="988"/>
      <c r="T1015" s="988"/>
      <c r="U1015" s="988"/>
      <c r="V1015" s="988"/>
      <c r="W1015" s="988"/>
      <c r="X1015" s="988"/>
      <c r="Y1015" s="988"/>
    </row>
    <row r="1016" spans="1:25" x14ac:dyDescent="0.2">
      <c r="A1016" s="987"/>
      <c r="B1016" s="987"/>
      <c r="C1016" s="987"/>
      <c r="D1016" s="987"/>
      <c r="E1016" s="987"/>
      <c r="R1016" s="988"/>
      <c r="S1016" s="988"/>
      <c r="T1016" s="988"/>
      <c r="U1016" s="988"/>
      <c r="V1016" s="988"/>
      <c r="W1016" s="988"/>
      <c r="X1016" s="988"/>
      <c r="Y1016" s="988"/>
    </row>
    <row r="1017" spans="1:25" x14ac:dyDescent="0.2">
      <c r="A1017" s="987"/>
      <c r="B1017" s="987"/>
      <c r="C1017" s="987"/>
      <c r="D1017" s="987"/>
      <c r="E1017" s="987"/>
      <c r="R1017" s="988"/>
      <c r="S1017" s="988"/>
      <c r="T1017" s="988"/>
      <c r="U1017" s="988"/>
      <c r="V1017" s="988"/>
      <c r="W1017" s="988"/>
      <c r="X1017" s="988"/>
      <c r="Y1017" s="988"/>
    </row>
    <row r="1018" spans="1:25" x14ac:dyDescent="0.2">
      <c r="A1018" s="987"/>
      <c r="B1018" s="987"/>
      <c r="C1018" s="987"/>
      <c r="D1018" s="987"/>
      <c r="E1018" s="987"/>
      <c r="R1018" s="988"/>
      <c r="S1018" s="988"/>
      <c r="T1018" s="988"/>
      <c r="U1018" s="988"/>
      <c r="V1018" s="988"/>
      <c r="W1018" s="988"/>
      <c r="X1018" s="988"/>
      <c r="Y1018" s="988"/>
    </row>
    <row r="1019" spans="1:25" x14ac:dyDescent="0.2">
      <c r="A1019" s="987"/>
      <c r="B1019" s="987"/>
      <c r="C1019" s="987"/>
      <c r="D1019" s="987"/>
      <c r="E1019" s="987"/>
      <c r="R1019" s="988"/>
      <c r="S1019" s="988"/>
      <c r="T1019" s="988"/>
      <c r="U1019" s="988"/>
      <c r="V1019" s="988"/>
      <c r="W1019" s="988"/>
      <c r="X1019" s="988"/>
      <c r="Y1019" s="988"/>
    </row>
    <row r="1020" spans="1:25" x14ac:dyDescent="0.2">
      <c r="A1020" s="987"/>
      <c r="B1020" s="987"/>
      <c r="C1020" s="987"/>
      <c r="D1020" s="987"/>
      <c r="E1020" s="987"/>
      <c r="R1020" s="988"/>
      <c r="S1020" s="988"/>
      <c r="T1020" s="988"/>
      <c r="U1020" s="988"/>
      <c r="V1020" s="988"/>
      <c r="W1020" s="988"/>
      <c r="X1020" s="988"/>
      <c r="Y1020" s="988"/>
    </row>
    <row r="1021" spans="1:25" x14ac:dyDescent="0.2">
      <c r="A1021" s="987"/>
      <c r="B1021" s="987"/>
      <c r="C1021" s="987"/>
      <c r="D1021" s="987"/>
      <c r="E1021" s="987"/>
      <c r="R1021" s="988"/>
      <c r="S1021" s="988"/>
      <c r="T1021" s="988"/>
      <c r="U1021" s="988"/>
      <c r="V1021" s="988"/>
      <c r="W1021" s="988"/>
      <c r="X1021" s="988"/>
      <c r="Y1021" s="988"/>
    </row>
    <row r="1022" spans="1:25" x14ac:dyDescent="0.2">
      <c r="A1022" s="987"/>
      <c r="B1022" s="987"/>
      <c r="C1022" s="987"/>
      <c r="D1022" s="987"/>
      <c r="E1022" s="987"/>
      <c r="R1022" s="988"/>
      <c r="S1022" s="988"/>
      <c r="T1022" s="988"/>
      <c r="U1022" s="988"/>
      <c r="V1022" s="988"/>
      <c r="W1022" s="988"/>
      <c r="X1022" s="988"/>
      <c r="Y1022" s="988"/>
    </row>
    <row r="1023" spans="1:25" x14ac:dyDescent="0.2">
      <c r="A1023" s="987"/>
      <c r="B1023" s="987"/>
      <c r="C1023" s="987"/>
      <c r="D1023" s="987"/>
      <c r="E1023" s="987"/>
      <c r="R1023" s="988"/>
      <c r="S1023" s="988"/>
      <c r="T1023" s="988"/>
      <c r="U1023" s="988"/>
      <c r="V1023" s="988"/>
      <c r="W1023" s="988"/>
      <c r="X1023" s="988"/>
      <c r="Y1023" s="988"/>
    </row>
    <row r="1024" spans="1:25" x14ac:dyDescent="0.2">
      <c r="A1024" s="987"/>
      <c r="B1024" s="987"/>
      <c r="C1024" s="987"/>
      <c r="D1024" s="987"/>
      <c r="E1024" s="987"/>
      <c r="R1024" s="988"/>
      <c r="S1024" s="988"/>
      <c r="T1024" s="988"/>
      <c r="U1024" s="988"/>
      <c r="V1024" s="988"/>
      <c r="W1024" s="988"/>
      <c r="X1024" s="988"/>
      <c r="Y1024" s="988"/>
    </row>
    <row r="1025" spans="1:25" x14ac:dyDescent="0.2">
      <c r="A1025" s="987"/>
      <c r="B1025" s="987"/>
      <c r="C1025" s="987"/>
      <c r="D1025" s="987"/>
      <c r="E1025" s="987"/>
      <c r="R1025" s="988"/>
      <c r="S1025" s="988"/>
      <c r="T1025" s="988"/>
      <c r="U1025" s="988"/>
      <c r="V1025" s="988"/>
      <c r="W1025" s="988"/>
      <c r="X1025" s="988"/>
      <c r="Y1025" s="988"/>
    </row>
    <row r="1026" spans="1:25" x14ac:dyDescent="0.2">
      <c r="A1026" s="987"/>
      <c r="B1026" s="987"/>
      <c r="C1026" s="987"/>
      <c r="D1026" s="987"/>
      <c r="E1026" s="987"/>
      <c r="R1026" s="988"/>
      <c r="S1026" s="988"/>
      <c r="T1026" s="988"/>
      <c r="U1026" s="988"/>
      <c r="V1026" s="988"/>
      <c r="W1026" s="988"/>
      <c r="X1026" s="988"/>
      <c r="Y1026" s="988"/>
    </row>
    <row r="1027" spans="1:25" x14ac:dyDescent="0.2">
      <c r="A1027" s="987"/>
      <c r="B1027" s="987"/>
      <c r="C1027" s="987"/>
      <c r="D1027" s="987"/>
      <c r="E1027" s="987"/>
      <c r="R1027" s="988"/>
      <c r="S1027" s="988"/>
      <c r="T1027" s="988"/>
      <c r="U1027" s="988"/>
      <c r="V1027" s="988"/>
      <c r="W1027" s="988"/>
      <c r="X1027" s="988"/>
      <c r="Y1027" s="988"/>
    </row>
    <row r="1028" spans="1:25" x14ac:dyDescent="0.2">
      <c r="A1028" s="987"/>
      <c r="B1028" s="987"/>
      <c r="C1028" s="987"/>
      <c r="D1028" s="987"/>
      <c r="E1028" s="987"/>
      <c r="R1028" s="988"/>
      <c r="S1028" s="988"/>
      <c r="T1028" s="988"/>
      <c r="U1028" s="988"/>
      <c r="V1028" s="988"/>
      <c r="W1028" s="988"/>
      <c r="X1028" s="988"/>
      <c r="Y1028" s="988"/>
    </row>
    <row r="1029" spans="1:25" x14ac:dyDescent="0.2">
      <c r="A1029" s="987"/>
      <c r="B1029" s="987"/>
      <c r="C1029" s="987"/>
      <c r="D1029" s="987"/>
      <c r="E1029" s="987"/>
      <c r="R1029" s="988"/>
      <c r="S1029" s="988"/>
      <c r="T1029" s="988"/>
      <c r="U1029" s="988"/>
      <c r="V1029" s="988"/>
      <c r="W1029" s="988"/>
      <c r="X1029" s="988"/>
      <c r="Y1029" s="988"/>
    </row>
    <row r="1030" spans="1:25" x14ac:dyDescent="0.2">
      <c r="A1030" s="987"/>
      <c r="B1030" s="987"/>
      <c r="C1030" s="987"/>
      <c r="D1030" s="987"/>
      <c r="E1030" s="987"/>
      <c r="R1030" s="988"/>
      <c r="S1030" s="988"/>
      <c r="T1030" s="988"/>
      <c r="U1030" s="988"/>
      <c r="V1030" s="988"/>
      <c r="W1030" s="988"/>
      <c r="X1030" s="988"/>
      <c r="Y1030" s="988"/>
    </row>
    <row r="1031" spans="1:25" x14ac:dyDescent="0.2">
      <c r="A1031" s="987"/>
      <c r="B1031" s="987"/>
      <c r="C1031" s="987"/>
      <c r="D1031" s="987"/>
      <c r="E1031" s="987"/>
      <c r="R1031" s="988"/>
      <c r="S1031" s="988"/>
      <c r="T1031" s="988"/>
      <c r="U1031" s="988"/>
      <c r="V1031" s="988"/>
      <c r="W1031" s="988"/>
      <c r="X1031" s="988"/>
      <c r="Y1031" s="988"/>
    </row>
    <row r="1032" spans="1:25" x14ac:dyDescent="0.2">
      <c r="A1032" s="987"/>
      <c r="B1032" s="987"/>
      <c r="C1032" s="987"/>
      <c r="D1032" s="987"/>
      <c r="E1032" s="987"/>
      <c r="R1032" s="988"/>
      <c r="S1032" s="988"/>
      <c r="T1032" s="988"/>
      <c r="U1032" s="988"/>
      <c r="V1032" s="988"/>
      <c r="W1032" s="988"/>
      <c r="X1032" s="988"/>
      <c r="Y1032" s="988"/>
    </row>
    <row r="1033" spans="1:25" x14ac:dyDescent="0.2">
      <c r="A1033" s="987"/>
      <c r="B1033" s="987"/>
      <c r="C1033" s="987"/>
      <c r="D1033" s="987"/>
      <c r="E1033" s="987"/>
      <c r="R1033" s="988"/>
      <c r="S1033" s="988"/>
      <c r="T1033" s="988"/>
      <c r="U1033" s="988"/>
      <c r="V1033" s="988"/>
      <c r="W1033" s="988"/>
      <c r="X1033" s="988"/>
      <c r="Y1033" s="988"/>
    </row>
    <row r="1034" spans="1:25" x14ac:dyDescent="0.2">
      <c r="A1034" s="987"/>
      <c r="B1034" s="987"/>
      <c r="C1034" s="987"/>
      <c r="D1034" s="987"/>
      <c r="E1034" s="987"/>
      <c r="R1034" s="988"/>
      <c r="S1034" s="988"/>
      <c r="T1034" s="988"/>
      <c r="U1034" s="988"/>
      <c r="V1034" s="988"/>
      <c r="W1034" s="988"/>
      <c r="X1034" s="988"/>
      <c r="Y1034" s="988"/>
    </row>
    <row r="1035" spans="1:25" x14ac:dyDescent="0.2">
      <c r="A1035" s="987"/>
      <c r="B1035" s="987"/>
      <c r="C1035" s="987"/>
      <c r="D1035" s="987"/>
      <c r="E1035" s="987"/>
      <c r="R1035" s="988"/>
      <c r="S1035" s="988"/>
      <c r="T1035" s="988"/>
      <c r="U1035" s="988"/>
      <c r="V1035" s="988"/>
      <c r="W1035" s="988"/>
      <c r="X1035" s="988"/>
      <c r="Y1035" s="988"/>
    </row>
    <row r="1036" spans="1:25" x14ac:dyDescent="0.2">
      <c r="A1036" s="987"/>
      <c r="B1036" s="987"/>
      <c r="C1036" s="987"/>
      <c r="D1036" s="987"/>
      <c r="E1036" s="987"/>
      <c r="R1036" s="988"/>
      <c r="S1036" s="988"/>
      <c r="T1036" s="988"/>
      <c r="U1036" s="988"/>
      <c r="V1036" s="988"/>
      <c r="W1036" s="988"/>
      <c r="X1036" s="988"/>
      <c r="Y1036" s="988"/>
    </row>
    <row r="1037" spans="1:25" x14ac:dyDescent="0.2">
      <c r="A1037" s="987"/>
      <c r="B1037" s="987"/>
      <c r="C1037" s="987"/>
      <c r="D1037" s="987"/>
      <c r="E1037" s="987"/>
      <c r="R1037" s="988"/>
      <c r="S1037" s="988"/>
      <c r="T1037" s="988"/>
      <c r="U1037" s="988"/>
      <c r="V1037" s="988"/>
      <c r="W1037" s="988"/>
      <c r="X1037" s="988"/>
      <c r="Y1037" s="988"/>
    </row>
    <row r="1038" spans="1:25" x14ac:dyDescent="0.2">
      <c r="A1038" s="987"/>
      <c r="B1038" s="987"/>
      <c r="C1038" s="987"/>
      <c r="D1038" s="987"/>
      <c r="E1038" s="987"/>
      <c r="R1038" s="988"/>
      <c r="S1038" s="988"/>
      <c r="T1038" s="988"/>
      <c r="U1038" s="988"/>
      <c r="V1038" s="988"/>
      <c r="W1038" s="988"/>
      <c r="X1038" s="988"/>
      <c r="Y1038" s="988"/>
    </row>
    <row r="1039" spans="1:25" x14ac:dyDescent="0.2">
      <c r="A1039" s="987"/>
      <c r="B1039" s="987"/>
      <c r="C1039" s="987"/>
      <c r="D1039" s="987"/>
      <c r="E1039" s="987"/>
      <c r="R1039" s="988"/>
      <c r="S1039" s="988"/>
      <c r="T1039" s="988"/>
      <c r="U1039" s="988"/>
      <c r="V1039" s="988"/>
      <c r="W1039" s="988"/>
      <c r="X1039" s="988"/>
      <c r="Y1039" s="988"/>
    </row>
    <row r="1040" spans="1:25" x14ac:dyDescent="0.2">
      <c r="A1040" s="987"/>
      <c r="B1040" s="987"/>
      <c r="C1040" s="987"/>
      <c r="D1040" s="987"/>
      <c r="E1040" s="987"/>
      <c r="R1040" s="988"/>
      <c r="S1040" s="988"/>
      <c r="T1040" s="988"/>
      <c r="U1040" s="988"/>
      <c r="V1040" s="988"/>
      <c r="W1040" s="988"/>
      <c r="X1040" s="988"/>
      <c r="Y1040" s="988"/>
    </row>
    <row r="1041" spans="1:25" x14ac:dyDescent="0.2">
      <c r="A1041" s="987"/>
      <c r="B1041" s="987"/>
      <c r="C1041" s="987"/>
      <c r="D1041" s="987"/>
      <c r="E1041" s="987"/>
      <c r="R1041" s="988"/>
      <c r="S1041" s="988"/>
      <c r="T1041" s="988"/>
      <c r="U1041" s="988"/>
      <c r="V1041" s="988"/>
      <c r="W1041" s="988"/>
      <c r="X1041" s="988"/>
      <c r="Y1041" s="988"/>
    </row>
    <row r="1042" spans="1:25" x14ac:dyDescent="0.2">
      <c r="A1042" s="987"/>
      <c r="B1042" s="987"/>
      <c r="C1042" s="987"/>
      <c r="D1042" s="987"/>
      <c r="E1042" s="987"/>
      <c r="R1042" s="988"/>
      <c r="S1042" s="988"/>
      <c r="T1042" s="988"/>
      <c r="U1042" s="988"/>
      <c r="V1042" s="988"/>
      <c r="W1042" s="988"/>
      <c r="X1042" s="988"/>
      <c r="Y1042" s="988"/>
    </row>
    <row r="1043" spans="1:25" x14ac:dyDescent="0.2">
      <c r="A1043" s="987"/>
      <c r="B1043" s="987"/>
      <c r="C1043" s="987"/>
      <c r="D1043" s="987"/>
      <c r="E1043" s="987"/>
      <c r="R1043" s="988"/>
      <c r="S1043" s="988"/>
      <c r="T1043" s="988"/>
      <c r="U1043" s="988"/>
      <c r="V1043" s="988"/>
      <c r="W1043" s="988"/>
      <c r="X1043" s="988"/>
      <c r="Y1043" s="988"/>
    </row>
    <row r="1044" spans="1:25" x14ac:dyDescent="0.2">
      <c r="A1044" s="987"/>
      <c r="B1044" s="987"/>
      <c r="C1044" s="987"/>
      <c r="D1044" s="987"/>
      <c r="E1044" s="987"/>
      <c r="R1044" s="988"/>
      <c r="S1044" s="988"/>
      <c r="T1044" s="988"/>
      <c r="U1044" s="988"/>
      <c r="V1044" s="988"/>
      <c r="W1044" s="988"/>
      <c r="X1044" s="988"/>
      <c r="Y1044" s="988"/>
    </row>
    <row r="1045" spans="1:25" x14ac:dyDescent="0.2">
      <c r="A1045" s="987"/>
      <c r="B1045" s="987"/>
      <c r="C1045" s="987"/>
      <c r="D1045" s="987"/>
      <c r="E1045" s="987"/>
      <c r="R1045" s="988"/>
      <c r="S1045" s="988"/>
      <c r="T1045" s="988"/>
      <c r="U1045" s="988"/>
      <c r="V1045" s="988"/>
      <c r="W1045" s="988"/>
      <c r="X1045" s="988"/>
      <c r="Y1045" s="988"/>
    </row>
    <row r="1046" spans="1:25" x14ac:dyDescent="0.2">
      <c r="A1046" s="987"/>
      <c r="B1046" s="987"/>
      <c r="C1046" s="987"/>
      <c r="D1046" s="987"/>
      <c r="E1046" s="987"/>
      <c r="R1046" s="988"/>
      <c r="S1046" s="988"/>
      <c r="T1046" s="988"/>
      <c r="U1046" s="988"/>
      <c r="V1046" s="988"/>
      <c r="W1046" s="988"/>
      <c r="X1046" s="988"/>
      <c r="Y1046" s="988"/>
    </row>
    <row r="1047" spans="1:25" x14ac:dyDescent="0.2">
      <c r="A1047" s="987"/>
      <c r="B1047" s="987"/>
      <c r="C1047" s="987"/>
      <c r="D1047" s="987"/>
      <c r="E1047" s="987"/>
      <c r="R1047" s="988"/>
      <c r="S1047" s="988"/>
      <c r="T1047" s="988"/>
      <c r="U1047" s="988"/>
      <c r="V1047" s="988"/>
      <c r="W1047" s="988"/>
      <c r="X1047" s="988"/>
      <c r="Y1047" s="988"/>
    </row>
    <row r="1048" spans="1:25" x14ac:dyDescent="0.2">
      <c r="A1048" s="987"/>
      <c r="B1048" s="987"/>
      <c r="C1048" s="987"/>
      <c r="D1048" s="987"/>
      <c r="E1048" s="987"/>
      <c r="R1048" s="988"/>
      <c r="S1048" s="988"/>
      <c r="T1048" s="988"/>
      <c r="U1048" s="988"/>
      <c r="V1048" s="988"/>
      <c r="W1048" s="988"/>
      <c r="X1048" s="988"/>
      <c r="Y1048" s="988"/>
    </row>
    <row r="1049" spans="1:25" x14ac:dyDescent="0.2">
      <c r="A1049" s="987"/>
      <c r="B1049" s="987"/>
      <c r="C1049" s="987"/>
      <c r="D1049" s="987"/>
      <c r="E1049" s="987"/>
      <c r="R1049" s="988"/>
      <c r="S1049" s="988"/>
      <c r="T1049" s="988"/>
      <c r="U1049" s="988"/>
      <c r="V1049" s="988"/>
      <c r="W1049" s="988"/>
      <c r="X1049" s="988"/>
      <c r="Y1049" s="988"/>
    </row>
    <row r="1050" spans="1:25" x14ac:dyDescent="0.2">
      <c r="A1050" s="987"/>
      <c r="B1050" s="987"/>
      <c r="C1050" s="987"/>
      <c r="D1050" s="987"/>
      <c r="E1050" s="987"/>
      <c r="R1050" s="988"/>
      <c r="S1050" s="988"/>
      <c r="T1050" s="988"/>
      <c r="U1050" s="988"/>
      <c r="V1050" s="988"/>
      <c r="W1050" s="988"/>
      <c r="X1050" s="988"/>
      <c r="Y1050" s="988"/>
    </row>
    <row r="1051" spans="1:25" x14ac:dyDescent="0.2">
      <c r="A1051" s="987"/>
      <c r="B1051" s="987"/>
      <c r="C1051" s="987"/>
      <c r="D1051" s="987"/>
      <c r="E1051" s="987"/>
      <c r="R1051" s="988"/>
      <c r="S1051" s="988"/>
      <c r="T1051" s="988"/>
      <c r="U1051" s="988"/>
      <c r="V1051" s="988"/>
      <c r="W1051" s="988"/>
      <c r="X1051" s="988"/>
      <c r="Y1051" s="988"/>
    </row>
    <row r="1052" spans="1:25" x14ac:dyDescent="0.2">
      <c r="A1052" s="987"/>
      <c r="B1052" s="987"/>
      <c r="C1052" s="987"/>
      <c r="D1052" s="987"/>
      <c r="E1052" s="987"/>
      <c r="R1052" s="988"/>
      <c r="S1052" s="988"/>
      <c r="T1052" s="988"/>
      <c r="U1052" s="988"/>
      <c r="V1052" s="988"/>
      <c r="W1052" s="988"/>
      <c r="X1052" s="988"/>
      <c r="Y1052" s="988"/>
    </row>
    <row r="1053" spans="1:25" x14ac:dyDescent="0.2">
      <c r="A1053" s="987"/>
      <c r="B1053" s="987"/>
      <c r="C1053" s="987"/>
      <c r="D1053" s="987"/>
      <c r="E1053" s="987"/>
      <c r="R1053" s="988"/>
      <c r="S1053" s="988"/>
      <c r="T1053" s="988"/>
      <c r="U1053" s="988"/>
      <c r="V1053" s="988"/>
      <c r="W1053" s="988"/>
      <c r="X1053" s="988"/>
      <c r="Y1053" s="988"/>
    </row>
    <row r="1054" spans="1:25" x14ac:dyDescent="0.2">
      <c r="A1054" s="987"/>
      <c r="B1054" s="987"/>
      <c r="C1054" s="987"/>
      <c r="D1054" s="987"/>
      <c r="E1054" s="987"/>
      <c r="R1054" s="988"/>
      <c r="S1054" s="988"/>
      <c r="T1054" s="988"/>
      <c r="U1054" s="988"/>
      <c r="V1054" s="988"/>
      <c r="W1054" s="988"/>
      <c r="X1054" s="988"/>
      <c r="Y1054" s="988"/>
    </row>
    <row r="1055" spans="1:25" x14ac:dyDescent="0.2">
      <c r="A1055" s="987"/>
      <c r="B1055" s="987"/>
      <c r="C1055" s="987"/>
      <c r="D1055" s="987"/>
      <c r="E1055" s="987"/>
      <c r="R1055" s="988"/>
      <c r="S1055" s="988"/>
      <c r="T1055" s="988"/>
      <c r="U1055" s="988"/>
      <c r="V1055" s="988"/>
      <c r="W1055" s="988"/>
      <c r="X1055" s="988"/>
      <c r="Y1055" s="988"/>
    </row>
    <row r="1056" spans="1:25" x14ac:dyDescent="0.2">
      <c r="A1056" s="987"/>
      <c r="B1056" s="987"/>
      <c r="C1056" s="987"/>
      <c r="D1056" s="987"/>
      <c r="E1056" s="987"/>
      <c r="R1056" s="988"/>
      <c r="S1056" s="988"/>
      <c r="T1056" s="988"/>
      <c r="U1056" s="988"/>
      <c r="V1056" s="988"/>
      <c r="W1056" s="988"/>
      <c r="X1056" s="988"/>
      <c r="Y1056" s="988"/>
    </row>
    <row r="1057" spans="1:25" x14ac:dyDescent="0.2">
      <c r="A1057" s="987"/>
      <c r="B1057" s="987"/>
      <c r="C1057" s="987"/>
      <c r="D1057" s="987"/>
      <c r="E1057" s="987"/>
      <c r="R1057" s="988"/>
      <c r="S1057" s="988"/>
      <c r="T1057" s="988"/>
      <c r="U1057" s="988"/>
      <c r="V1057" s="988"/>
      <c r="W1057" s="988"/>
      <c r="X1057" s="988"/>
      <c r="Y1057" s="988"/>
    </row>
    <row r="1058" spans="1:25" x14ac:dyDescent="0.2">
      <c r="A1058" s="987"/>
      <c r="B1058" s="987"/>
      <c r="C1058" s="987"/>
      <c r="D1058" s="987"/>
      <c r="E1058" s="987"/>
      <c r="R1058" s="988"/>
      <c r="S1058" s="988"/>
      <c r="T1058" s="988"/>
      <c r="U1058" s="988"/>
      <c r="V1058" s="988"/>
      <c r="W1058" s="988"/>
      <c r="X1058" s="988"/>
      <c r="Y1058" s="988"/>
    </row>
    <row r="1059" spans="1:25" x14ac:dyDescent="0.2">
      <c r="A1059" s="987"/>
      <c r="B1059" s="987"/>
      <c r="C1059" s="987"/>
      <c r="D1059" s="987"/>
      <c r="E1059" s="987"/>
      <c r="R1059" s="988"/>
      <c r="S1059" s="988"/>
      <c r="T1059" s="988"/>
      <c r="U1059" s="988"/>
      <c r="V1059" s="988"/>
      <c r="W1059" s="988"/>
      <c r="X1059" s="988"/>
      <c r="Y1059" s="988"/>
    </row>
    <row r="1060" spans="1:25" x14ac:dyDescent="0.2">
      <c r="A1060" s="987"/>
      <c r="B1060" s="987"/>
      <c r="C1060" s="987"/>
      <c r="D1060" s="987"/>
      <c r="E1060" s="987"/>
      <c r="R1060" s="988"/>
      <c r="S1060" s="988"/>
      <c r="T1060" s="988"/>
      <c r="U1060" s="988"/>
      <c r="V1060" s="988"/>
      <c r="W1060" s="988"/>
      <c r="X1060" s="988"/>
      <c r="Y1060" s="988"/>
    </row>
    <row r="1061" spans="1:25" x14ac:dyDescent="0.2">
      <c r="A1061" s="987"/>
      <c r="B1061" s="987"/>
      <c r="C1061" s="987"/>
      <c r="D1061" s="987"/>
      <c r="E1061" s="987"/>
      <c r="R1061" s="988"/>
      <c r="S1061" s="988"/>
      <c r="T1061" s="988"/>
      <c r="U1061" s="988"/>
      <c r="V1061" s="988"/>
      <c r="W1061" s="988"/>
      <c r="X1061" s="988"/>
      <c r="Y1061" s="988"/>
    </row>
    <row r="1062" spans="1:25" x14ac:dyDescent="0.2">
      <c r="A1062" s="987"/>
      <c r="B1062" s="987"/>
      <c r="C1062" s="987"/>
      <c r="D1062" s="987"/>
      <c r="E1062" s="987"/>
      <c r="R1062" s="988"/>
      <c r="S1062" s="988"/>
      <c r="T1062" s="988"/>
      <c r="U1062" s="988"/>
      <c r="V1062" s="988"/>
      <c r="W1062" s="988"/>
      <c r="X1062" s="988"/>
      <c r="Y1062" s="988"/>
    </row>
    <row r="1063" spans="1:25" x14ac:dyDescent="0.2">
      <c r="A1063" s="987"/>
      <c r="B1063" s="987"/>
      <c r="C1063" s="987"/>
      <c r="D1063" s="987"/>
      <c r="E1063" s="987"/>
      <c r="R1063" s="988"/>
      <c r="S1063" s="988"/>
      <c r="T1063" s="988"/>
      <c r="U1063" s="988"/>
      <c r="V1063" s="988"/>
      <c r="W1063" s="988"/>
      <c r="X1063" s="988"/>
      <c r="Y1063" s="988"/>
    </row>
    <row r="1064" spans="1:25" x14ac:dyDescent="0.2">
      <c r="A1064" s="987"/>
      <c r="B1064" s="987"/>
      <c r="C1064" s="987"/>
      <c r="D1064" s="987"/>
      <c r="E1064" s="987"/>
      <c r="R1064" s="988"/>
      <c r="S1064" s="988"/>
      <c r="T1064" s="988"/>
      <c r="U1064" s="988"/>
      <c r="V1064" s="988"/>
      <c r="W1064" s="988"/>
      <c r="X1064" s="988"/>
      <c r="Y1064" s="988"/>
    </row>
    <row r="1065" spans="1:25" x14ac:dyDescent="0.2">
      <c r="A1065" s="987"/>
      <c r="B1065" s="987"/>
      <c r="C1065" s="987"/>
      <c r="D1065" s="987"/>
      <c r="E1065" s="987"/>
      <c r="R1065" s="988"/>
      <c r="S1065" s="988"/>
      <c r="T1065" s="988"/>
      <c r="U1065" s="988"/>
      <c r="V1065" s="988"/>
      <c r="W1065" s="988"/>
      <c r="X1065" s="988"/>
      <c r="Y1065" s="988"/>
    </row>
    <row r="1066" spans="1:25" x14ac:dyDescent="0.2">
      <c r="A1066" s="987"/>
      <c r="B1066" s="987"/>
      <c r="C1066" s="987"/>
      <c r="D1066" s="987"/>
      <c r="E1066" s="987"/>
      <c r="R1066" s="988"/>
      <c r="S1066" s="988"/>
      <c r="T1066" s="988"/>
      <c r="U1066" s="988"/>
      <c r="V1066" s="988"/>
      <c r="W1066" s="988"/>
      <c r="X1066" s="988"/>
      <c r="Y1066" s="988"/>
    </row>
    <row r="1067" spans="1:25" x14ac:dyDescent="0.2">
      <c r="A1067" s="987"/>
      <c r="B1067" s="987"/>
      <c r="C1067" s="987"/>
      <c r="D1067" s="987"/>
      <c r="E1067" s="987"/>
      <c r="R1067" s="988"/>
      <c r="S1067" s="988"/>
      <c r="T1067" s="988"/>
      <c r="U1067" s="988"/>
      <c r="V1067" s="988"/>
      <c r="W1067" s="988"/>
      <c r="X1067" s="988"/>
      <c r="Y1067" s="988"/>
    </row>
    <row r="1068" spans="1:25" x14ac:dyDescent="0.2">
      <c r="A1068" s="987"/>
      <c r="B1068" s="987"/>
      <c r="C1068" s="987"/>
      <c r="D1068" s="987"/>
      <c r="E1068" s="987"/>
      <c r="R1068" s="988"/>
      <c r="S1068" s="988"/>
      <c r="T1068" s="988"/>
      <c r="U1068" s="988"/>
      <c r="V1068" s="988"/>
      <c r="W1068" s="988"/>
      <c r="X1068" s="988"/>
      <c r="Y1068" s="988"/>
    </row>
    <row r="1069" spans="1:25" x14ac:dyDescent="0.2">
      <c r="A1069" s="987"/>
      <c r="B1069" s="987"/>
      <c r="C1069" s="987"/>
      <c r="D1069" s="987"/>
      <c r="E1069" s="987"/>
      <c r="R1069" s="988"/>
      <c r="S1069" s="988"/>
      <c r="T1069" s="988"/>
      <c r="U1069" s="988"/>
      <c r="V1069" s="988"/>
      <c r="W1069" s="988"/>
      <c r="X1069" s="988"/>
      <c r="Y1069" s="988"/>
    </row>
    <row r="1070" spans="1:25" x14ac:dyDescent="0.2">
      <c r="A1070" s="987"/>
      <c r="B1070" s="987"/>
      <c r="C1070" s="987"/>
      <c r="D1070" s="987"/>
      <c r="E1070" s="987"/>
      <c r="R1070" s="988"/>
      <c r="S1070" s="988"/>
      <c r="T1070" s="988"/>
      <c r="U1070" s="988"/>
      <c r="V1070" s="988"/>
      <c r="W1070" s="988"/>
      <c r="X1070" s="988"/>
      <c r="Y1070" s="988"/>
    </row>
    <row r="1071" spans="1:25" x14ac:dyDescent="0.2">
      <c r="A1071" s="987"/>
      <c r="B1071" s="987"/>
      <c r="C1071" s="987"/>
      <c r="D1071" s="987"/>
      <c r="E1071" s="987"/>
      <c r="R1071" s="988"/>
      <c r="S1071" s="988"/>
      <c r="T1071" s="988"/>
      <c r="U1071" s="988"/>
      <c r="V1071" s="988"/>
      <c r="W1071" s="988"/>
      <c r="X1071" s="988"/>
      <c r="Y1071" s="988"/>
    </row>
    <row r="1072" spans="1:25" x14ac:dyDescent="0.2">
      <c r="A1072" s="987"/>
      <c r="B1072" s="987"/>
      <c r="C1072" s="987"/>
      <c r="D1072" s="987"/>
      <c r="E1072" s="987"/>
      <c r="R1072" s="988"/>
      <c r="S1072" s="988"/>
      <c r="T1072" s="988"/>
      <c r="U1072" s="988"/>
      <c r="V1072" s="988"/>
      <c r="W1072" s="988"/>
      <c r="X1072" s="988"/>
      <c r="Y1072" s="988"/>
    </row>
    <row r="1073" spans="1:25" x14ac:dyDescent="0.2">
      <c r="A1073" s="987"/>
      <c r="B1073" s="987"/>
      <c r="C1073" s="987"/>
      <c r="D1073" s="987"/>
      <c r="E1073" s="987"/>
      <c r="R1073" s="988"/>
      <c r="S1073" s="988"/>
      <c r="T1073" s="988"/>
      <c r="U1073" s="988"/>
      <c r="V1073" s="988"/>
      <c r="W1073" s="988"/>
      <c r="X1073" s="988"/>
      <c r="Y1073" s="988"/>
    </row>
    <row r="1074" spans="1:25" x14ac:dyDescent="0.2">
      <c r="A1074" s="987"/>
      <c r="B1074" s="987"/>
      <c r="C1074" s="987"/>
      <c r="D1074" s="987"/>
      <c r="E1074" s="987"/>
      <c r="R1074" s="988"/>
      <c r="S1074" s="988"/>
      <c r="T1074" s="988"/>
      <c r="U1074" s="988"/>
      <c r="V1074" s="988"/>
      <c r="W1074" s="988"/>
      <c r="X1074" s="988"/>
      <c r="Y1074" s="988"/>
    </row>
    <row r="1075" spans="1:25" x14ac:dyDescent="0.2">
      <c r="A1075" s="987"/>
      <c r="B1075" s="987"/>
      <c r="C1075" s="987"/>
      <c r="D1075" s="987"/>
      <c r="E1075" s="987"/>
      <c r="R1075" s="988"/>
      <c r="S1075" s="988"/>
      <c r="T1075" s="988"/>
      <c r="U1075" s="988"/>
      <c r="V1075" s="988"/>
      <c r="W1075" s="988"/>
      <c r="X1075" s="988"/>
      <c r="Y1075" s="988"/>
    </row>
    <row r="1076" spans="1:25" x14ac:dyDescent="0.2">
      <c r="A1076" s="987"/>
      <c r="B1076" s="987"/>
      <c r="C1076" s="987"/>
      <c r="D1076" s="987"/>
      <c r="E1076" s="987"/>
      <c r="R1076" s="988"/>
      <c r="S1076" s="988"/>
      <c r="T1076" s="988"/>
      <c r="U1076" s="988"/>
      <c r="V1076" s="988"/>
      <c r="W1076" s="988"/>
      <c r="X1076" s="988"/>
      <c r="Y1076" s="988"/>
    </row>
    <row r="1077" spans="1:25" x14ac:dyDescent="0.2">
      <c r="A1077" s="987"/>
      <c r="B1077" s="987"/>
      <c r="C1077" s="987"/>
      <c r="D1077" s="987"/>
      <c r="E1077" s="987"/>
      <c r="R1077" s="988"/>
      <c r="S1077" s="988"/>
      <c r="T1077" s="988"/>
      <c r="U1077" s="988"/>
      <c r="V1077" s="988"/>
      <c r="W1077" s="988"/>
      <c r="X1077" s="988"/>
      <c r="Y1077" s="988"/>
    </row>
    <row r="1078" spans="1:25" x14ac:dyDescent="0.2">
      <c r="A1078" s="987"/>
      <c r="B1078" s="987"/>
      <c r="C1078" s="987"/>
      <c r="D1078" s="987"/>
      <c r="E1078" s="987"/>
      <c r="R1078" s="988"/>
      <c r="S1078" s="988"/>
      <c r="T1078" s="988"/>
      <c r="U1078" s="988"/>
      <c r="V1078" s="988"/>
      <c r="W1078" s="988"/>
      <c r="X1078" s="988"/>
      <c r="Y1078" s="988"/>
    </row>
    <row r="1079" spans="1:25" x14ac:dyDescent="0.2">
      <c r="A1079" s="987"/>
      <c r="B1079" s="987"/>
      <c r="C1079" s="987"/>
      <c r="D1079" s="987"/>
      <c r="E1079" s="987"/>
      <c r="R1079" s="988"/>
      <c r="S1079" s="988"/>
      <c r="T1079" s="988"/>
      <c r="U1079" s="988"/>
      <c r="V1079" s="988"/>
      <c r="W1079" s="988"/>
      <c r="X1079" s="988"/>
      <c r="Y1079" s="988"/>
    </row>
    <row r="1080" spans="1:25" x14ac:dyDescent="0.2">
      <c r="A1080" s="987"/>
      <c r="B1080" s="987"/>
      <c r="C1080" s="987"/>
      <c r="D1080" s="987"/>
      <c r="E1080" s="987"/>
      <c r="R1080" s="988"/>
      <c r="S1080" s="988"/>
      <c r="T1080" s="988"/>
      <c r="U1080" s="988"/>
      <c r="V1080" s="988"/>
      <c r="W1080" s="988"/>
      <c r="X1080" s="988"/>
      <c r="Y1080" s="988"/>
    </row>
    <row r="1081" spans="1:25" x14ac:dyDescent="0.2">
      <c r="A1081" s="987"/>
      <c r="B1081" s="987"/>
      <c r="C1081" s="987"/>
      <c r="D1081" s="987"/>
      <c r="E1081" s="987"/>
      <c r="R1081" s="988"/>
      <c r="S1081" s="988"/>
      <c r="T1081" s="988"/>
      <c r="U1081" s="988"/>
      <c r="V1081" s="988"/>
      <c r="W1081" s="988"/>
      <c r="X1081" s="988"/>
      <c r="Y1081" s="988"/>
    </row>
    <row r="1082" spans="1:25" x14ac:dyDescent="0.2">
      <c r="A1082" s="987"/>
      <c r="B1082" s="987"/>
      <c r="C1082" s="987"/>
      <c r="D1082" s="987"/>
      <c r="E1082" s="987"/>
      <c r="R1082" s="988"/>
      <c r="S1082" s="988"/>
      <c r="T1082" s="988"/>
      <c r="U1082" s="988"/>
      <c r="V1082" s="988"/>
      <c r="W1082" s="988"/>
      <c r="X1082" s="988"/>
      <c r="Y1082" s="988"/>
    </row>
    <row r="1083" spans="1:25" x14ac:dyDescent="0.2">
      <c r="A1083" s="987"/>
      <c r="B1083" s="987"/>
      <c r="C1083" s="987"/>
      <c r="D1083" s="987"/>
      <c r="E1083" s="987"/>
      <c r="R1083" s="988"/>
      <c r="S1083" s="988"/>
      <c r="T1083" s="988"/>
      <c r="U1083" s="988"/>
      <c r="V1083" s="988"/>
      <c r="W1083" s="988"/>
      <c r="X1083" s="988"/>
      <c r="Y1083" s="988"/>
    </row>
    <row r="1084" spans="1:25" x14ac:dyDescent="0.2">
      <c r="A1084" s="987"/>
      <c r="B1084" s="987"/>
      <c r="C1084" s="987"/>
      <c r="D1084" s="987"/>
      <c r="E1084" s="987"/>
      <c r="R1084" s="988"/>
      <c r="S1084" s="988"/>
      <c r="T1084" s="988"/>
      <c r="U1084" s="988"/>
      <c r="V1084" s="988"/>
      <c r="W1084" s="988"/>
      <c r="X1084" s="988"/>
      <c r="Y1084" s="988"/>
    </row>
    <row r="1085" spans="1:25" x14ac:dyDescent="0.2">
      <c r="A1085" s="987"/>
      <c r="B1085" s="987"/>
      <c r="C1085" s="987"/>
      <c r="D1085" s="987"/>
      <c r="E1085" s="987"/>
      <c r="R1085" s="988"/>
      <c r="S1085" s="988"/>
      <c r="T1085" s="988"/>
      <c r="U1085" s="988"/>
      <c r="V1085" s="988"/>
      <c r="W1085" s="988"/>
      <c r="X1085" s="988"/>
      <c r="Y1085" s="988"/>
    </row>
    <row r="1086" spans="1:25" x14ac:dyDescent="0.2">
      <c r="A1086" s="987"/>
      <c r="B1086" s="987"/>
      <c r="C1086" s="987"/>
      <c r="D1086" s="987"/>
      <c r="E1086" s="987"/>
      <c r="R1086" s="988"/>
      <c r="S1086" s="988"/>
      <c r="T1086" s="988"/>
      <c r="U1086" s="988"/>
      <c r="V1086" s="988"/>
      <c r="W1086" s="988"/>
      <c r="X1086" s="988"/>
      <c r="Y1086" s="988"/>
    </row>
    <row r="1087" spans="1:25" x14ac:dyDescent="0.2">
      <c r="A1087" s="987"/>
      <c r="B1087" s="987"/>
      <c r="C1087" s="987"/>
      <c r="D1087" s="987"/>
      <c r="E1087" s="987"/>
      <c r="R1087" s="988"/>
      <c r="S1087" s="988"/>
      <c r="T1087" s="988"/>
      <c r="U1087" s="988"/>
      <c r="V1087" s="988"/>
      <c r="W1087" s="988"/>
      <c r="X1087" s="988"/>
      <c r="Y1087" s="988"/>
    </row>
    <row r="1088" spans="1:25" x14ac:dyDescent="0.2">
      <c r="A1088" s="987"/>
      <c r="B1088" s="987"/>
      <c r="C1088" s="987"/>
      <c r="D1088" s="987"/>
      <c r="E1088" s="987"/>
      <c r="R1088" s="988"/>
      <c r="S1088" s="988"/>
      <c r="T1088" s="988"/>
      <c r="U1088" s="988"/>
      <c r="V1088" s="988"/>
      <c r="W1088" s="988"/>
      <c r="X1088" s="988"/>
      <c r="Y1088" s="988"/>
    </row>
    <row r="1089" spans="1:25" x14ac:dyDescent="0.2">
      <c r="A1089" s="987"/>
      <c r="B1089" s="987"/>
      <c r="C1089" s="987"/>
      <c r="D1089" s="987"/>
      <c r="E1089" s="987"/>
      <c r="R1089" s="988"/>
      <c r="S1089" s="988"/>
      <c r="T1089" s="988"/>
      <c r="U1089" s="988"/>
      <c r="V1089" s="988"/>
      <c r="W1089" s="988"/>
      <c r="X1089" s="988"/>
      <c r="Y1089" s="988"/>
    </row>
    <row r="1090" spans="1:25" x14ac:dyDescent="0.2">
      <c r="A1090" s="987"/>
      <c r="B1090" s="987"/>
      <c r="C1090" s="987"/>
      <c r="D1090" s="987"/>
      <c r="E1090" s="987"/>
      <c r="R1090" s="988"/>
      <c r="S1090" s="988"/>
      <c r="T1090" s="988"/>
      <c r="U1090" s="988"/>
      <c r="V1090" s="988"/>
      <c r="W1090" s="988"/>
      <c r="X1090" s="988"/>
      <c r="Y1090" s="988"/>
    </row>
    <row r="1091" spans="1:25" x14ac:dyDescent="0.2">
      <c r="A1091" s="987"/>
      <c r="B1091" s="987"/>
      <c r="C1091" s="987"/>
      <c r="D1091" s="987"/>
      <c r="E1091" s="987"/>
      <c r="R1091" s="988"/>
      <c r="S1091" s="988"/>
      <c r="T1091" s="988"/>
      <c r="U1091" s="988"/>
      <c r="V1091" s="988"/>
      <c r="W1091" s="988"/>
      <c r="X1091" s="988"/>
      <c r="Y1091" s="988"/>
    </row>
    <row r="1092" spans="1:25" x14ac:dyDescent="0.2">
      <c r="A1092" s="987"/>
      <c r="B1092" s="987"/>
      <c r="C1092" s="987"/>
      <c r="D1092" s="987"/>
      <c r="E1092" s="987"/>
      <c r="R1092" s="988"/>
      <c r="S1092" s="988"/>
      <c r="T1092" s="988"/>
      <c r="U1092" s="988"/>
      <c r="V1092" s="988"/>
      <c r="W1092" s="988"/>
      <c r="X1092" s="988"/>
      <c r="Y1092" s="988"/>
    </row>
    <row r="1093" spans="1:25" x14ac:dyDescent="0.2">
      <c r="A1093" s="987"/>
      <c r="B1093" s="987"/>
      <c r="C1093" s="987"/>
      <c r="D1093" s="987"/>
      <c r="E1093" s="987"/>
      <c r="R1093" s="988"/>
      <c r="S1093" s="988"/>
      <c r="T1093" s="988"/>
      <c r="U1093" s="988"/>
      <c r="V1093" s="988"/>
      <c r="W1093" s="988"/>
      <c r="X1093" s="988"/>
      <c r="Y1093" s="988"/>
    </row>
    <row r="1094" spans="1:25" x14ac:dyDescent="0.2">
      <c r="A1094" s="987"/>
      <c r="B1094" s="987"/>
      <c r="C1094" s="987"/>
      <c r="D1094" s="987"/>
      <c r="E1094" s="987"/>
      <c r="R1094" s="988"/>
      <c r="S1094" s="988"/>
      <c r="T1094" s="988"/>
      <c r="U1094" s="988"/>
      <c r="V1094" s="988"/>
      <c r="W1094" s="988"/>
      <c r="X1094" s="988"/>
      <c r="Y1094" s="988"/>
    </row>
    <row r="1095" spans="1:25" x14ac:dyDescent="0.2">
      <c r="A1095" s="987"/>
      <c r="B1095" s="987"/>
      <c r="C1095" s="987"/>
      <c r="D1095" s="987"/>
      <c r="E1095" s="987"/>
      <c r="R1095" s="988"/>
      <c r="S1095" s="988"/>
      <c r="T1095" s="988"/>
      <c r="U1095" s="988"/>
      <c r="V1095" s="988"/>
      <c r="W1095" s="988"/>
      <c r="X1095" s="988"/>
      <c r="Y1095" s="988"/>
    </row>
    <row r="1096" spans="1:25" x14ac:dyDescent="0.2">
      <c r="A1096" s="987"/>
      <c r="B1096" s="987"/>
      <c r="C1096" s="987"/>
      <c r="D1096" s="987"/>
      <c r="E1096" s="987"/>
      <c r="R1096" s="988"/>
      <c r="S1096" s="988"/>
      <c r="T1096" s="988"/>
      <c r="U1096" s="988"/>
      <c r="V1096" s="988"/>
      <c r="W1096" s="988"/>
      <c r="X1096" s="988"/>
      <c r="Y1096" s="988"/>
    </row>
    <row r="1097" spans="1:25" x14ac:dyDescent="0.2">
      <c r="A1097" s="987"/>
      <c r="B1097" s="987"/>
      <c r="C1097" s="987"/>
      <c r="D1097" s="987"/>
      <c r="E1097" s="987"/>
      <c r="R1097" s="988"/>
      <c r="S1097" s="988"/>
      <c r="T1097" s="988"/>
      <c r="U1097" s="988"/>
      <c r="V1097" s="988"/>
      <c r="W1097" s="988"/>
      <c r="X1097" s="988"/>
      <c r="Y1097" s="988"/>
    </row>
    <row r="1098" spans="1:25" x14ac:dyDescent="0.2">
      <c r="A1098" s="987"/>
      <c r="B1098" s="987"/>
      <c r="C1098" s="987"/>
      <c r="D1098" s="987"/>
      <c r="E1098" s="987"/>
      <c r="R1098" s="988"/>
      <c r="S1098" s="988"/>
      <c r="T1098" s="988"/>
      <c r="U1098" s="988"/>
      <c r="V1098" s="988"/>
      <c r="W1098" s="988"/>
      <c r="X1098" s="988"/>
      <c r="Y1098" s="988"/>
    </row>
    <row r="1099" spans="1:25" x14ac:dyDescent="0.2">
      <c r="A1099" s="987"/>
      <c r="B1099" s="987"/>
      <c r="C1099" s="987"/>
      <c r="D1099" s="987"/>
      <c r="E1099" s="987"/>
      <c r="R1099" s="988"/>
      <c r="S1099" s="988"/>
      <c r="T1099" s="988"/>
      <c r="U1099" s="988"/>
      <c r="V1099" s="988"/>
      <c r="W1099" s="988"/>
      <c r="X1099" s="988"/>
      <c r="Y1099" s="988"/>
    </row>
    <row r="1100" spans="1:25" x14ac:dyDescent="0.2">
      <c r="A1100" s="987"/>
      <c r="B1100" s="987"/>
      <c r="C1100" s="987"/>
      <c r="D1100" s="987"/>
      <c r="E1100" s="987"/>
      <c r="R1100" s="988"/>
      <c r="S1100" s="988"/>
      <c r="T1100" s="988"/>
      <c r="U1100" s="988"/>
      <c r="V1100" s="988"/>
      <c r="W1100" s="988"/>
      <c r="X1100" s="988"/>
      <c r="Y1100" s="988"/>
    </row>
    <row r="1101" spans="1:25" x14ac:dyDescent="0.2">
      <c r="A1101" s="987"/>
      <c r="B1101" s="987"/>
      <c r="C1101" s="987"/>
      <c r="D1101" s="987"/>
      <c r="E1101" s="987"/>
      <c r="R1101" s="988"/>
      <c r="S1101" s="988"/>
      <c r="T1101" s="988"/>
      <c r="U1101" s="988"/>
      <c r="V1101" s="988"/>
      <c r="W1101" s="988"/>
      <c r="X1101" s="988"/>
      <c r="Y1101" s="988"/>
    </row>
    <row r="1102" spans="1:25" x14ac:dyDescent="0.2">
      <c r="A1102" s="987"/>
      <c r="B1102" s="987"/>
      <c r="C1102" s="987"/>
      <c r="D1102" s="987"/>
      <c r="E1102" s="987"/>
      <c r="R1102" s="988"/>
      <c r="S1102" s="988"/>
      <c r="T1102" s="988"/>
      <c r="U1102" s="988"/>
      <c r="V1102" s="988"/>
      <c r="W1102" s="988"/>
      <c r="X1102" s="988"/>
      <c r="Y1102" s="988"/>
    </row>
    <row r="1103" spans="1:25" x14ac:dyDescent="0.2">
      <c r="A1103" s="987"/>
      <c r="B1103" s="987"/>
      <c r="C1103" s="987"/>
      <c r="D1103" s="987"/>
      <c r="E1103" s="987"/>
      <c r="R1103" s="988"/>
      <c r="S1103" s="988"/>
      <c r="T1103" s="988"/>
      <c r="U1103" s="988"/>
      <c r="V1103" s="988"/>
      <c r="W1103" s="988"/>
      <c r="X1103" s="988"/>
      <c r="Y1103" s="988"/>
    </row>
    <row r="1104" spans="1:25" x14ac:dyDescent="0.2">
      <c r="A1104" s="987"/>
      <c r="B1104" s="987"/>
      <c r="C1104" s="987"/>
      <c r="D1104" s="987"/>
      <c r="E1104" s="987"/>
      <c r="R1104" s="988"/>
      <c r="S1104" s="988"/>
      <c r="T1104" s="988"/>
      <c r="U1104" s="988"/>
      <c r="V1104" s="988"/>
      <c r="W1104" s="988"/>
      <c r="X1104" s="988"/>
      <c r="Y1104" s="988"/>
    </row>
    <row r="1105" spans="1:25" x14ac:dyDescent="0.2">
      <c r="A1105" s="987"/>
      <c r="B1105" s="987"/>
      <c r="C1105" s="987"/>
      <c r="D1105" s="987"/>
      <c r="E1105" s="987"/>
      <c r="R1105" s="988"/>
      <c r="S1105" s="988"/>
      <c r="T1105" s="988"/>
      <c r="U1105" s="988"/>
      <c r="V1105" s="988"/>
      <c r="W1105" s="988"/>
      <c r="X1105" s="988"/>
      <c r="Y1105" s="988"/>
    </row>
    <row r="1106" spans="1:25" x14ac:dyDescent="0.2">
      <c r="A1106" s="987"/>
      <c r="B1106" s="987"/>
      <c r="C1106" s="987"/>
      <c r="D1106" s="987"/>
      <c r="E1106" s="987"/>
      <c r="R1106" s="988"/>
      <c r="S1106" s="988"/>
      <c r="T1106" s="988"/>
      <c r="U1106" s="988"/>
      <c r="V1106" s="988"/>
      <c r="W1106" s="988"/>
      <c r="X1106" s="988"/>
      <c r="Y1106" s="988"/>
    </row>
    <row r="1107" spans="1:25" x14ac:dyDescent="0.2">
      <c r="A1107" s="987"/>
      <c r="B1107" s="987"/>
      <c r="C1107" s="987"/>
      <c r="D1107" s="987"/>
      <c r="E1107" s="987"/>
      <c r="R1107" s="988"/>
      <c r="S1107" s="988"/>
      <c r="T1107" s="988"/>
      <c r="U1107" s="988"/>
      <c r="V1107" s="988"/>
      <c r="W1107" s="988"/>
      <c r="X1107" s="988"/>
      <c r="Y1107" s="988"/>
    </row>
    <row r="1108" spans="1:25" x14ac:dyDescent="0.2">
      <c r="A1108" s="987"/>
      <c r="B1108" s="987"/>
      <c r="C1108" s="987"/>
      <c r="D1108" s="987"/>
      <c r="E1108" s="987"/>
      <c r="R1108" s="988"/>
      <c r="S1108" s="988"/>
      <c r="T1108" s="988"/>
      <c r="U1108" s="988"/>
      <c r="V1108" s="988"/>
      <c r="W1108" s="988"/>
      <c r="X1108" s="988"/>
      <c r="Y1108" s="988"/>
    </row>
    <row r="1109" spans="1:25" x14ac:dyDescent="0.2">
      <c r="A1109" s="987"/>
      <c r="B1109" s="987"/>
      <c r="C1109" s="987"/>
      <c r="D1109" s="987"/>
      <c r="E1109" s="987"/>
      <c r="R1109" s="988"/>
      <c r="S1109" s="988"/>
      <c r="T1109" s="988"/>
      <c r="U1109" s="988"/>
      <c r="V1109" s="988"/>
      <c r="W1109" s="988"/>
      <c r="X1109" s="988"/>
      <c r="Y1109" s="988"/>
    </row>
    <row r="1110" spans="1:25" x14ac:dyDescent="0.2">
      <c r="A1110" s="987"/>
      <c r="B1110" s="987"/>
      <c r="C1110" s="987"/>
      <c r="D1110" s="987"/>
      <c r="E1110" s="987"/>
      <c r="R1110" s="988"/>
      <c r="S1110" s="988"/>
      <c r="T1110" s="988"/>
      <c r="U1110" s="988"/>
      <c r="V1110" s="988"/>
      <c r="W1110" s="988"/>
      <c r="X1110" s="988"/>
      <c r="Y1110" s="988"/>
    </row>
    <row r="1111" spans="1:25" x14ac:dyDescent="0.2">
      <c r="A1111" s="987"/>
      <c r="B1111" s="987"/>
      <c r="C1111" s="987"/>
      <c r="D1111" s="987"/>
      <c r="E1111" s="987"/>
      <c r="R1111" s="988"/>
      <c r="S1111" s="988"/>
      <c r="T1111" s="988"/>
      <c r="U1111" s="988"/>
      <c r="V1111" s="988"/>
      <c r="W1111" s="988"/>
      <c r="X1111" s="988"/>
      <c r="Y1111" s="988"/>
    </row>
    <row r="1112" spans="1:25" x14ac:dyDescent="0.2">
      <c r="A1112" s="987"/>
      <c r="B1112" s="987"/>
      <c r="C1112" s="987"/>
      <c r="D1112" s="987"/>
      <c r="E1112" s="987"/>
      <c r="R1112" s="988"/>
      <c r="S1112" s="988"/>
      <c r="T1112" s="988"/>
      <c r="U1112" s="988"/>
      <c r="V1112" s="988"/>
      <c r="W1112" s="988"/>
      <c r="X1112" s="988"/>
      <c r="Y1112" s="988"/>
    </row>
    <row r="1113" spans="1:25" x14ac:dyDescent="0.2">
      <c r="A1113" s="987"/>
      <c r="B1113" s="987"/>
      <c r="C1113" s="987"/>
      <c r="D1113" s="987"/>
      <c r="E1113" s="987"/>
      <c r="R1113" s="988"/>
      <c r="S1113" s="988"/>
      <c r="T1113" s="988"/>
      <c r="U1113" s="988"/>
      <c r="V1113" s="988"/>
      <c r="W1113" s="988"/>
      <c r="X1113" s="988"/>
      <c r="Y1113" s="988"/>
    </row>
    <row r="1114" spans="1:25" x14ac:dyDescent="0.2">
      <c r="A1114" s="987"/>
      <c r="B1114" s="987"/>
      <c r="C1114" s="987"/>
      <c r="D1114" s="987"/>
      <c r="E1114" s="987"/>
      <c r="R1114" s="988"/>
      <c r="S1114" s="988"/>
      <c r="T1114" s="988"/>
      <c r="U1114" s="988"/>
      <c r="V1114" s="988"/>
      <c r="W1114" s="988"/>
      <c r="X1114" s="988"/>
      <c r="Y1114" s="988"/>
    </row>
    <row r="1115" spans="1:25" x14ac:dyDescent="0.2">
      <c r="A1115" s="987"/>
      <c r="B1115" s="987"/>
      <c r="C1115" s="987"/>
      <c r="D1115" s="987"/>
      <c r="E1115" s="987"/>
      <c r="R1115" s="988"/>
      <c r="S1115" s="988"/>
      <c r="T1115" s="988"/>
      <c r="U1115" s="988"/>
      <c r="V1115" s="988"/>
      <c r="W1115" s="988"/>
      <c r="X1115" s="988"/>
      <c r="Y1115" s="988"/>
    </row>
    <row r="1116" spans="1:25" x14ac:dyDescent="0.2">
      <c r="A1116" s="987"/>
      <c r="B1116" s="987"/>
      <c r="C1116" s="987"/>
      <c r="D1116" s="987"/>
      <c r="E1116" s="987"/>
      <c r="R1116" s="988"/>
      <c r="S1116" s="988"/>
      <c r="T1116" s="988"/>
      <c r="U1116" s="988"/>
      <c r="V1116" s="988"/>
      <c r="W1116" s="988"/>
      <c r="X1116" s="988"/>
      <c r="Y1116" s="988"/>
    </row>
    <row r="1117" spans="1:25" x14ac:dyDescent="0.2">
      <c r="A1117" s="987"/>
      <c r="B1117" s="987"/>
      <c r="C1117" s="987"/>
      <c r="D1117" s="987"/>
      <c r="E1117" s="987"/>
      <c r="R1117" s="988"/>
      <c r="S1117" s="988"/>
      <c r="T1117" s="988"/>
      <c r="U1117" s="988"/>
      <c r="V1117" s="988"/>
      <c r="W1117" s="988"/>
      <c r="X1117" s="988"/>
      <c r="Y1117" s="988"/>
    </row>
    <row r="1118" spans="1:25" x14ac:dyDescent="0.2">
      <c r="A1118" s="987"/>
      <c r="B1118" s="987"/>
      <c r="C1118" s="987"/>
      <c r="D1118" s="987"/>
      <c r="E1118" s="987"/>
      <c r="R1118" s="988"/>
      <c r="S1118" s="988"/>
      <c r="T1118" s="988"/>
      <c r="U1118" s="988"/>
      <c r="V1118" s="988"/>
      <c r="W1118" s="988"/>
      <c r="X1118" s="988"/>
      <c r="Y1118" s="988"/>
    </row>
    <row r="1119" spans="1:25" x14ac:dyDescent="0.2">
      <c r="A1119" s="987"/>
      <c r="B1119" s="987"/>
      <c r="C1119" s="987"/>
      <c r="D1119" s="987"/>
      <c r="E1119" s="987"/>
      <c r="R1119" s="988"/>
      <c r="S1119" s="988"/>
      <c r="T1119" s="988"/>
      <c r="U1119" s="988"/>
      <c r="V1119" s="988"/>
      <c r="W1119" s="988"/>
      <c r="X1119" s="988"/>
      <c r="Y1119" s="988"/>
    </row>
    <row r="1120" spans="1:25" x14ac:dyDescent="0.2">
      <c r="A1120" s="987"/>
      <c r="B1120" s="987"/>
      <c r="C1120" s="987"/>
      <c r="D1120" s="987"/>
      <c r="E1120" s="987"/>
      <c r="R1120" s="988"/>
      <c r="S1120" s="988"/>
      <c r="T1120" s="988"/>
      <c r="U1120" s="988"/>
      <c r="V1120" s="988"/>
      <c r="W1120" s="988"/>
      <c r="X1120" s="988"/>
      <c r="Y1120" s="988"/>
    </row>
    <row r="1121" spans="1:25" x14ac:dyDescent="0.2">
      <c r="A1121" s="987"/>
      <c r="B1121" s="987"/>
      <c r="C1121" s="987"/>
      <c r="D1121" s="987"/>
      <c r="E1121" s="987"/>
      <c r="R1121" s="988"/>
      <c r="S1121" s="988"/>
      <c r="T1121" s="988"/>
      <c r="U1121" s="988"/>
      <c r="V1121" s="988"/>
      <c r="W1121" s="988"/>
      <c r="X1121" s="988"/>
      <c r="Y1121" s="988"/>
    </row>
    <row r="1122" spans="1:25" x14ac:dyDescent="0.2">
      <c r="A1122" s="987"/>
      <c r="B1122" s="987"/>
      <c r="C1122" s="987"/>
      <c r="D1122" s="987"/>
      <c r="E1122" s="987"/>
      <c r="R1122" s="988"/>
      <c r="S1122" s="988"/>
      <c r="T1122" s="988"/>
      <c r="U1122" s="988"/>
      <c r="V1122" s="988"/>
      <c r="W1122" s="988"/>
      <c r="X1122" s="988"/>
      <c r="Y1122" s="988"/>
    </row>
    <row r="1123" spans="1:25" x14ac:dyDescent="0.2">
      <c r="A1123" s="987"/>
      <c r="B1123" s="987"/>
      <c r="C1123" s="987"/>
      <c r="D1123" s="987"/>
      <c r="E1123" s="987"/>
      <c r="R1123" s="988"/>
      <c r="S1123" s="988"/>
      <c r="T1123" s="988"/>
      <c r="U1123" s="988"/>
      <c r="V1123" s="988"/>
      <c r="W1123" s="988"/>
      <c r="X1123" s="988"/>
      <c r="Y1123" s="988"/>
    </row>
    <row r="1124" spans="1:25" x14ac:dyDescent="0.2">
      <c r="A1124" s="987"/>
      <c r="B1124" s="987"/>
      <c r="C1124" s="987"/>
      <c r="D1124" s="987"/>
      <c r="E1124" s="987"/>
      <c r="R1124" s="988"/>
      <c r="S1124" s="988"/>
      <c r="T1124" s="988"/>
      <c r="U1124" s="988"/>
      <c r="V1124" s="988"/>
      <c r="W1124" s="988"/>
      <c r="X1124" s="988"/>
      <c r="Y1124" s="988"/>
    </row>
    <row r="1125" spans="1:25" x14ac:dyDescent="0.2">
      <c r="A1125" s="987"/>
      <c r="B1125" s="987"/>
      <c r="C1125" s="987"/>
      <c r="D1125" s="987"/>
      <c r="E1125" s="987"/>
      <c r="R1125" s="988"/>
      <c r="S1125" s="988"/>
      <c r="T1125" s="988"/>
      <c r="U1125" s="988"/>
      <c r="V1125" s="988"/>
      <c r="W1125" s="988"/>
      <c r="X1125" s="988"/>
      <c r="Y1125" s="988"/>
    </row>
    <row r="1126" spans="1:25" x14ac:dyDescent="0.2">
      <c r="A1126" s="987"/>
      <c r="B1126" s="987"/>
      <c r="C1126" s="987"/>
      <c r="D1126" s="987"/>
      <c r="E1126" s="987"/>
      <c r="R1126" s="988"/>
      <c r="S1126" s="988"/>
      <c r="T1126" s="988"/>
      <c r="U1126" s="988"/>
      <c r="V1126" s="988"/>
      <c r="W1126" s="988"/>
      <c r="X1126" s="988"/>
      <c r="Y1126" s="988"/>
    </row>
    <row r="1127" spans="1:25" x14ac:dyDescent="0.2">
      <c r="A1127" s="987"/>
      <c r="B1127" s="987"/>
      <c r="C1127" s="987"/>
      <c r="D1127" s="987"/>
      <c r="E1127" s="987"/>
      <c r="R1127" s="988"/>
      <c r="S1127" s="988"/>
      <c r="T1127" s="988"/>
      <c r="U1127" s="988"/>
      <c r="V1127" s="988"/>
      <c r="W1127" s="988"/>
      <c r="X1127" s="988"/>
      <c r="Y1127" s="988"/>
    </row>
    <row r="1128" spans="1:25" x14ac:dyDescent="0.2">
      <c r="A1128" s="987"/>
      <c r="B1128" s="987"/>
      <c r="C1128" s="987"/>
      <c r="D1128" s="987"/>
      <c r="E1128" s="987"/>
      <c r="R1128" s="988"/>
      <c r="S1128" s="988"/>
      <c r="T1128" s="988"/>
      <c r="U1128" s="988"/>
      <c r="V1128" s="988"/>
      <c r="W1128" s="988"/>
      <c r="X1128" s="988"/>
      <c r="Y1128" s="988"/>
    </row>
    <row r="1129" spans="1:25" x14ac:dyDescent="0.2">
      <c r="A1129" s="987"/>
      <c r="B1129" s="987"/>
      <c r="C1129" s="987"/>
      <c r="D1129" s="987"/>
      <c r="E1129" s="987"/>
      <c r="R1129" s="988"/>
      <c r="S1129" s="988"/>
      <c r="T1129" s="988"/>
      <c r="U1129" s="988"/>
      <c r="V1129" s="988"/>
      <c r="W1129" s="988"/>
      <c r="X1129" s="988"/>
      <c r="Y1129" s="988"/>
    </row>
    <row r="1130" spans="1:25" x14ac:dyDescent="0.2">
      <c r="A1130" s="987"/>
      <c r="B1130" s="987"/>
      <c r="C1130" s="987"/>
      <c r="D1130" s="987"/>
      <c r="E1130" s="987"/>
      <c r="R1130" s="988"/>
      <c r="S1130" s="988"/>
      <c r="T1130" s="988"/>
      <c r="U1130" s="988"/>
      <c r="V1130" s="988"/>
      <c r="W1130" s="988"/>
      <c r="X1130" s="988"/>
      <c r="Y1130" s="988"/>
    </row>
    <row r="1131" spans="1:25" x14ac:dyDescent="0.2">
      <c r="A1131" s="987"/>
      <c r="B1131" s="987"/>
      <c r="C1131" s="987"/>
      <c r="D1131" s="987"/>
      <c r="E1131" s="987"/>
      <c r="R1131" s="988"/>
      <c r="S1131" s="988"/>
      <c r="T1131" s="988"/>
      <c r="U1131" s="988"/>
      <c r="V1131" s="988"/>
      <c r="W1131" s="988"/>
      <c r="X1131" s="988"/>
      <c r="Y1131" s="988"/>
    </row>
    <row r="1132" spans="1:25" x14ac:dyDescent="0.2">
      <c r="A1132" s="987"/>
      <c r="B1132" s="987"/>
      <c r="C1132" s="987"/>
      <c r="D1132" s="987"/>
      <c r="E1132" s="987"/>
      <c r="R1132" s="988"/>
      <c r="S1132" s="988"/>
      <c r="T1132" s="988"/>
      <c r="U1132" s="988"/>
      <c r="V1132" s="988"/>
      <c r="W1132" s="988"/>
      <c r="X1132" s="988"/>
      <c r="Y1132" s="988"/>
    </row>
    <row r="1133" spans="1:25" x14ac:dyDescent="0.2">
      <c r="A1133" s="987"/>
      <c r="B1133" s="987"/>
      <c r="C1133" s="987"/>
      <c r="D1133" s="987"/>
      <c r="E1133" s="987"/>
      <c r="R1133" s="988"/>
      <c r="S1133" s="988"/>
      <c r="T1133" s="988"/>
      <c r="U1133" s="988"/>
      <c r="V1133" s="988"/>
      <c r="W1133" s="988"/>
      <c r="X1133" s="988"/>
      <c r="Y1133" s="988"/>
    </row>
    <row r="1134" spans="1:25" x14ac:dyDescent="0.2">
      <c r="A1134" s="987"/>
      <c r="B1134" s="987"/>
      <c r="C1134" s="987"/>
      <c r="D1134" s="987"/>
      <c r="E1134" s="987"/>
      <c r="R1134" s="988"/>
      <c r="S1134" s="988"/>
      <c r="T1134" s="988"/>
      <c r="U1134" s="988"/>
      <c r="V1134" s="988"/>
      <c r="W1134" s="988"/>
      <c r="X1134" s="988"/>
      <c r="Y1134" s="988"/>
    </row>
    <row r="1135" spans="1:25" x14ac:dyDescent="0.2">
      <c r="A1135" s="987"/>
      <c r="B1135" s="987"/>
      <c r="C1135" s="987"/>
      <c r="D1135" s="987"/>
      <c r="E1135" s="987"/>
      <c r="R1135" s="988"/>
      <c r="S1135" s="988"/>
      <c r="T1135" s="988"/>
      <c r="U1135" s="988"/>
      <c r="V1135" s="988"/>
      <c r="W1135" s="988"/>
      <c r="X1135" s="988"/>
      <c r="Y1135" s="988"/>
    </row>
    <row r="1136" spans="1:25" x14ac:dyDescent="0.2">
      <c r="A1136" s="987"/>
      <c r="B1136" s="987"/>
      <c r="C1136" s="987"/>
      <c r="D1136" s="987"/>
      <c r="E1136" s="987"/>
      <c r="R1136" s="988"/>
      <c r="S1136" s="988"/>
      <c r="T1136" s="988"/>
      <c r="U1136" s="988"/>
      <c r="V1136" s="988"/>
      <c r="W1136" s="988"/>
      <c r="X1136" s="988"/>
      <c r="Y1136" s="988"/>
    </row>
    <row r="1137" spans="1:25" x14ac:dyDescent="0.2">
      <c r="A1137" s="987"/>
      <c r="B1137" s="987"/>
      <c r="C1137" s="987"/>
      <c r="D1137" s="987"/>
      <c r="E1137" s="987"/>
      <c r="R1137" s="988"/>
      <c r="S1137" s="988"/>
      <c r="T1137" s="988"/>
      <c r="U1137" s="988"/>
      <c r="V1137" s="988"/>
      <c r="W1137" s="988"/>
      <c r="X1137" s="988"/>
      <c r="Y1137" s="988"/>
    </row>
    <row r="1138" spans="1:25" x14ac:dyDescent="0.2">
      <c r="A1138" s="987"/>
      <c r="B1138" s="987"/>
      <c r="C1138" s="987"/>
      <c r="D1138" s="987"/>
      <c r="E1138" s="987"/>
      <c r="R1138" s="988"/>
      <c r="S1138" s="988"/>
      <c r="T1138" s="988"/>
      <c r="U1138" s="988"/>
      <c r="V1138" s="988"/>
      <c r="W1138" s="988"/>
      <c r="X1138" s="988"/>
      <c r="Y1138" s="988"/>
    </row>
    <row r="1139" spans="1:25" x14ac:dyDescent="0.2">
      <c r="A1139" s="987"/>
      <c r="B1139" s="987"/>
      <c r="C1139" s="987"/>
      <c r="D1139" s="987"/>
      <c r="E1139" s="987"/>
      <c r="R1139" s="988"/>
      <c r="S1139" s="988"/>
      <c r="T1139" s="988"/>
      <c r="U1139" s="988"/>
      <c r="V1139" s="988"/>
      <c r="W1139" s="988"/>
      <c r="X1139" s="988"/>
      <c r="Y1139" s="988"/>
    </row>
    <row r="1140" spans="1:25" x14ac:dyDescent="0.2">
      <c r="A1140" s="987"/>
      <c r="B1140" s="987"/>
      <c r="C1140" s="987"/>
      <c r="D1140" s="987"/>
      <c r="E1140" s="987"/>
      <c r="R1140" s="988"/>
      <c r="S1140" s="988"/>
      <c r="T1140" s="988"/>
      <c r="U1140" s="988"/>
      <c r="V1140" s="988"/>
      <c r="W1140" s="988"/>
      <c r="X1140" s="988"/>
      <c r="Y1140" s="988"/>
    </row>
    <row r="1141" spans="1:25" x14ac:dyDescent="0.2">
      <c r="A1141" s="987"/>
      <c r="B1141" s="987"/>
      <c r="C1141" s="987"/>
      <c r="D1141" s="987"/>
      <c r="E1141" s="987"/>
      <c r="R1141" s="988"/>
      <c r="S1141" s="988"/>
      <c r="T1141" s="988"/>
      <c r="U1141" s="988"/>
      <c r="V1141" s="988"/>
      <c r="W1141" s="988"/>
      <c r="X1141" s="988"/>
      <c r="Y1141" s="988"/>
    </row>
    <row r="1142" spans="1:25" x14ac:dyDescent="0.2">
      <c r="A1142" s="987"/>
      <c r="B1142" s="987"/>
      <c r="C1142" s="987"/>
      <c r="D1142" s="987"/>
      <c r="E1142" s="987"/>
      <c r="R1142" s="988"/>
      <c r="S1142" s="988"/>
      <c r="T1142" s="988"/>
      <c r="U1142" s="988"/>
      <c r="V1142" s="988"/>
      <c r="W1142" s="988"/>
      <c r="X1142" s="988"/>
      <c r="Y1142" s="988"/>
    </row>
    <row r="1143" spans="1:25" x14ac:dyDescent="0.2">
      <c r="A1143" s="987"/>
      <c r="B1143" s="987"/>
      <c r="C1143" s="987"/>
      <c r="D1143" s="987"/>
      <c r="E1143" s="987"/>
      <c r="R1143" s="988"/>
      <c r="S1143" s="988"/>
      <c r="T1143" s="988"/>
      <c r="U1143" s="988"/>
      <c r="V1143" s="988"/>
      <c r="W1143" s="988"/>
      <c r="X1143" s="988"/>
      <c r="Y1143" s="988"/>
    </row>
    <row r="1144" spans="1:25" x14ac:dyDescent="0.2">
      <c r="A1144" s="987"/>
      <c r="B1144" s="987"/>
      <c r="C1144" s="987"/>
      <c r="D1144" s="987"/>
      <c r="E1144" s="987"/>
      <c r="R1144" s="988"/>
      <c r="S1144" s="988"/>
      <c r="T1144" s="988"/>
      <c r="U1144" s="988"/>
      <c r="V1144" s="988"/>
      <c r="W1144" s="988"/>
      <c r="X1144" s="988"/>
      <c r="Y1144" s="988"/>
    </row>
    <row r="1145" spans="1:25" x14ac:dyDescent="0.2">
      <c r="A1145" s="987"/>
      <c r="B1145" s="987"/>
      <c r="C1145" s="987"/>
      <c r="D1145" s="987"/>
      <c r="E1145" s="987"/>
      <c r="R1145" s="988"/>
      <c r="S1145" s="988"/>
      <c r="T1145" s="988"/>
      <c r="U1145" s="988"/>
      <c r="V1145" s="988"/>
      <c r="W1145" s="988"/>
      <c r="X1145" s="988"/>
      <c r="Y1145" s="988"/>
    </row>
    <row r="1146" spans="1:25" x14ac:dyDescent="0.2">
      <c r="A1146" s="987"/>
      <c r="B1146" s="987"/>
      <c r="C1146" s="987"/>
      <c r="D1146" s="987"/>
      <c r="E1146" s="987"/>
      <c r="R1146" s="988"/>
      <c r="S1146" s="988"/>
      <c r="T1146" s="988"/>
      <c r="U1146" s="988"/>
      <c r="V1146" s="988"/>
      <c r="W1146" s="988"/>
      <c r="X1146" s="988"/>
      <c r="Y1146" s="988"/>
    </row>
    <row r="1147" spans="1:25" x14ac:dyDescent="0.2">
      <c r="A1147" s="987"/>
      <c r="B1147" s="987"/>
      <c r="C1147" s="987"/>
      <c r="D1147" s="987"/>
      <c r="E1147" s="987"/>
      <c r="R1147" s="988"/>
      <c r="S1147" s="988"/>
      <c r="T1147" s="988"/>
      <c r="U1147" s="988"/>
      <c r="V1147" s="988"/>
      <c r="W1147" s="988"/>
      <c r="X1147" s="988"/>
      <c r="Y1147" s="988"/>
    </row>
    <row r="1148" spans="1:25" x14ac:dyDescent="0.2">
      <c r="A1148" s="987"/>
      <c r="B1148" s="987"/>
      <c r="C1148" s="987"/>
      <c r="D1148" s="987"/>
      <c r="E1148" s="987"/>
      <c r="R1148" s="988"/>
      <c r="S1148" s="988"/>
      <c r="T1148" s="988"/>
      <c r="U1148" s="988"/>
      <c r="V1148" s="988"/>
      <c r="W1148" s="988"/>
      <c r="X1148" s="988"/>
      <c r="Y1148" s="988"/>
    </row>
    <row r="1149" spans="1:25" x14ac:dyDescent="0.2">
      <c r="A1149" s="987"/>
      <c r="B1149" s="987"/>
      <c r="C1149" s="987"/>
      <c r="D1149" s="987"/>
      <c r="E1149" s="987"/>
      <c r="R1149" s="988"/>
      <c r="S1149" s="988"/>
      <c r="T1149" s="988"/>
      <c r="U1149" s="988"/>
      <c r="V1149" s="988"/>
      <c r="W1149" s="988"/>
      <c r="X1149" s="988"/>
      <c r="Y1149" s="988"/>
    </row>
    <row r="1150" spans="1:25" x14ac:dyDescent="0.2">
      <c r="A1150" s="987"/>
      <c r="B1150" s="987"/>
      <c r="C1150" s="987"/>
      <c r="D1150" s="987"/>
      <c r="E1150" s="987"/>
      <c r="R1150" s="988"/>
      <c r="S1150" s="988"/>
      <c r="T1150" s="988"/>
      <c r="U1150" s="988"/>
      <c r="V1150" s="988"/>
      <c r="W1150" s="988"/>
      <c r="X1150" s="988"/>
      <c r="Y1150" s="988"/>
    </row>
    <row r="1151" spans="1:25" x14ac:dyDescent="0.2">
      <c r="A1151" s="987"/>
      <c r="B1151" s="987"/>
      <c r="C1151" s="987"/>
      <c r="D1151" s="987"/>
      <c r="E1151" s="987"/>
      <c r="R1151" s="988"/>
      <c r="S1151" s="988"/>
      <c r="T1151" s="988"/>
      <c r="U1151" s="988"/>
      <c r="V1151" s="988"/>
      <c r="W1151" s="988"/>
      <c r="X1151" s="988"/>
      <c r="Y1151" s="988"/>
    </row>
    <row r="1152" spans="1:25" x14ac:dyDescent="0.2">
      <c r="A1152" s="987"/>
      <c r="B1152" s="987"/>
      <c r="C1152" s="987"/>
      <c r="D1152" s="987"/>
      <c r="E1152" s="987"/>
      <c r="R1152" s="988"/>
      <c r="S1152" s="988"/>
      <c r="T1152" s="988"/>
      <c r="U1152" s="988"/>
      <c r="V1152" s="988"/>
      <c r="W1152" s="988"/>
      <c r="X1152" s="988"/>
      <c r="Y1152" s="988"/>
    </row>
    <row r="1153" spans="1:25" x14ac:dyDescent="0.2">
      <c r="A1153" s="987"/>
      <c r="B1153" s="987"/>
      <c r="C1153" s="987"/>
      <c r="D1153" s="987"/>
      <c r="E1153" s="987"/>
      <c r="R1153" s="988"/>
      <c r="S1153" s="988"/>
      <c r="T1153" s="988"/>
      <c r="U1153" s="988"/>
      <c r="V1153" s="988"/>
      <c r="W1153" s="988"/>
      <c r="X1153" s="988"/>
      <c r="Y1153" s="988"/>
    </row>
    <row r="1154" spans="1:25" x14ac:dyDescent="0.2">
      <c r="A1154" s="987"/>
      <c r="B1154" s="987"/>
      <c r="C1154" s="987"/>
      <c r="D1154" s="987"/>
      <c r="E1154" s="987"/>
      <c r="R1154" s="988"/>
      <c r="S1154" s="988"/>
      <c r="T1154" s="988"/>
      <c r="U1154" s="988"/>
      <c r="V1154" s="988"/>
      <c r="W1154" s="988"/>
      <c r="X1154" s="988"/>
      <c r="Y1154" s="988"/>
    </row>
    <row r="1155" spans="1:25" x14ac:dyDescent="0.2">
      <c r="A1155" s="987"/>
      <c r="B1155" s="987"/>
      <c r="C1155" s="987"/>
      <c r="D1155" s="987"/>
      <c r="E1155" s="987"/>
      <c r="R1155" s="988"/>
      <c r="S1155" s="988"/>
      <c r="T1155" s="988"/>
      <c r="U1155" s="988"/>
      <c r="V1155" s="988"/>
      <c r="W1155" s="988"/>
      <c r="X1155" s="988"/>
      <c r="Y1155" s="988"/>
    </row>
    <row r="1156" spans="1:25" x14ac:dyDescent="0.2">
      <c r="A1156" s="987"/>
      <c r="B1156" s="987"/>
      <c r="C1156" s="987"/>
      <c r="D1156" s="987"/>
      <c r="E1156" s="987"/>
      <c r="R1156" s="988"/>
      <c r="S1156" s="988"/>
      <c r="T1156" s="988"/>
      <c r="U1156" s="988"/>
      <c r="V1156" s="988"/>
      <c r="W1156" s="988"/>
      <c r="X1156" s="988"/>
      <c r="Y1156" s="988"/>
    </row>
    <row r="1157" spans="1:25" x14ac:dyDescent="0.2">
      <c r="A1157" s="987"/>
      <c r="B1157" s="987"/>
      <c r="C1157" s="987"/>
      <c r="D1157" s="987"/>
      <c r="E1157" s="987"/>
      <c r="R1157" s="988"/>
      <c r="S1157" s="988"/>
      <c r="T1157" s="988"/>
      <c r="U1157" s="988"/>
      <c r="V1157" s="988"/>
      <c r="W1157" s="988"/>
      <c r="X1157" s="988"/>
      <c r="Y1157" s="988"/>
    </row>
    <row r="1158" spans="1:25" x14ac:dyDescent="0.2">
      <c r="A1158" s="987"/>
      <c r="B1158" s="987"/>
      <c r="C1158" s="987"/>
      <c r="D1158" s="987"/>
      <c r="E1158" s="987"/>
      <c r="R1158" s="988"/>
      <c r="S1158" s="988"/>
      <c r="T1158" s="988"/>
      <c r="U1158" s="988"/>
      <c r="V1158" s="988"/>
      <c r="W1158" s="988"/>
      <c r="X1158" s="988"/>
      <c r="Y1158" s="988"/>
    </row>
    <row r="1159" spans="1:25" x14ac:dyDescent="0.2">
      <c r="A1159" s="987"/>
      <c r="B1159" s="987"/>
      <c r="C1159" s="987"/>
      <c r="D1159" s="987"/>
      <c r="E1159" s="987"/>
      <c r="R1159" s="988"/>
      <c r="S1159" s="988"/>
      <c r="T1159" s="988"/>
      <c r="U1159" s="988"/>
      <c r="V1159" s="988"/>
      <c r="W1159" s="988"/>
      <c r="X1159" s="988"/>
      <c r="Y1159" s="988"/>
    </row>
    <row r="1160" spans="1:25" x14ac:dyDescent="0.2">
      <c r="A1160" s="987"/>
      <c r="B1160" s="987"/>
      <c r="C1160" s="987"/>
      <c r="D1160" s="987"/>
      <c r="E1160" s="987"/>
      <c r="R1160" s="988"/>
      <c r="S1160" s="988"/>
      <c r="T1160" s="988"/>
      <c r="U1160" s="988"/>
      <c r="V1160" s="988"/>
      <c r="W1160" s="988"/>
      <c r="X1160" s="988"/>
      <c r="Y1160" s="988"/>
    </row>
    <row r="1161" spans="1:25" x14ac:dyDescent="0.2">
      <c r="A1161" s="987"/>
      <c r="B1161" s="987"/>
      <c r="C1161" s="987"/>
      <c r="D1161" s="987"/>
      <c r="E1161" s="987"/>
      <c r="R1161" s="988"/>
      <c r="S1161" s="988"/>
      <c r="T1161" s="988"/>
      <c r="U1161" s="988"/>
      <c r="V1161" s="988"/>
      <c r="W1161" s="988"/>
      <c r="X1161" s="988"/>
      <c r="Y1161" s="988"/>
    </row>
    <row r="1162" spans="1:25" x14ac:dyDescent="0.2">
      <c r="A1162" s="987"/>
      <c r="B1162" s="987"/>
      <c r="C1162" s="987"/>
      <c r="D1162" s="987"/>
      <c r="E1162" s="987"/>
      <c r="R1162" s="988"/>
      <c r="S1162" s="988"/>
      <c r="T1162" s="988"/>
      <c r="U1162" s="988"/>
      <c r="V1162" s="988"/>
      <c r="W1162" s="988"/>
      <c r="X1162" s="988"/>
      <c r="Y1162" s="988"/>
    </row>
    <row r="1163" spans="1:25" x14ac:dyDescent="0.2">
      <c r="A1163" s="987"/>
      <c r="B1163" s="987"/>
      <c r="C1163" s="987"/>
      <c r="D1163" s="987"/>
      <c r="E1163" s="987"/>
      <c r="R1163" s="988"/>
      <c r="S1163" s="988"/>
      <c r="T1163" s="988"/>
      <c r="U1163" s="988"/>
      <c r="V1163" s="988"/>
      <c r="W1163" s="988"/>
      <c r="X1163" s="988"/>
      <c r="Y1163" s="988"/>
    </row>
    <row r="1164" spans="1:25" x14ac:dyDescent="0.2">
      <c r="A1164" s="987"/>
      <c r="B1164" s="987"/>
      <c r="C1164" s="987"/>
      <c r="D1164" s="987"/>
      <c r="E1164" s="987"/>
      <c r="R1164" s="988"/>
      <c r="S1164" s="988"/>
      <c r="T1164" s="988"/>
      <c r="U1164" s="988"/>
      <c r="V1164" s="988"/>
      <c r="W1164" s="988"/>
      <c r="X1164" s="988"/>
      <c r="Y1164" s="988"/>
    </row>
    <row r="1165" spans="1:25" x14ac:dyDescent="0.2">
      <c r="A1165" s="987"/>
      <c r="B1165" s="987"/>
      <c r="C1165" s="987"/>
      <c r="D1165" s="987"/>
      <c r="E1165" s="987"/>
      <c r="R1165" s="988"/>
      <c r="S1165" s="988"/>
      <c r="T1165" s="988"/>
      <c r="U1165" s="988"/>
      <c r="V1165" s="988"/>
      <c r="W1165" s="988"/>
      <c r="X1165" s="988"/>
      <c r="Y1165" s="988"/>
    </row>
    <row r="1166" spans="1:25" x14ac:dyDescent="0.2">
      <c r="A1166" s="987"/>
      <c r="B1166" s="987"/>
      <c r="C1166" s="987"/>
      <c r="D1166" s="987"/>
      <c r="E1166" s="987"/>
      <c r="R1166" s="988"/>
      <c r="S1166" s="988"/>
      <c r="T1166" s="988"/>
      <c r="U1166" s="988"/>
      <c r="V1166" s="988"/>
      <c r="W1166" s="988"/>
      <c r="X1166" s="988"/>
      <c r="Y1166" s="988"/>
    </row>
    <row r="1167" spans="1:25" x14ac:dyDescent="0.2">
      <c r="A1167" s="987"/>
      <c r="B1167" s="987"/>
      <c r="C1167" s="987"/>
      <c r="D1167" s="987"/>
      <c r="E1167" s="987"/>
      <c r="R1167" s="988"/>
      <c r="S1167" s="988"/>
      <c r="T1167" s="988"/>
      <c r="U1167" s="988"/>
      <c r="V1167" s="988"/>
      <c r="W1167" s="988"/>
      <c r="X1167" s="988"/>
      <c r="Y1167" s="988"/>
    </row>
    <row r="1168" spans="1:25" x14ac:dyDescent="0.2">
      <c r="A1168" s="987"/>
      <c r="B1168" s="987"/>
      <c r="C1168" s="987"/>
      <c r="D1168" s="987"/>
      <c r="E1168" s="987"/>
      <c r="R1168" s="988"/>
      <c r="S1168" s="988"/>
      <c r="T1168" s="988"/>
      <c r="U1168" s="988"/>
      <c r="V1168" s="988"/>
      <c r="W1168" s="988"/>
      <c r="X1168" s="988"/>
      <c r="Y1168" s="988"/>
    </row>
    <row r="1169" spans="1:25" x14ac:dyDescent="0.2">
      <c r="A1169" s="987"/>
      <c r="B1169" s="987"/>
      <c r="C1169" s="987"/>
      <c r="D1169" s="987"/>
      <c r="E1169" s="987"/>
      <c r="R1169" s="988"/>
      <c r="S1169" s="988"/>
      <c r="T1169" s="988"/>
      <c r="U1169" s="988"/>
      <c r="V1169" s="988"/>
      <c r="W1169" s="988"/>
      <c r="X1169" s="988"/>
      <c r="Y1169" s="988"/>
    </row>
    <row r="1170" spans="1:25" x14ac:dyDescent="0.2">
      <c r="A1170" s="987"/>
      <c r="B1170" s="987"/>
      <c r="C1170" s="987"/>
      <c r="D1170" s="987"/>
      <c r="E1170" s="987"/>
      <c r="R1170" s="988"/>
      <c r="S1170" s="988"/>
      <c r="T1170" s="988"/>
      <c r="U1170" s="988"/>
      <c r="V1170" s="988"/>
      <c r="W1170" s="988"/>
      <c r="X1170" s="988"/>
      <c r="Y1170" s="988"/>
    </row>
    <row r="1171" spans="1:25" x14ac:dyDescent="0.2">
      <c r="A1171" s="987"/>
      <c r="B1171" s="987"/>
      <c r="C1171" s="987"/>
      <c r="D1171" s="987"/>
      <c r="E1171" s="987"/>
      <c r="R1171" s="988"/>
      <c r="S1171" s="988"/>
      <c r="T1171" s="988"/>
      <c r="U1171" s="988"/>
      <c r="V1171" s="988"/>
      <c r="W1171" s="988"/>
      <c r="X1171" s="988"/>
      <c r="Y1171" s="988"/>
    </row>
    <row r="1172" spans="1:25" x14ac:dyDescent="0.2">
      <c r="A1172" s="987"/>
      <c r="B1172" s="987"/>
      <c r="C1172" s="987"/>
      <c r="D1172" s="987"/>
      <c r="E1172" s="987"/>
      <c r="R1172" s="988"/>
      <c r="S1172" s="988"/>
      <c r="T1172" s="988"/>
      <c r="U1172" s="988"/>
      <c r="V1172" s="988"/>
      <c r="W1172" s="988"/>
      <c r="X1172" s="988"/>
      <c r="Y1172" s="988"/>
    </row>
    <row r="1173" spans="1:25" x14ac:dyDescent="0.2">
      <c r="A1173" s="987"/>
      <c r="B1173" s="987"/>
      <c r="C1173" s="987"/>
      <c r="D1173" s="987"/>
      <c r="E1173" s="987"/>
      <c r="R1173" s="988"/>
      <c r="S1173" s="988"/>
      <c r="T1173" s="988"/>
      <c r="U1173" s="988"/>
      <c r="V1173" s="988"/>
      <c r="W1173" s="988"/>
      <c r="X1173" s="988"/>
      <c r="Y1173" s="988"/>
    </row>
    <row r="1174" spans="1:25" x14ac:dyDescent="0.2">
      <c r="A1174" s="987"/>
      <c r="B1174" s="987"/>
      <c r="C1174" s="987"/>
      <c r="D1174" s="987"/>
      <c r="E1174" s="987"/>
      <c r="R1174" s="988"/>
      <c r="S1174" s="988"/>
      <c r="T1174" s="988"/>
      <c r="U1174" s="988"/>
      <c r="V1174" s="988"/>
      <c r="W1174" s="988"/>
      <c r="X1174" s="988"/>
      <c r="Y1174" s="988"/>
    </row>
    <row r="1175" spans="1:25" x14ac:dyDescent="0.2">
      <c r="A1175" s="987"/>
      <c r="B1175" s="987"/>
      <c r="C1175" s="987"/>
      <c r="D1175" s="987"/>
      <c r="E1175" s="987"/>
      <c r="R1175" s="988"/>
      <c r="S1175" s="988"/>
      <c r="T1175" s="988"/>
      <c r="U1175" s="988"/>
      <c r="V1175" s="988"/>
      <c r="W1175" s="988"/>
      <c r="X1175" s="988"/>
      <c r="Y1175" s="988"/>
    </row>
    <row r="1176" spans="1:25" x14ac:dyDescent="0.2">
      <c r="A1176" s="987"/>
      <c r="B1176" s="987"/>
      <c r="C1176" s="987"/>
      <c r="D1176" s="987"/>
      <c r="E1176" s="987"/>
      <c r="R1176" s="988"/>
      <c r="S1176" s="988"/>
      <c r="T1176" s="988"/>
      <c r="U1176" s="988"/>
      <c r="V1176" s="988"/>
      <c r="W1176" s="988"/>
      <c r="X1176" s="988"/>
      <c r="Y1176" s="988"/>
    </row>
    <row r="1177" spans="1:25" x14ac:dyDescent="0.2">
      <c r="A1177" s="987"/>
      <c r="B1177" s="987"/>
      <c r="C1177" s="987"/>
      <c r="D1177" s="987"/>
      <c r="E1177" s="987"/>
      <c r="R1177" s="988"/>
      <c r="S1177" s="988"/>
      <c r="T1177" s="988"/>
      <c r="U1177" s="988"/>
      <c r="V1177" s="988"/>
      <c r="W1177" s="988"/>
      <c r="X1177" s="988"/>
      <c r="Y1177" s="988"/>
    </row>
    <row r="1178" spans="1:25" x14ac:dyDescent="0.2">
      <c r="A1178" s="987"/>
      <c r="B1178" s="987"/>
      <c r="C1178" s="987"/>
      <c r="D1178" s="987"/>
      <c r="E1178" s="987"/>
      <c r="R1178" s="988"/>
      <c r="S1178" s="988"/>
      <c r="T1178" s="988"/>
      <c r="U1178" s="988"/>
      <c r="V1178" s="988"/>
      <c r="W1178" s="988"/>
      <c r="X1178" s="988"/>
      <c r="Y1178" s="988"/>
    </row>
    <row r="1179" spans="1:25" x14ac:dyDescent="0.2">
      <c r="A1179" s="987"/>
      <c r="B1179" s="987"/>
      <c r="C1179" s="987"/>
      <c r="D1179" s="987"/>
      <c r="E1179" s="987"/>
      <c r="R1179" s="988"/>
      <c r="S1179" s="988"/>
      <c r="T1179" s="988"/>
      <c r="U1179" s="988"/>
      <c r="V1179" s="988"/>
      <c r="W1179" s="988"/>
      <c r="X1179" s="988"/>
      <c r="Y1179" s="988"/>
    </row>
    <row r="1180" spans="1:25" x14ac:dyDescent="0.2">
      <c r="A1180" s="987"/>
      <c r="B1180" s="987"/>
      <c r="C1180" s="987"/>
      <c r="D1180" s="987"/>
      <c r="E1180" s="987"/>
      <c r="R1180" s="988"/>
      <c r="S1180" s="988"/>
      <c r="T1180" s="988"/>
      <c r="U1180" s="988"/>
      <c r="V1180" s="988"/>
      <c r="W1180" s="988"/>
      <c r="X1180" s="988"/>
      <c r="Y1180" s="988"/>
    </row>
    <row r="1181" spans="1:25" x14ac:dyDescent="0.2">
      <c r="A1181" s="987"/>
      <c r="B1181" s="987"/>
      <c r="C1181" s="987"/>
      <c r="D1181" s="987"/>
      <c r="E1181" s="987"/>
      <c r="R1181" s="988"/>
      <c r="S1181" s="988"/>
      <c r="T1181" s="988"/>
      <c r="U1181" s="988"/>
      <c r="V1181" s="988"/>
      <c r="W1181" s="988"/>
      <c r="X1181" s="988"/>
      <c r="Y1181" s="988"/>
    </row>
    <row r="1182" spans="1:25" x14ac:dyDescent="0.2">
      <c r="A1182" s="987"/>
      <c r="B1182" s="987"/>
      <c r="C1182" s="987"/>
      <c r="D1182" s="987"/>
      <c r="E1182" s="987"/>
      <c r="R1182" s="988"/>
      <c r="S1182" s="988"/>
      <c r="T1182" s="988"/>
      <c r="U1182" s="988"/>
      <c r="V1182" s="988"/>
      <c r="W1182" s="988"/>
      <c r="X1182" s="988"/>
      <c r="Y1182" s="988"/>
    </row>
    <row r="1183" spans="1:25" x14ac:dyDescent="0.2">
      <c r="A1183" s="987"/>
      <c r="B1183" s="987"/>
      <c r="C1183" s="987"/>
      <c r="D1183" s="987"/>
      <c r="E1183" s="987"/>
      <c r="R1183" s="988"/>
      <c r="S1183" s="988"/>
      <c r="T1183" s="988"/>
      <c r="U1183" s="988"/>
      <c r="V1183" s="988"/>
      <c r="W1183" s="988"/>
      <c r="X1183" s="988"/>
      <c r="Y1183" s="988"/>
    </row>
    <row r="1184" spans="1:25" x14ac:dyDescent="0.2">
      <c r="A1184" s="987"/>
      <c r="B1184" s="987"/>
      <c r="C1184" s="987"/>
      <c r="D1184" s="987"/>
      <c r="E1184" s="987"/>
      <c r="R1184" s="988"/>
      <c r="S1184" s="988"/>
      <c r="T1184" s="988"/>
      <c r="U1184" s="988"/>
      <c r="V1184" s="988"/>
      <c r="W1184" s="988"/>
      <c r="X1184" s="988"/>
      <c r="Y1184" s="988"/>
    </row>
    <row r="1185" spans="1:25" x14ac:dyDescent="0.2">
      <c r="A1185" s="987"/>
      <c r="B1185" s="987"/>
      <c r="C1185" s="987"/>
      <c r="D1185" s="987"/>
      <c r="E1185" s="987"/>
      <c r="R1185" s="988"/>
      <c r="S1185" s="988"/>
      <c r="T1185" s="988"/>
      <c r="U1185" s="988"/>
      <c r="V1185" s="988"/>
      <c r="W1185" s="988"/>
      <c r="X1185" s="988"/>
      <c r="Y1185" s="988"/>
    </row>
    <row r="1186" spans="1:25" x14ac:dyDescent="0.2">
      <c r="A1186" s="987"/>
      <c r="B1186" s="987"/>
      <c r="C1186" s="987"/>
      <c r="D1186" s="987"/>
      <c r="E1186" s="987"/>
      <c r="R1186" s="988"/>
      <c r="S1186" s="988"/>
      <c r="T1186" s="988"/>
      <c r="U1186" s="988"/>
      <c r="V1186" s="988"/>
      <c r="W1186" s="988"/>
      <c r="X1186" s="988"/>
      <c r="Y1186" s="988"/>
    </row>
    <row r="1187" spans="1:25" x14ac:dyDescent="0.2">
      <c r="A1187" s="987"/>
      <c r="B1187" s="987"/>
      <c r="C1187" s="987"/>
      <c r="D1187" s="987"/>
      <c r="E1187" s="987"/>
      <c r="R1187" s="988"/>
      <c r="S1187" s="988"/>
      <c r="T1187" s="988"/>
      <c r="U1187" s="988"/>
      <c r="V1187" s="988"/>
      <c r="W1187" s="988"/>
      <c r="X1187" s="988"/>
      <c r="Y1187" s="988"/>
    </row>
    <row r="1188" spans="1:25" x14ac:dyDescent="0.2">
      <c r="A1188" s="987"/>
      <c r="B1188" s="987"/>
      <c r="C1188" s="987"/>
      <c r="D1188" s="987"/>
      <c r="E1188" s="987"/>
      <c r="R1188" s="988"/>
      <c r="S1188" s="988"/>
      <c r="T1188" s="988"/>
      <c r="U1188" s="988"/>
      <c r="V1188" s="988"/>
      <c r="W1188" s="988"/>
      <c r="X1188" s="988"/>
      <c r="Y1188" s="988"/>
    </row>
    <row r="1189" spans="1:25" x14ac:dyDescent="0.2">
      <c r="A1189" s="987"/>
      <c r="B1189" s="987"/>
      <c r="C1189" s="987"/>
      <c r="D1189" s="987"/>
      <c r="E1189" s="987"/>
      <c r="R1189" s="988"/>
      <c r="S1189" s="988"/>
      <c r="T1189" s="988"/>
      <c r="U1189" s="988"/>
      <c r="V1189" s="988"/>
      <c r="W1189" s="988"/>
      <c r="X1189" s="988"/>
      <c r="Y1189" s="988"/>
    </row>
    <row r="1190" spans="1:25" x14ac:dyDescent="0.2">
      <c r="A1190" s="987"/>
      <c r="B1190" s="987"/>
      <c r="C1190" s="987"/>
      <c r="D1190" s="987"/>
      <c r="E1190" s="987"/>
      <c r="R1190" s="988"/>
      <c r="S1190" s="988"/>
      <c r="T1190" s="988"/>
      <c r="U1190" s="988"/>
      <c r="V1190" s="988"/>
      <c r="W1190" s="988"/>
      <c r="X1190" s="988"/>
      <c r="Y1190" s="988"/>
    </row>
    <row r="1191" spans="1:25" x14ac:dyDescent="0.2">
      <c r="A1191" s="987"/>
      <c r="B1191" s="987"/>
      <c r="C1191" s="987"/>
      <c r="D1191" s="987"/>
      <c r="E1191" s="987"/>
      <c r="R1191" s="988"/>
      <c r="S1191" s="988"/>
      <c r="T1191" s="988"/>
      <c r="U1191" s="988"/>
      <c r="V1191" s="988"/>
      <c r="W1191" s="988"/>
      <c r="X1191" s="988"/>
      <c r="Y1191" s="988"/>
    </row>
    <row r="1192" spans="1:25" x14ac:dyDescent="0.2">
      <c r="A1192" s="987"/>
      <c r="B1192" s="987"/>
      <c r="C1192" s="987"/>
      <c r="D1192" s="987"/>
      <c r="E1192" s="987"/>
      <c r="R1192" s="988"/>
      <c r="S1192" s="988"/>
      <c r="T1192" s="988"/>
      <c r="U1192" s="988"/>
      <c r="V1192" s="988"/>
      <c r="W1192" s="988"/>
      <c r="X1192" s="988"/>
      <c r="Y1192" s="988"/>
    </row>
    <row r="1193" spans="1:25" x14ac:dyDescent="0.2">
      <c r="A1193" s="987"/>
      <c r="B1193" s="987"/>
      <c r="C1193" s="987"/>
      <c r="D1193" s="987"/>
      <c r="E1193" s="987"/>
      <c r="R1193" s="988"/>
      <c r="S1193" s="988"/>
      <c r="T1193" s="988"/>
      <c r="U1193" s="988"/>
      <c r="V1193" s="988"/>
      <c r="W1193" s="988"/>
      <c r="X1193" s="988"/>
      <c r="Y1193" s="988"/>
    </row>
    <row r="1194" spans="1:25" x14ac:dyDescent="0.2">
      <c r="A1194" s="987"/>
      <c r="B1194" s="987"/>
      <c r="C1194" s="987"/>
      <c r="D1194" s="987"/>
      <c r="E1194" s="987"/>
      <c r="R1194" s="988"/>
      <c r="S1194" s="988"/>
      <c r="T1194" s="988"/>
      <c r="U1194" s="988"/>
      <c r="V1194" s="988"/>
      <c r="W1194" s="988"/>
      <c r="X1194" s="988"/>
      <c r="Y1194" s="988"/>
    </row>
    <row r="1195" spans="1:25" x14ac:dyDescent="0.2">
      <c r="A1195" s="987"/>
      <c r="B1195" s="987"/>
      <c r="C1195" s="987"/>
      <c r="D1195" s="987"/>
      <c r="E1195" s="987"/>
      <c r="R1195" s="988"/>
      <c r="S1195" s="988"/>
      <c r="T1195" s="988"/>
      <c r="U1195" s="988"/>
      <c r="V1195" s="988"/>
      <c r="W1195" s="988"/>
      <c r="X1195" s="988"/>
      <c r="Y1195" s="988"/>
    </row>
    <row r="1196" spans="1:25" x14ac:dyDescent="0.2">
      <c r="A1196" s="987"/>
      <c r="B1196" s="987"/>
      <c r="C1196" s="987"/>
      <c r="D1196" s="987"/>
      <c r="E1196" s="987"/>
      <c r="R1196" s="988"/>
      <c r="S1196" s="988"/>
      <c r="T1196" s="988"/>
      <c r="U1196" s="988"/>
      <c r="V1196" s="988"/>
      <c r="W1196" s="988"/>
      <c r="X1196" s="988"/>
      <c r="Y1196" s="988"/>
    </row>
    <row r="1197" spans="1:25" x14ac:dyDescent="0.2">
      <c r="A1197" s="987"/>
      <c r="B1197" s="987"/>
      <c r="C1197" s="987"/>
      <c r="D1197" s="987"/>
      <c r="E1197" s="987"/>
      <c r="R1197" s="988"/>
      <c r="S1197" s="988"/>
      <c r="T1197" s="988"/>
      <c r="U1197" s="988"/>
      <c r="V1197" s="988"/>
      <c r="W1197" s="988"/>
      <c r="X1197" s="988"/>
      <c r="Y1197" s="988"/>
    </row>
    <row r="1198" spans="1:25" x14ac:dyDescent="0.2">
      <c r="A1198" s="987"/>
      <c r="B1198" s="987"/>
      <c r="C1198" s="987"/>
      <c r="D1198" s="987"/>
      <c r="E1198" s="987"/>
      <c r="R1198" s="988"/>
      <c r="S1198" s="988"/>
      <c r="T1198" s="988"/>
      <c r="U1198" s="988"/>
      <c r="V1198" s="988"/>
      <c r="W1198" s="988"/>
      <c r="X1198" s="988"/>
      <c r="Y1198" s="988"/>
    </row>
    <row r="1199" spans="1:25" x14ac:dyDescent="0.2">
      <c r="A1199" s="987"/>
      <c r="B1199" s="987"/>
      <c r="C1199" s="987"/>
      <c r="D1199" s="987"/>
      <c r="E1199" s="987"/>
      <c r="R1199" s="988"/>
      <c r="S1199" s="988"/>
      <c r="T1199" s="988"/>
      <c r="U1199" s="988"/>
      <c r="V1199" s="988"/>
      <c r="W1199" s="988"/>
      <c r="X1199" s="988"/>
      <c r="Y1199" s="988"/>
    </row>
    <row r="1200" spans="1:25" x14ac:dyDescent="0.2">
      <c r="A1200" s="987"/>
      <c r="B1200" s="987"/>
      <c r="C1200" s="987"/>
      <c r="D1200" s="987"/>
      <c r="E1200" s="987"/>
      <c r="R1200" s="988"/>
      <c r="S1200" s="988"/>
      <c r="T1200" s="988"/>
      <c r="U1200" s="988"/>
      <c r="V1200" s="988"/>
      <c r="W1200" s="988"/>
      <c r="X1200" s="988"/>
      <c r="Y1200" s="988"/>
    </row>
    <row r="1201" spans="1:25" x14ac:dyDescent="0.2">
      <c r="A1201" s="987"/>
      <c r="B1201" s="987"/>
      <c r="C1201" s="987"/>
      <c r="D1201" s="987"/>
      <c r="E1201" s="987"/>
      <c r="R1201" s="988"/>
      <c r="S1201" s="988"/>
      <c r="T1201" s="988"/>
      <c r="U1201" s="988"/>
      <c r="V1201" s="988"/>
      <c r="W1201" s="988"/>
      <c r="X1201" s="988"/>
      <c r="Y1201" s="988"/>
    </row>
    <row r="1202" spans="1:25" x14ac:dyDescent="0.2">
      <c r="A1202" s="987"/>
      <c r="B1202" s="987"/>
      <c r="C1202" s="987"/>
      <c r="D1202" s="987"/>
      <c r="E1202" s="987"/>
      <c r="R1202" s="988"/>
      <c r="S1202" s="988"/>
      <c r="T1202" s="988"/>
      <c r="U1202" s="988"/>
      <c r="V1202" s="988"/>
      <c r="W1202" s="988"/>
      <c r="X1202" s="988"/>
      <c r="Y1202" s="988"/>
    </row>
    <row r="1203" spans="1:25" x14ac:dyDescent="0.2">
      <c r="A1203" s="987"/>
      <c r="B1203" s="987"/>
      <c r="C1203" s="987"/>
      <c r="D1203" s="987"/>
      <c r="E1203" s="987"/>
      <c r="R1203" s="988"/>
      <c r="S1203" s="988"/>
      <c r="T1203" s="988"/>
      <c r="U1203" s="988"/>
      <c r="V1203" s="988"/>
      <c r="W1203" s="988"/>
      <c r="X1203" s="988"/>
      <c r="Y1203" s="988"/>
    </row>
    <row r="1204" spans="1:25" x14ac:dyDescent="0.2">
      <c r="A1204" s="987"/>
      <c r="B1204" s="987"/>
      <c r="C1204" s="987"/>
      <c r="D1204" s="987"/>
      <c r="E1204" s="987"/>
      <c r="R1204" s="988"/>
      <c r="S1204" s="988"/>
      <c r="T1204" s="988"/>
      <c r="U1204" s="988"/>
      <c r="V1204" s="988"/>
      <c r="W1204" s="988"/>
      <c r="X1204" s="988"/>
      <c r="Y1204" s="988"/>
    </row>
    <row r="1205" spans="1:25" x14ac:dyDescent="0.2">
      <c r="A1205" s="987"/>
      <c r="B1205" s="987"/>
      <c r="C1205" s="987"/>
      <c r="D1205" s="987"/>
      <c r="E1205" s="987"/>
      <c r="R1205" s="988"/>
      <c r="S1205" s="988"/>
      <c r="T1205" s="988"/>
      <c r="U1205" s="988"/>
      <c r="V1205" s="988"/>
      <c r="W1205" s="988"/>
      <c r="X1205" s="988"/>
      <c r="Y1205" s="988"/>
    </row>
    <row r="1206" spans="1:25" x14ac:dyDescent="0.2">
      <c r="A1206" s="987"/>
      <c r="B1206" s="987"/>
      <c r="C1206" s="987"/>
      <c r="D1206" s="987"/>
      <c r="E1206" s="987"/>
      <c r="R1206" s="988"/>
      <c r="S1206" s="988"/>
      <c r="T1206" s="988"/>
      <c r="U1206" s="988"/>
      <c r="V1206" s="988"/>
      <c r="W1206" s="988"/>
      <c r="X1206" s="988"/>
      <c r="Y1206" s="988"/>
    </row>
    <row r="1207" spans="1:25" x14ac:dyDescent="0.2">
      <c r="A1207" s="987"/>
      <c r="B1207" s="987"/>
      <c r="C1207" s="987"/>
      <c r="D1207" s="987"/>
      <c r="E1207" s="987"/>
      <c r="R1207" s="988"/>
      <c r="S1207" s="988"/>
      <c r="T1207" s="988"/>
      <c r="U1207" s="988"/>
      <c r="V1207" s="988"/>
      <c r="W1207" s="988"/>
      <c r="X1207" s="988"/>
      <c r="Y1207" s="988"/>
    </row>
    <row r="1208" spans="1:25" x14ac:dyDescent="0.2">
      <c r="A1208" s="987"/>
      <c r="B1208" s="987"/>
      <c r="C1208" s="987"/>
      <c r="D1208" s="987"/>
      <c r="E1208" s="987"/>
      <c r="R1208" s="988"/>
      <c r="S1208" s="988"/>
      <c r="T1208" s="988"/>
      <c r="U1208" s="988"/>
      <c r="V1208" s="988"/>
      <c r="W1208" s="988"/>
      <c r="X1208" s="988"/>
      <c r="Y1208" s="988"/>
    </row>
    <row r="1209" spans="1:25" x14ac:dyDescent="0.2">
      <c r="A1209" s="987"/>
      <c r="B1209" s="987"/>
      <c r="C1209" s="987"/>
      <c r="D1209" s="987"/>
      <c r="E1209" s="987"/>
      <c r="R1209" s="988"/>
      <c r="S1209" s="988"/>
      <c r="T1209" s="988"/>
      <c r="U1209" s="988"/>
      <c r="V1209" s="988"/>
      <c r="W1209" s="988"/>
      <c r="X1209" s="988"/>
      <c r="Y1209" s="988"/>
    </row>
    <row r="1210" spans="1:25" x14ac:dyDescent="0.2">
      <c r="A1210" s="987"/>
      <c r="B1210" s="987"/>
      <c r="C1210" s="987"/>
      <c r="D1210" s="987"/>
      <c r="E1210" s="987"/>
      <c r="R1210" s="988"/>
      <c r="S1210" s="988"/>
      <c r="T1210" s="988"/>
      <c r="U1210" s="988"/>
      <c r="V1210" s="988"/>
      <c r="W1210" s="988"/>
      <c r="X1210" s="988"/>
      <c r="Y1210" s="988"/>
    </row>
    <row r="1211" spans="1:25" x14ac:dyDescent="0.2">
      <c r="A1211" s="987"/>
      <c r="B1211" s="987"/>
      <c r="C1211" s="987"/>
      <c r="D1211" s="987"/>
      <c r="E1211" s="987"/>
      <c r="R1211" s="988"/>
      <c r="S1211" s="988"/>
      <c r="T1211" s="988"/>
      <c r="U1211" s="988"/>
      <c r="V1211" s="988"/>
      <c r="W1211" s="988"/>
      <c r="X1211" s="988"/>
      <c r="Y1211" s="988"/>
    </row>
    <row r="1212" spans="1:25" x14ac:dyDescent="0.2">
      <c r="A1212" s="987"/>
      <c r="B1212" s="987"/>
      <c r="C1212" s="987"/>
      <c r="D1212" s="987"/>
      <c r="E1212" s="987"/>
      <c r="R1212" s="988"/>
      <c r="S1212" s="988"/>
      <c r="T1212" s="988"/>
      <c r="U1212" s="988"/>
      <c r="V1212" s="988"/>
      <c r="W1212" s="988"/>
      <c r="X1212" s="988"/>
      <c r="Y1212" s="988"/>
    </row>
    <row r="1213" spans="1:25" x14ac:dyDescent="0.2">
      <c r="A1213" s="987"/>
      <c r="B1213" s="987"/>
      <c r="C1213" s="987"/>
      <c r="D1213" s="987"/>
      <c r="E1213" s="987"/>
      <c r="R1213" s="988"/>
      <c r="S1213" s="988"/>
      <c r="T1213" s="988"/>
      <c r="U1213" s="988"/>
      <c r="V1213" s="988"/>
      <c r="W1213" s="988"/>
      <c r="X1213" s="988"/>
      <c r="Y1213" s="988"/>
    </row>
    <row r="1214" spans="1:25" x14ac:dyDescent="0.2">
      <c r="A1214" s="987"/>
      <c r="B1214" s="987"/>
      <c r="C1214" s="987"/>
      <c r="D1214" s="987"/>
      <c r="E1214" s="987"/>
      <c r="R1214" s="988"/>
      <c r="S1214" s="988"/>
      <c r="T1214" s="988"/>
      <c r="U1214" s="988"/>
      <c r="V1214" s="988"/>
      <c r="W1214" s="988"/>
      <c r="X1214" s="988"/>
      <c r="Y1214" s="988"/>
    </row>
    <row r="1215" spans="1:25" x14ac:dyDescent="0.2">
      <c r="A1215" s="987"/>
      <c r="B1215" s="987"/>
      <c r="C1215" s="987"/>
      <c r="D1215" s="987"/>
      <c r="E1215" s="987"/>
      <c r="R1215" s="988"/>
      <c r="S1215" s="988"/>
      <c r="T1215" s="988"/>
      <c r="U1215" s="988"/>
      <c r="V1215" s="988"/>
      <c r="W1215" s="988"/>
      <c r="X1215" s="988"/>
      <c r="Y1215" s="988"/>
    </row>
    <row r="1216" spans="1:25" x14ac:dyDescent="0.2">
      <c r="A1216" s="987"/>
      <c r="B1216" s="987"/>
      <c r="C1216" s="987"/>
      <c r="D1216" s="987"/>
      <c r="E1216" s="987"/>
      <c r="R1216" s="988"/>
      <c r="S1216" s="988"/>
      <c r="T1216" s="988"/>
      <c r="U1216" s="988"/>
      <c r="V1216" s="988"/>
      <c r="W1216" s="988"/>
      <c r="X1216" s="988"/>
      <c r="Y1216" s="988"/>
    </row>
    <row r="1217" spans="1:25" x14ac:dyDescent="0.2">
      <c r="A1217" s="987"/>
      <c r="B1217" s="987"/>
      <c r="C1217" s="987"/>
      <c r="D1217" s="987"/>
      <c r="E1217" s="987"/>
      <c r="R1217" s="988"/>
      <c r="S1217" s="988"/>
      <c r="T1217" s="988"/>
      <c r="U1217" s="988"/>
      <c r="V1217" s="988"/>
      <c r="W1217" s="988"/>
      <c r="X1217" s="988"/>
      <c r="Y1217" s="988"/>
    </row>
    <row r="1218" spans="1:25" x14ac:dyDescent="0.2">
      <c r="A1218" s="987"/>
      <c r="B1218" s="987"/>
      <c r="C1218" s="987"/>
      <c r="D1218" s="987"/>
      <c r="E1218" s="987"/>
      <c r="R1218" s="988"/>
      <c r="S1218" s="988"/>
      <c r="T1218" s="988"/>
      <c r="U1218" s="988"/>
      <c r="V1218" s="988"/>
      <c r="W1218" s="988"/>
      <c r="X1218" s="988"/>
      <c r="Y1218" s="988"/>
    </row>
    <row r="1219" spans="1:25" x14ac:dyDescent="0.2">
      <c r="A1219" s="987"/>
      <c r="B1219" s="987"/>
      <c r="C1219" s="987"/>
      <c r="D1219" s="987"/>
      <c r="E1219" s="987"/>
      <c r="R1219" s="988"/>
      <c r="S1219" s="988"/>
      <c r="T1219" s="988"/>
      <c r="U1219" s="988"/>
      <c r="V1219" s="988"/>
      <c r="W1219" s="988"/>
      <c r="X1219" s="988"/>
      <c r="Y1219" s="988"/>
    </row>
    <row r="1220" spans="1:25" x14ac:dyDescent="0.2">
      <c r="A1220" s="987"/>
      <c r="B1220" s="987"/>
      <c r="C1220" s="987"/>
      <c r="D1220" s="987"/>
      <c r="E1220" s="987"/>
      <c r="R1220" s="988"/>
      <c r="S1220" s="988"/>
      <c r="T1220" s="988"/>
      <c r="U1220" s="988"/>
      <c r="V1220" s="988"/>
      <c r="W1220" s="988"/>
      <c r="X1220" s="988"/>
      <c r="Y1220" s="988"/>
    </row>
    <row r="1221" spans="1:25" x14ac:dyDescent="0.2">
      <c r="A1221" s="987"/>
      <c r="B1221" s="987"/>
      <c r="C1221" s="987"/>
      <c r="D1221" s="987"/>
      <c r="E1221" s="987"/>
      <c r="R1221" s="988"/>
      <c r="S1221" s="988"/>
      <c r="T1221" s="988"/>
      <c r="U1221" s="988"/>
      <c r="V1221" s="988"/>
      <c r="W1221" s="988"/>
      <c r="X1221" s="988"/>
      <c r="Y1221" s="988"/>
    </row>
    <row r="1222" spans="1:25" x14ac:dyDescent="0.2">
      <c r="A1222" s="987"/>
      <c r="B1222" s="987"/>
      <c r="C1222" s="987"/>
      <c r="D1222" s="987"/>
      <c r="E1222" s="987"/>
      <c r="R1222" s="988"/>
      <c r="S1222" s="988"/>
      <c r="T1222" s="988"/>
      <c r="U1222" s="988"/>
      <c r="V1222" s="988"/>
      <c r="W1222" s="988"/>
      <c r="X1222" s="988"/>
      <c r="Y1222" s="988"/>
    </row>
    <row r="1223" spans="1:25" x14ac:dyDescent="0.2">
      <c r="A1223" s="987"/>
      <c r="B1223" s="987"/>
      <c r="C1223" s="987"/>
      <c r="D1223" s="987"/>
      <c r="E1223" s="987"/>
      <c r="R1223" s="988"/>
      <c r="S1223" s="988"/>
      <c r="T1223" s="988"/>
      <c r="U1223" s="988"/>
      <c r="V1223" s="988"/>
      <c r="W1223" s="988"/>
      <c r="X1223" s="988"/>
      <c r="Y1223" s="988"/>
    </row>
    <row r="1224" spans="1:25" x14ac:dyDescent="0.2">
      <c r="A1224" s="987"/>
      <c r="B1224" s="987"/>
      <c r="C1224" s="987"/>
      <c r="D1224" s="987"/>
      <c r="E1224" s="987"/>
      <c r="R1224" s="988"/>
      <c r="S1224" s="988"/>
      <c r="T1224" s="988"/>
      <c r="U1224" s="988"/>
      <c r="V1224" s="988"/>
      <c r="W1224" s="988"/>
      <c r="X1224" s="988"/>
      <c r="Y1224" s="988"/>
    </row>
    <row r="1225" spans="1:25" x14ac:dyDescent="0.2">
      <c r="A1225" s="987"/>
      <c r="B1225" s="987"/>
      <c r="C1225" s="987"/>
      <c r="D1225" s="987"/>
      <c r="E1225" s="987"/>
      <c r="R1225" s="988"/>
      <c r="S1225" s="988"/>
      <c r="T1225" s="988"/>
      <c r="U1225" s="988"/>
      <c r="V1225" s="988"/>
      <c r="W1225" s="988"/>
      <c r="X1225" s="988"/>
      <c r="Y1225" s="988"/>
    </row>
    <row r="1226" spans="1:25" x14ac:dyDescent="0.2">
      <c r="A1226" s="987"/>
      <c r="B1226" s="987"/>
      <c r="C1226" s="987"/>
      <c r="D1226" s="987"/>
      <c r="E1226" s="987"/>
      <c r="R1226" s="988"/>
      <c r="S1226" s="988"/>
      <c r="T1226" s="988"/>
      <c r="U1226" s="988"/>
      <c r="V1226" s="988"/>
      <c r="W1226" s="988"/>
      <c r="X1226" s="988"/>
      <c r="Y1226" s="988"/>
    </row>
    <row r="1227" spans="1:25" x14ac:dyDescent="0.2">
      <c r="A1227" s="987"/>
      <c r="B1227" s="987"/>
      <c r="C1227" s="987"/>
      <c r="D1227" s="987"/>
      <c r="E1227" s="987"/>
      <c r="R1227" s="988"/>
      <c r="S1227" s="988"/>
      <c r="T1227" s="988"/>
      <c r="U1227" s="988"/>
      <c r="V1227" s="988"/>
      <c r="W1227" s="988"/>
      <c r="X1227" s="988"/>
      <c r="Y1227" s="988"/>
    </row>
    <row r="1228" spans="1:25" x14ac:dyDescent="0.2">
      <c r="A1228" s="987"/>
      <c r="B1228" s="987"/>
      <c r="C1228" s="987"/>
      <c r="D1228" s="987"/>
      <c r="E1228" s="987"/>
      <c r="R1228" s="988"/>
      <c r="S1228" s="988"/>
      <c r="T1228" s="988"/>
      <c r="U1228" s="988"/>
      <c r="V1228" s="988"/>
      <c r="W1228" s="988"/>
      <c r="X1228" s="988"/>
      <c r="Y1228" s="988"/>
    </row>
    <row r="1229" spans="1:25" x14ac:dyDescent="0.2">
      <c r="A1229" s="987"/>
      <c r="B1229" s="987"/>
      <c r="C1229" s="987"/>
      <c r="D1229" s="987"/>
      <c r="E1229" s="987"/>
      <c r="R1229" s="988"/>
      <c r="S1229" s="988"/>
      <c r="T1229" s="988"/>
      <c r="U1229" s="988"/>
      <c r="V1229" s="988"/>
      <c r="W1229" s="988"/>
      <c r="X1229" s="988"/>
      <c r="Y1229" s="988"/>
    </row>
    <row r="1230" spans="1:25" x14ac:dyDescent="0.2">
      <c r="A1230" s="987"/>
      <c r="B1230" s="987"/>
      <c r="C1230" s="987"/>
      <c r="D1230" s="987"/>
      <c r="E1230" s="987"/>
      <c r="R1230" s="988"/>
      <c r="S1230" s="988"/>
      <c r="T1230" s="988"/>
      <c r="U1230" s="988"/>
      <c r="V1230" s="988"/>
      <c r="W1230" s="988"/>
      <c r="X1230" s="988"/>
      <c r="Y1230" s="988"/>
    </row>
    <row r="1231" spans="1:25" x14ac:dyDescent="0.2">
      <c r="A1231" s="987"/>
      <c r="B1231" s="987"/>
      <c r="C1231" s="987"/>
      <c r="D1231" s="987"/>
      <c r="E1231" s="987"/>
      <c r="R1231" s="988"/>
      <c r="S1231" s="988"/>
      <c r="T1231" s="988"/>
      <c r="U1231" s="988"/>
      <c r="V1231" s="988"/>
      <c r="W1231" s="988"/>
      <c r="X1231" s="988"/>
      <c r="Y1231" s="988"/>
    </row>
    <row r="1232" spans="1:25" x14ac:dyDescent="0.2">
      <c r="A1232" s="987"/>
      <c r="B1232" s="987"/>
      <c r="C1232" s="987"/>
      <c r="D1232" s="987"/>
      <c r="E1232" s="987"/>
      <c r="R1232" s="988"/>
      <c r="S1232" s="988"/>
      <c r="T1232" s="988"/>
      <c r="U1232" s="988"/>
      <c r="V1232" s="988"/>
      <c r="W1232" s="988"/>
      <c r="X1232" s="988"/>
      <c r="Y1232" s="988"/>
    </row>
    <row r="1233" spans="1:25" x14ac:dyDescent="0.2">
      <c r="A1233" s="987"/>
      <c r="B1233" s="987"/>
      <c r="C1233" s="987"/>
      <c r="D1233" s="987"/>
      <c r="E1233" s="987"/>
      <c r="R1233" s="988"/>
      <c r="S1233" s="988"/>
      <c r="T1233" s="988"/>
      <c r="U1233" s="988"/>
      <c r="V1233" s="988"/>
      <c r="W1233" s="988"/>
      <c r="X1233" s="988"/>
      <c r="Y1233" s="988"/>
    </row>
    <row r="1234" spans="1:25" x14ac:dyDescent="0.2">
      <c r="A1234" s="987"/>
      <c r="B1234" s="987"/>
      <c r="C1234" s="987"/>
      <c r="D1234" s="987"/>
      <c r="E1234" s="987"/>
      <c r="R1234" s="988"/>
      <c r="S1234" s="988"/>
      <c r="T1234" s="988"/>
      <c r="U1234" s="988"/>
      <c r="V1234" s="988"/>
      <c r="W1234" s="988"/>
      <c r="X1234" s="988"/>
      <c r="Y1234" s="988"/>
    </row>
    <row r="1235" spans="1:25" x14ac:dyDescent="0.2">
      <c r="A1235" s="987"/>
      <c r="B1235" s="987"/>
      <c r="C1235" s="987"/>
      <c r="D1235" s="987"/>
      <c r="E1235" s="987"/>
      <c r="R1235" s="988"/>
      <c r="S1235" s="988"/>
      <c r="T1235" s="988"/>
      <c r="U1235" s="988"/>
      <c r="V1235" s="988"/>
      <c r="W1235" s="988"/>
      <c r="X1235" s="988"/>
      <c r="Y1235" s="988"/>
    </row>
    <row r="1236" spans="1:25" x14ac:dyDescent="0.2">
      <c r="A1236" s="987"/>
      <c r="B1236" s="987"/>
      <c r="C1236" s="987"/>
      <c r="D1236" s="987"/>
      <c r="E1236" s="987"/>
      <c r="R1236" s="988"/>
      <c r="S1236" s="988"/>
      <c r="T1236" s="988"/>
      <c r="U1236" s="988"/>
      <c r="V1236" s="988"/>
      <c r="W1236" s="988"/>
      <c r="X1236" s="988"/>
      <c r="Y1236" s="988"/>
    </row>
    <row r="1237" spans="1:25" x14ac:dyDescent="0.2">
      <c r="A1237" s="987"/>
      <c r="B1237" s="987"/>
      <c r="C1237" s="987"/>
      <c r="D1237" s="987"/>
      <c r="E1237" s="987"/>
      <c r="R1237" s="988"/>
      <c r="S1237" s="988"/>
      <c r="T1237" s="988"/>
      <c r="U1237" s="988"/>
      <c r="V1237" s="988"/>
      <c r="W1237" s="988"/>
      <c r="X1237" s="988"/>
      <c r="Y1237" s="988"/>
    </row>
    <row r="1238" spans="1:25" x14ac:dyDescent="0.2">
      <c r="A1238" s="987"/>
      <c r="B1238" s="987"/>
      <c r="C1238" s="987"/>
      <c r="D1238" s="987"/>
      <c r="E1238" s="987"/>
      <c r="R1238" s="988"/>
      <c r="S1238" s="988"/>
      <c r="T1238" s="988"/>
      <c r="U1238" s="988"/>
      <c r="V1238" s="988"/>
      <c r="W1238" s="988"/>
      <c r="X1238" s="988"/>
      <c r="Y1238" s="988"/>
    </row>
    <row r="1239" spans="1:25" x14ac:dyDescent="0.2">
      <c r="A1239" s="987"/>
      <c r="B1239" s="987"/>
      <c r="C1239" s="987"/>
      <c r="D1239" s="987"/>
      <c r="E1239" s="987"/>
      <c r="R1239" s="988"/>
      <c r="S1239" s="988"/>
      <c r="T1239" s="988"/>
      <c r="U1239" s="988"/>
      <c r="V1239" s="988"/>
      <c r="W1239" s="988"/>
      <c r="X1239" s="988"/>
      <c r="Y1239" s="988"/>
    </row>
    <row r="1240" spans="1:25" x14ac:dyDescent="0.2">
      <c r="A1240" s="987"/>
      <c r="B1240" s="987"/>
      <c r="C1240" s="987"/>
      <c r="D1240" s="987"/>
      <c r="E1240" s="987"/>
      <c r="R1240" s="988"/>
      <c r="S1240" s="988"/>
      <c r="T1240" s="988"/>
      <c r="U1240" s="988"/>
      <c r="V1240" s="988"/>
      <c r="W1240" s="988"/>
      <c r="X1240" s="988"/>
      <c r="Y1240" s="988"/>
    </row>
    <row r="1241" spans="1:25" x14ac:dyDescent="0.2">
      <c r="A1241" s="987"/>
      <c r="B1241" s="987"/>
      <c r="C1241" s="987"/>
      <c r="D1241" s="987"/>
      <c r="E1241" s="987"/>
      <c r="R1241" s="988"/>
      <c r="S1241" s="988"/>
      <c r="T1241" s="988"/>
      <c r="U1241" s="988"/>
      <c r="V1241" s="988"/>
      <c r="W1241" s="988"/>
      <c r="X1241" s="988"/>
      <c r="Y1241" s="988"/>
    </row>
    <row r="1242" spans="1:25" x14ac:dyDescent="0.2">
      <c r="A1242" s="987"/>
      <c r="B1242" s="987"/>
      <c r="C1242" s="987"/>
      <c r="D1242" s="987"/>
      <c r="E1242" s="987"/>
      <c r="R1242" s="988"/>
      <c r="S1242" s="988"/>
      <c r="T1242" s="988"/>
      <c r="U1242" s="988"/>
      <c r="V1242" s="988"/>
      <c r="W1242" s="988"/>
      <c r="X1242" s="988"/>
      <c r="Y1242" s="988"/>
    </row>
    <row r="1243" spans="1:25" x14ac:dyDescent="0.2">
      <c r="A1243" s="987"/>
      <c r="B1243" s="987"/>
      <c r="C1243" s="987"/>
      <c r="D1243" s="987"/>
      <c r="E1243" s="987"/>
      <c r="R1243" s="988"/>
      <c r="S1243" s="988"/>
      <c r="T1243" s="988"/>
      <c r="U1243" s="988"/>
      <c r="V1243" s="988"/>
      <c r="W1243" s="988"/>
      <c r="X1243" s="988"/>
      <c r="Y1243" s="988"/>
    </row>
    <row r="1244" spans="1:25" x14ac:dyDescent="0.2">
      <c r="A1244" s="987"/>
      <c r="B1244" s="987"/>
      <c r="C1244" s="987"/>
      <c r="D1244" s="987"/>
      <c r="E1244" s="987"/>
      <c r="R1244" s="988"/>
      <c r="S1244" s="988"/>
      <c r="T1244" s="988"/>
      <c r="U1244" s="988"/>
      <c r="V1244" s="988"/>
      <c r="W1244" s="988"/>
      <c r="X1244" s="988"/>
      <c r="Y1244" s="988"/>
    </row>
    <row r="1245" spans="1:25" x14ac:dyDescent="0.2">
      <c r="A1245" s="987"/>
      <c r="B1245" s="987"/>
      <c r="C1245" s="987"/>
      <c r="D1245" s="987"/>
      <c r="E1245" s="987"/>
      <c r="R1245" s="988"/>
      <c r="S1245" s="988"/>
      <c r="T1245" s="988"/>
      <c r="U1245" s="988"/>
      <c r="V1245" s="988"/>
      <c r="W1245" s="988"/>
      <c r="X1245" s="988"/>
      <c r="Y1245" s="988"/>
    </row>
    <row r="1246" spans="1:25" x14ac:dyDescent="0.2">
      <c r="A1246" s="987"/>
      <c r="B1246" s="987"/>
      <c r="C1246" s="987"/>
      <c r="D1246" s="987"/>
      <c r="E1246" s="987"/>
      <c r="R1246" s="988"/>
      <c r="S1246" s="988"/>
      <c r="T1246" s="988"/>
      <c r="U1246" s="988"/>
      <c r="V1246" s="988"/>
      <c r="W1246" s="988"/>
      <c r="X1246" s="988"/>
      <c r="Y1246" s="988"/>
    </row>
    <row r="1247" spans="1:25" x14ac:dyDescent="0.2">
      <c r="A1247" s="987"/>
      <c r="B1247" s="987"/>
      <c r="C1247" s="987"/>
      <c r="D1247" s="987"/>
      <c r="E1247" s="987"/>
      <c r="R1247" s="988"/>
      <c r="S1247" s="988"/>
      <c r="T1247" s="988"/>
      <c r="U1247" s="988"/>
      <c r="V1247" s="988"/>
      <c r="W1247" s="988"/>
      <c r="X1247" s="988"/>
      <c r="Y1247" s="988"/>
    </row>
    <row r="1248" spans="1:25" x14ac:dyDescent="0.2">
      <c r="A1248" s="987"/>
      <c r="B1248" s="987"/>
      <c r="C1248" s="987"/>
      <c r="D1248" s="987"/>
      <c r="E1248" s="987"/>
      <c r="R1248" s="988"/>
      <c r="S1248" s="988"/>
      <c r="T1248" s="988"/>
      <c r="U1248" s="988"/>
      <c r="V1248" s="988"/>
      <c r="W1248" s="988"/>
      <c r="X1248" s="988"/>
      <c r="Y1248" s="988"/>
    </row>
    <row r="1249" spans="1:25" x14ac:dyDescent="0.2">
      <c r="A1249" s="987"/>
      <c r="B1249" s="987"/>
      <c r="C1249" s="987"/>
      <c r="D1249" s="987"/>
      <c r="E1249" s="987"/>
      <c r="R1249" s="988"/>
      <c r="S1249" s="988"/>
      <c r="T1249" s="988"/>
      <c r="U1249" s="988"/>
      <c r="V1249" s="988"/>
      <c r="W1249" s="988"/>
      <c r="X1249" s="988"/>
      <c r="Y1249" s="988"/>
    </row>
    <row r="1250" spans="1:25" x14ac:dyDescent="0.2">
      <c r="A1250" s="987"/>
      <c r="B1250" s="987"/>
      <c r="C1250" s="987"/>
      <c r="D1250" s="987"/>
      <c r="E1250" s="987"/>
      <c r="R1250" s="988"/>
      <c r="S1250" s="988"/>
      <c r="T1250" s="988"/>
      <c r="U1250" s="988"/>
      <c r="V1250" s="988"/>
      <c r="W1250" s="988"/>
      <c r="X1250" s="988"/>
      <c r="Y1250" s="988"/>
    </row>
    <row r="1251" spans="1:25" x14ac:dyDescent="0.2">
      <c r="A1251" s="987"/>
      <c r="B1251" s="987"/>
      <c r="C1251" s="987"/>
      <c r="D1251" s="987"/>
      <c r="E1251" s="987"/>
      <c r="R1251" s="988"/>
      <c r="S1251" s="988"/>
      <c r="T1251" s="988"/>
      <c r="U1251" s="988"/>
      <c r="V1251" s="988"/>
      <c r="W1251" s="988"/>
      <c r="X1251" s="988"/>
      <c r="Y1251" s="988"/>
    </row>
    <row r="1252" spans="1:25" x14ac:dyDescent="0.2">
      <c r="A1252" s="987"/>
      <c r="B1252" s="987"/>
      <c r="C1252" s="987"/>
      <c r="D1252" s="987"/>
      <c r="E1252" s="987"/>
      <c r="R1252" s="988"/>
      <c r="S1252" s="988"/>
      <c r="T1252" s="988"/>
      <c r="U1252" s="988"/>
      <c r="V1252" s="988"/>
      <c r="W1252" s="988"/>
      <c r="X1252" s="988"/>
      <c r="Y1252" s="988"/>
    </row>
    <row r="1253" spans="1:25" x14ac:dyDescent="0.2">
      <c r="A1253" s="987"/>
      <c r="B1253" s="987"/>
      <c r="C1253" s="987"/>
      <c r="D1253" s="987"/>
      <c r="E1253" s="987"/>
      <c r="R1253" s="988"/>
      <c r="S1253" s="988"/>
      <c r="T1253" s="988"/>
      <c r="U1253" s="988"/>
      <c r="V1253" s="988"/>
      <c r="W1253" s="988"/>
      <c r="X1253" s="988"/>
      <c r="Y1253" s="988"/>
    </row>
    <row r="1254" spans="1:25" x14ac:dyDescent="0.2">
      <c r="A1254" s="987"/>
      <c r="B1254" s="987"/>
      <c r="C1254" s="987"/>
      <c r="D1254" s="987"/>
      <c r="E1254" s="987"/>
      <c r="R1254" s="988"/>
      <c r="S1254" s="988"/>
      <c r="T1254" s="988"/>
      <c r="U1254" s="988"/>
      <c r="V1254" s="988"/>
      <c r="W1254" s="988"/>
      <c r="X1254" s="988"/>
      <c r="Y1254" s="988"/>
    </row>
    <row r="1255" spans="1:25" x14ac:dyDescent="0.2">
      <c r="A1255" s="987"/>
      <c r="B1255" s="987"/>
      <c r="C1255" s="987"/>
      <c r="D1255" s="987"/>
      <c r="E1255" s="987"/>
      <c r="R1255" s="988"/>
      <c r="S1255" s="988"/>
      <c r="T1255" s="988"/>
      <c r="U1255" s="988"/>
      <c r="V1255" s="988"/>
      <c r="W1255" s="988"/>
      <c r="X1255" s="988"/>
      <c r="Y1255" s="988"/>
    </row>
    <row r="1256" spans="1:25" x14ac:dyDescent="0.2">
      <c r="A1256" s="987"/>
      <c r="B1256" s="987"/>
      <c r="C1256" s="987"/>
      <c r="D1256" s="987"/>
      <c r="E1256" s="987"/>
      <c r="R1256" s="988"/>
      <c r="S1256" s="988"/>
      <c r="T1256" s="988"/>
      <c r="U1256" s="988"/>
      <c r="V1256" s="988"/>
      <c r="W1256" s="988"/>
      <c r="X1256" s="988"/>
      <c r="Y1256" s="988"/>
    </row>
    <row r="1257" spans="1:25" x14ac:dyDescent="0.2">
      <c r="A1257" s="987"/>
      <c r="B1257" s="987"/>
      <c r="C1257" s="987"/>
      <c r="D1257" s="987"/>
      <c r="E1257" s="987"/>
      <c r="R1257" s="988"/>
      <c r="S1257" s="988"/>
      <c r="T1257" s="988"/>
      <c r="U1257" s="988"/>
      <c r="V1257" s="988"/>
      <c r="W1257" s="988"/>
      <c r="X1257" s="988"/>
      <c r="Y1257" s="988"/>
    </row>
    <row r="1258" spans="1:25" x14ac:dyDescent="0.2">
      <c r="A1258" s="987"/>
      <c r="B1258" s="987"/>
      <c r="C1258" s="987"/>
      <c r="D1258" s="987"/>
      <c r="E1258" s="987"/>
      <c r="R1258" s="988"/>
      <c r="S1258" s="988"/>
      <c r="T1258" s="988"/>
      <c r="U1258" s="988"/>
      <c r="V1258" s="988"/>
      <c r="W1258" s="988"/>
      <c r="X1258" s="988"/>
      <c r="Y1258" s="988"/>
    </row>
    <row r="1259" spans="1:25" x14ac:dyDescent="0.2">
      <c r="A1259" s="987"/>
      <c r="B1259" s="987"/>
      <c r="C1259" s="987"/>
      <c r="D1259" s="987"/>
      <c r="E1259" s="987"/>
      <c r="R1259" s="988"/>
      <c r="S1259" s="988"/>
      <c r="T1259" s="988"/>
      <c r="U1259" s="988"/>
      <c r="V1259" s="988"/>
      <c r="W1259" s="988"/>
      <c r="X1259" s="988"/>
      <c r="Y1259" s="988"/>
    </row>
    <row r="1260" spans="1:25" x14ac:dyDescent="0.2">
      <c r="A1260" s="987"/>
      <c r="B1260" s="987"/>
      <c r="C1260" s="987"/>
      <c r="D1260" s="987"/>
      <c r="E1260" s="987"/>
      <c r="R1260" s="988"/>
      <c r="S1260" s="988"/>
      <c r="T1260" s="988"/>
      <c r="U1260" s="988"/>
      <c r="V1260" s="988"/>
      <c r="W1260" s="988"/>
      <c r="X1260" s="988"/>
      <c r="Y1260" s="988"/>
    </row>
    <row r="1261" spans="1:25" x14ac:dyDescent="0.2">
      <c r="A1261" s="987"/>
      <c r="B1261" s="987"/>
      <c r="C1261" s="987"/>
      <c r="D1261" s="987"/>
      <c r="E1261" s="987"/>
      <c r="R1261" s="988"/>
      <c r="S1261" s="988"/>
      <c r="T1261" s="988"/>
      <c r="U1261" s="988"/>
      <c r="V1261" s="988"/>
      <c r="W1261" s="988"/>
      <c r="X1261" s="988"/>
      <c r="Y1261" s="988"/>
    </row>
    <row r="1262" spans="1:25" x14ac:dyDescent="0.2">
      <c r="A1262" s="987"/>
      <c r="B1262" s="987"/>
      <c r="C1262" s="987"/>
      <c r="D1262" s="987"/>
      <c r="E1262" s="987"/>
      <c r="R1262" s="988"/>
      <c r="S1262" s="988"/>
      <c r="T1262" s="988"/>
      <c r="U1262" s="988"/>
      <c r="V1262" s="988"/>
      <c r="W1262" s="988"/>
      <c r="X1262" s="988"/>
      <c r="Y1262" s="988"/>
    </row>
    <row r="1263" spans="1:25" x14ac:dyDescent="0.2">
      <c r="A1263" s="987"/>
      <c r="B1263" s="987"/>
      <c r="C1263" s="987"/>
      <c r="D1263" s="987"/>
      <c r="E1263" s="987"/>
      <c r="R1263" s="988"/>
      <c r="S1263" s="988"/>
      <c r="T1263" s="988"/>
      <c r="U1263" s="988"/>
      <c r="V1263" s="988"/>
      <c r="W1263" s="988"/>
      <c r="X1263" s="988"/>
      <c r="Y1263" s="988"/>
    </row>
    <row r="1264" spans="1:25" x14ac:dyDescent="0.2">
      <c r="A1264" s="987"/>
      <c r="B1264" s="987"/>
      <c r="C1264" s="987"/>
      <c r="D1264" s="987"/>
      <c r="E1264" s="987"/>
      <c r="R1264" s="988"/>
      <c r="S1264" s="988"/>
      <c r="T1264" s="988"/>
      <c r="U1264" s="988"/>
      <c r="V1264" s="988"/>
      <c r="W1264" s="988"/>
      <c r="X1264" s="988"/>
      <c r="Y1264" s="988"/>
    </row>
    <row r="1265" spans="1:25" x14ac:dyDescent="0.2">
      <c r="A1265" s="987"/>
      <c r="B1265" s="987"/>
      <c r="C1265" s="987"/>
      <c r="D1265" s="987"/>
      <c r="E1265" s="987"/>
      <c r="R1265" s="988"/>
      <c r="S1265" s="988"/>
      <c r="T1265" s="988"/>
      <c r="U1265" s="988"/>
      <c r="V1265" s="988"/>
      <c r="W1265" s="988"/>
      <c r="X1265" s="988"/>
      <c r="Y1265" s="988"/>
    </row>
    <row r="1266" spans="1:25" x14ac:dyDescent="0.2">
      <c r="A1266" s="987"/>
      <c r="B1266" s="987"/>
      <c r="C1266" s="987"/>
      <c r="D1266" s="987"/>
      <c r="E1266" s="987"/>
      <c r="R1266" s="988"/>
      <c r="S1266" s="988"/>
      <c r="T1266" s="988"/>
      <c r="U1266" s="988"/>
      <c r="V1266" s="988"/>
      <c r="W1266" s="988"/>
      <c r="X1266" s="988"/>
      <c r="Y1266" s="988"/>
    </row>
    <row r="1267" spans="1:25" x14ac:dyDescent="0.2">
      <c r="A1267" s="987"/>
      <c r="B1267" s="987"/>
      <c r="C1267" s="987"/>
      <c r="D1267" s="987"/>
      <c r="E1267" s="987"/>
      <c r="R1267" s="988"/>
      <c r="S1267" s="988"/>
      <c r="T1267" s="988"/>
      <c r="U1267" s="988"/>
      <c r="V1267" s="988"/>
      <c r="W1267" s="988"/>
      <c r="X1267" s="988"/>
      <c r="Y1267" s="988"/>
    </row>
    <row r="1268" spans="1:25" x14ac:dyDescent="0.2">
      <c r="A1268" s="987"/>
      <c r="B1268" s="987"/>
      <c r="C1268" s="987"/>
      <c r="D1268" s="987"/>
      <c r="E1268" s="987"/>
      <c r="R1268" s="988"/>
      <c r="S1268" s="988"/>
      <c r="T1268" s="988"/>
      <c r="U1268" s="988"/>
      <c r="V1268" s="988"/>
      <c r="W1268" s="988"/>
      <c r="X1268" s="988"/>
      <c r="Y1268" s="988"/>
    </row>
    <row r="1269" spans="1:25" x14ac:dyDescent="0.2">
      <c r="A1269" s="987"/>
      <c r="B1269" s="987"/>
      <c r="C1269" s="987"/>
      <c r="D1269" s="987"/>
      <c r="E1269" s="987"/>
      <c r="R1269" s="988"/>
      <c r="S1269" s="988"/>
      <c r="T1269" s="988"/>
      <c r="U1269" s="988"/>
      <c r="V1269" s="988"/>
      <c r="W1269" s="988"/>
      <c r="X1269" s="988"/>
      <c r="Y1269" s="988"/>
    </row>
    <row r="1270" spans="1:25" x14ac:dyDescent="0.2">
      <c r="A1270" s="987"/>
      <c r="B1270" s="987"/>
      <c r="C1270" s="987"/>
      <c r="D1270" s="987"/>
      <c r="E1270" s="987"/>
      <c r="R1270" s="988"/>
      <c r="S1270" s="988"/>
      <c r="T1270" s="988"/>
      <c r="U1270" s="988"/>
      <c r="V1270" s="988"/>
      <c r="W1270" s="988"/>
      <c r="X1270" s="988"/>
      <c r="Y1270" s="988"/>
    </row>
    <row r="1271" spans="1:25" x14ac:dyDescent="0.2">
      <c r="A1271" s="987"/>
      <c r="B1271" s="987"/>
      <c r="C1271" s="987"/>
      <c r="D1271" s="987"/>
      <c r="E1271" s="987"/>
      <c r="R1271" s="988"/>
      <c r="S1271" s="988"/>
      <c r="T1271" s="988"/>
      <c r="U1271" s="988"/>
      <c r="V1271" s="988"/>
      <c r="W1271" s="988"/>
      <c r="X1271" s="988"/>
      <c r="Y1271" s="988"/>
    </row>
    <row r="1272" spans="1:25" x14ac:dyDescent="0.2">
      <c r="A1272" s="987"/>
      <c r="B1272" s="987"/>
      <c r="C1272" s="987"/>
      <c r="D1272" s="987"/>
      <c r="E1272" s="987"/>
      <c r="R1272" s="988"/>
      <c r="S1272" s="988"/>
      <c r="T1272" s="988"/>
      <c r="U1272" s="988"/>
      <c r="V1272" s="988"/>
      <c r="W1272" s="988"/>
      <c r="X1272" s="988"/>
      <c r="Y1272" s="988"/>
    </row>
    <row r="1273" spans="1:25" x14ac:dyDescent="0.2">
      <c r="A1273" s="987"/>
      <c r="B1273" s="987"/>
      <c r="C1273" s="987"/>
      <c r="D1273" s="987"/>
      <c r="E1273" s="987"/>
      <c r="R1273" s="988"/>
      <c r="S1273" s="988"/>
      <c r="T1273" s="988"/>
      <c r="U1273" s="988"/>
      <c r="V1273" s="988"/>
      <c r="W1273" s="988"/>
      <c r="X1273" s="988"/>
      <c r="Y1273" s="988"/>
    </row>
    <row r="1274" spans="1:25" x14ac:dyDescent="0.2">
      <c r="A1274" s="987"/>
      <c r="B1274" s="987"/>
      <c r="C1274" s="987"/>
      <c r="D1274" s="987"/>
      <c r="E1274" s="987"/>
      <c r="R1274" s="988"/>
      <c r="S1274" s="988"/>
      <c r="T1274" s="988"/>
      <c r="U1274" s="988"/>
      <c r="V1274" s="988"/>
      <c r="W1274" s="988"/>
      <c r="X1274" s="988"/>
      <c r="Y1274" s="988"/>
    </row>
    <row r="1275" spans="1:25" x14ac:dyDescent="0.2">
      <c r="A1275" s="987"/>
      <c r="B1275" s="987"/>
      <c r="C1275" s="987"/>
      <c r="D1275" s="987"/>
      <c r="E1275" s="987"/>
      <c r="R1275" s="988"/>
      <c r="S1275" s="988"/>
      <c r="T1275" s="988"/>
      <c r="U1275" s="988"/>
      <c r="V1275" s="988"/>
      <c r="W1275" s="988"/>
      <c r="X1275" s="988"/>
      <c r="Y1275" s="988"/>
    </row>
    <row r="1276" spans="1:25" x14ac:dyDescent="0.2">
      <c r="A1276" s="987"/>
      <c r="B1276" s="987"/>
      <c r="C1276" s="987"/>
      <c r="D1276" s="987"/>
      <c r="E1276" s="987"/>
      <c r="R1276" s="988"/>
      <c r="S1276" s="988"/>
      <c r="T1276" s="988"/>
      <c r="U1276" s="988"/>
      <c r="V1276" s="988"/>
      <c r="W1276" s="988"/>
      <c r="X1276" s="988"/>
      <c r="Y1276" s="988"/>
    </row>
    <row r="1277" spans="1:25" x14ac:dyDescent="0.2">
      <c r="A1277" s="987"/>
      <c r="B1277" s="987"/>
      <c r="C1277" s="987"/>
      <c r="D1277" s="987"/>
      <c r="E1277" s="987"/>
      <c r="R1277" s="988"/>
      <c r="S1277" s="988"/>
      <c r="T1277" s="988"/>
      <c r="U1277" s="988"/>
      <c r="V1277" s="988"/>
      <c r="W1277" s="988"/>
      <c r="X1277" s="988"/>
      <c r="Y1277" s="988"/>
    </row>
    <row r="1278" spans="1:25" x14ac:dyDescent="0.2">
      <c r="A1278" s="987"/>
      <c r="B1278" s="987"/>
      <c r="C1278" s="987"/>
      <c r="D1278" s="987"/>
      <c r="E1278" s="987"/>
      <c r="R1278" s="988"/>
      <c r="S1278" s="988"/>
      <c r="T1278" s="988"/>
      <c r="U1278" s="988"/>
      <c r="V1278" s="988"/>
      <c r="W1278" s="988"/>
      <c r="X1278" s="988"/>
      <c r="Y1278" s="988"/>
    </row>
    <row r="1279" spans="1:25" x14ac:dyDescent="0.2">
      <c r="A1279" s="987"/>
      <c r="B1279" s="987"/>
      <c r="C1279" s="987"/>
      <c r="D1279" s="987"/>
      <c r="E1279" s="987"/>
      <c r="R1279" s="988"/>
      <c r="S1279" s="988"/>
      <c r="T1279" s="988"/>
      <c r="U1279" s="988"/>
      <c r="V1279" s="988"/>
      <c r="W1279" s="988"/>
      <c r="X1279" s="988"/>
      <c r="Y1279" s="988"/>
    </row>
    <row r="1280" spans="1:25" x14ac:dyDescent="0.2">
      <c r="A1280" s="987"/>
      <c r="B1280" s="987"/>
      <c r="C1280" s="987"/>
      <c r="D1280" s="987"/>
      <c r="E1280" s="987"/>
      <c r="R1280" s="988"/>
      <c r="S1280" s="988"/>
      <c r="T1280" s="988"/>
      <c r="U1280" s="988"/>
      <c r="V1280" s="988"/>
      <c r="W1280" s="988"/>
      <c r="X1280" s="988"/>
      <c r="Y1280" s="988"/>
    </row>
    <row r="1281" spans="1:25" x14ac:dyDescent="0.2">
      <c r="A1281" s="987"/>
      <c r="B1281" s="987"/>
      <c r="C1281" s="987"/>
      <c r="D1281" s="987"/>
      <c r="E1281" s="987"/>
      <c r="R1281" s="988"/>
      <c r="S1281" s="988"/>
      <c r="T1281" s="988"/>
      <c r="U1281" s="988"/>
      <c r="V1281" s="988"/>
      <c r="W1281" s="988"/>
      <c r="X1281" s="988"/>
      <c r="Y1281" s="988"/>
    </row>
    <row r="1282" spans="1:25" x14ac:dyDescent="0.2">
      <c r="A1282" s="987"/>
      <c r="B1282" s="987"/>
      <c r="C1282" s="987"/>
      <c r="D1282" s="987"/>
      <c r="E1282" s="987"/>
      <c r="R1282" s="988"/>
      <c r="S1282" s="988"/>
      <c r="T1282" s="988"/>
      <c r="U1282" s="988"/>
      <c r="V1282" s="988"/>
      <c r="W1282" s="988"/>
      <c r="X1282" s="988"/>
      <c r="Y1282" s="988"/>
    </row>
    <row r="1283" spans="1:25" x14ac:dyDescent="0.2">
      <c r="A1283" s="987"/>
      <c r="B1283" s="987"/>
      <c r="C1283" s="987"/>
      <c r="D1283" s="987"/>
      <c r="E1283" s="987"/>
      <c r="R1283" s="988"/>
      <c r="S1283" s="988"/>
      <c r="T1283" s="988"/>
      <c r="U1283" s="988"/>
      <c r="V1283" s="988"/>
      <c r="W1283" s="988"/>
      <c r="X1283" s="988"/>
      <c r="Y1283" s="988"/>
    </row>
    <row r="1284" spans="1:25" x14ac:dyDescent="0.2">
      <c r="A1284" s="987"/>
      <c r="B1284" s="987"/>
      <c r="C1284" s="987"/>
      <c r="D1284" s="987"/>
      <c r="E1284" s="987"/>
      <c r="R1284" s="988"/>
      <c r="S1284" s="988"/>
      <c r="T1284" s="988"/>
      <c r="U1284" s="988"/>
      <c r="V1284" s="988"/>
      <c r="W1284" s="988"/>
      <c r="X1284" s="988"/>
      <c r="Y1284" s="988"/>
    </row>
    <row r="1285" spans="1:25" x14ac:dyDescent="0.2">
      <c r="A1285" s="987"/>
      <c r="B1285" s="987"/>
      <c r="C1285" s="987"/>
      <c r="D1285" s="987"/>
      <c r="E1285" s="987"/>
      <c r="R1285" s="988"/>
      <c r="S1285" s="988"/>
      <c r="T1285" s="988"/>
      <c r="U1285" s="988"/>
      <c r="V1285" s="988"/>
      <c r="W1285" s="988"/>
      <c r="X1285" s="988"/>
      <c r="Y1285" s="988"/>
    </row>
    <row r="1286" spans="1:25" x14ac:dyDescent="0.2">
      <c r="A1286" s="987"/>
      <c r="B1286" s="987"/>
      <c r="C1286" s="987"/>
      <c r="D1286" s="987"/>
      <c r="E1286" s="987"/>
      <c r="R1286" s="988"/>
      <c r="S1286" s="988"/>
      <c r="T1286" s="988"/>
      <c r="U1286" s="988"/>
      <c r="V1286" s="988"/>
      <c r="W1286" s="988"/>
      <c r="X1286" s="988"/>
      <c r="Y1286" s="988"/>
    </row>
    <row r="1287" spans="1:25" x14ac:dyDescent="0.2">
      <c r="A1287" s="987"/>
      <c r="B1287" s="987"/>
      <c r="C1287" s="987"/>
      <c r="D1287" s="987"/>
      <c r="E1287" s="987"/>
      <c r="R1287" s="988"/>
      <c r="S1287" s="988"/>
      <c r="T1287" s="988"/>
      <c r="U1287" s="988"/>
      <c r="V1287" s="988"/>
      <c r="W1287" s="988"/>
      <c r="X1287" s="988"/>
      <c r="Y1287" s="988"/>
    </row>
    <row r="1288" spans="1:25" x14ac:dyDescent="0.2">
      <c r="A1288" s="987"/>
      <c r="B1288" s="987"/>
      <c r="C1288" s="987"/>
      <c r="D1288" s="987"/>
      <c r="E1288" s="987"/>
      <c r="R1288" s="988"/>
      <c r="S1288" s="988"/>
      <c r="T1288" s="988"/>
      <c r="U1288" s="988"/>
      <c r="V1288" s="988"/>
      <c r="W1288" s="988"/>
      <c r="X1288" s="988"/>
      <c r="Y1288" s="988"/>
    </row>
    <row r="1289" spans="1:25" x14ac:dyDescent="0.2">
      <c r="A1289" s="987"/>
      <c r="B1289" s="987"/>
      <c r="C1289" s="987"/>
      <c r="D1289" s="987"/>
      <c r="E1289" s="987"/>
      <c r="R1289" s="988"/>
      <c r="S1289" s="988"/>
      <c r="T1289" s="988"/>
      <c r="U1289" s="988"/>
      <c r="V1289" s="988"/>
      <c r="W1289" s="988"/>
      <c r="X1289" s="988"/>
      <c r="Y1289" s="988"/>
    </row>
    <row r="1290" spans="1:25" x14ac:dyDescent="0.2">
      <c r="A1290" s="987"/>
      <c r="B1290" s="987"/>
      <c r="C1290" s="987"/>
      <c r="D1290" s="987"/>
      <c r="E1290" s="987"/>
      <c r="R1290" s="988"/>
      <c r="S1290" s="988"/>
      <c r="T1290" s="988"/>
      <c r="U1290" s="988"/>
      <c r="V1290" s="988"/>
      <c r="W1290" s="988"/>
      <c r="X1290" s="988"/>
      <c r="Y1290" s="988"/>
    </row>
    <row r="1291" spans="1:25" x14ac:dyDescent="0.2">
      <c r="A1291" s="987"/>
      <c r="B1291" s="987"/>
      <c r="C1291" s="987"/>
      <c r="D1291" s="987"/>
      <c r="E1291" s="987"/>
      <c r="R1291" s="988"/>
      <c r="S1291" s="988"/>
      <c r="T1291" s="988"/>
      <c r="U1291" s="988"/>
      <c r="V1291" s="988"/>
      <c r="W1291" s="988"/>
      <c r="X1291" s="988"/>
      <c r="Y1291" s="988"/>
    </row>
    <row r="1292" spans="1:25" x14ac:dyDescent="0.2">
      <c r="A1292" s="987"/>
      <c r="B1292" s="987"/>
      <c r="C1292" s="987"/>
      <c r="D1292" s="987"/>
      <c r="E1292" s="987"/>
      <c r="R1292" s="988"/>
      <c r="S1292" s="988"/>
      <c r="T1292" s="988"/>
      <c r="U1292" s="988"/>
      <c r="V1292" s="988"/>
      <c r="W1292" s="988"/>
      <c r="X1292" s="988"/>
      <c r="Y1292" s="988"/>
    </row>
    <row r="1293" spans="1:25" x14ac:dyDescent="0.2">
      <c r="A1293" s="987"/>
      <c r="B1293" s="987"/>
      <c r="C1293" s="987"/>
      <c r="D1293" s="987"/>
      <c r="E1293" s="987"/>
      <c r="R1293" s="988"/>
      <c r="S1293" s="988"/>
      <c r="T1293" s="988"/>
      <c r="U1293" s="988"/>
      <c r="V1293" s="988"/>
      <c r="W1293" s="988"/>
      <c r="X1293" s="988"/>
      <c r="Y1293" s="988"/>
    </row>
    <row r="1294" spans="1:25" x14ac:dyDescent="0.2">
      <c r="A1294" s="987"/>
      <c r="B1294" s="987"/>
      <c r="C1294" s="987"/>
      <c r="D1294" s="987"/>
      <c r="E1294" s="987"/>
      <c r="R1294" s="988"/>
      <c r="S1294" s="988"/>
      <c r="T1294" s="988"/>
      <c r="U1294" s="988"/>
      <c r="V1294" s="988"/>
      <c r="W1294" s="988"/>
      <c r="X1294" s="988"/>
      <c r="Y1294" s="988"/>
    </row>
    <row r="1295" spans="1:25" x14ac:dyDescent="0.2">
      <c r="A1295" s="987"/>
      <c r="B1295" s="987"/>
      <c r="C1295" s="987"/>
      <c r="D1295" s="987"/>
      <c r="E1295" s="987"/>
      <c r="R1295" s="988"/>
      <c r="S1295" s="988"/>
      <c r="T1295" s="988"/>
      <c r="U1295" s="988"/>
      <c r="V1295" s="988"/>
      <c r="W1295" s="988"/>
      <c r="X1295" s="988"/>
      <c r="Y1295" s="988"/>
    </row>
    <row r="1296" spans="1:25" x14ac:dyDescent="0.2">
      <c r="A1296" s="987"/>
      <c r="B1296" s="987"/>
      <c r="C1296" s="987"/>
      <c r="D1296" s="987"/>
      <c r="E1296" s="987"/>
      <c r="R1296" s="988"/>
      <c r="S1296" s="988"/>
      <c r="T1296" s="988"/>
      <c r="U1296" s="988"/>
      <c r="V1296" s="988"/>
      <c r="W1296" s="988"/>
      <c r="X1296" s="988"/>
      <c r="Y1296" s="988"/>
    </row>
    <row r="1297" spans="1:25" x14ac:dyDescent="0.2">
      <c r="A1297" s="987"/>
      <c r="B1297" s="987"/>
      <c r="C1297" s="987"/>
      <c r="D1297" s="987"/>
      <c r="E1297" s="987"/>
      <c r="R1297" s="988"/>
      <c r="S1297" s="988"/>
      <c r="T1297" s="988"/>
      <c r="U1297" s="988"/>
      <c r="V1297" s="988"/>
      <c r="W1297" s="988"/>
      <c r="X1297" s="988"/>
      <c r="Y1297" s="988"/>
    </row>
    <row r="1298" spans="1:25" x14ac:dyDescent="0.2">
      <c r="A1298" s="987"/>
      <c r="B1298" s="987"/>
      <c r="C1298" s="987"/>
      <c r="D1298" s="987"/>
      <c r="E1298" s="987"/>
      <c r="R1298" s="988"/>
      <c r="S1298" s="988"/>
      <c r="T1298" s="988"/>
      <c r="U1298" s="988"/>
      <c r="V1298" s="988"/>
      <c r="W1298" s="988"/>
      <c r="X1298" s="988"/>
      <c r="Y1298" s="988"/>
    </row>
    <row r="1299" spans="1:25" x14ac:dyDescent="0.2">
      <c r="A1299" s="987"/>
      <c r="B1299" s="987"/>
      <c r="C1299" s="987"/>
      <c r="D1299" s="987"/>
      <c r="E1299" s="987"/>
      <c r="R1299" s="988"/>
      <c r="S1299" s="988"/>
      <c r="T1299" s="988"/>
      <c r="U1299" s="988"/>
      <c r="V1299" s="988"/>
      <c r="W1299" s="988"/>
      <c r="X1299" s="988"/>
      <c r="Y1299" s="988"/>
    </row>
    <row r="1300" spans="1:25" x14ac:dyDescent="0.2">
      <c r="A1300" s="987"/>
      <c r="B1300" s="987"/>
      <c r="C1300" s="987"/>
      <c r="D1300" s="987"/>
      <c r="E1300" s="987"/>
      <c r="R1300" s="988"/>
      <c r="S1300" s="988"/>
      <c r="T1300" s="988"/>
      <c r="U1300" s="988"/>
      <c r="V1300" s="988"/>
      <c r="W1300" s="988"/>
      <c r="X1300" s="988"/>
      <c r="Y1300" s="988"/>
    </row>
    <row r="1301" spans="1:25" x14ac:dyDescent="0.2">
      <c r="A1301" s="987"/>
      <c r="B1301" s="987"/>
      <c r="C1301" s="987"/>
      <c r="D1301" s="987"/>
      <c r="E1301" s="987"/>
      <c r="R1301" s="988"/>
      <c r="S1301" s="988"/>
      <c r="T1301" s="988"/>
      <c r="U1301" s="988"/>
      <c r="V1301" s="988"/>
      <c r="W1301" s="988"/>
      <c r="X1301" s="988"/>
      <c r="Y1301" s="988"/>
    </row>
    <row r="1302" spans="1:25" x14ac:dyDescent="0.2">
      <c r="A1302" s="987"/>
      <c r="B1302" s="987"/>
      <c r="C1302" s="987"/>
      <c r="D1302" s="987"/>
      <c r="E1302" s="987"/>
      <c r="R1302" s="988"/>
      <c r="S1302" s="988"/>
      <c r="T1302" s="988"/>
      <c r="U1302" s="988"/>
      <c r="V1302" s="988"/>
      <c r="W1302" s="988"/>
      <c r="X1302" s="988"/>
      <c r="Y1302" s="988"/>
    </row>
    <row r="1303" spans="1:25" x14ac:dyDescent="0.2">
      <c r="A1303" s="987"/>
      <c r="B1303" s="987"/>
      <c r="C1303" s="987"/>
      <c r="D1303" s="987"/>
      <c r="E1303" s="987"/>
      <c r="R1303" s="988"/>
      <c r="S1303" s="988"/>
      <c r="T1303" s="988"/>
      <c r="U1303" s="988"/>
      <c r="V1303" s="988"/>
      <c r="W1303" s="988"/>
      <c r="X1303" s="988"/>
      <c r="Y1303" s="988"/>
    </row>
    <row r="1304" spans="1:25" x14ac:dyDescent="0.2">
      <c r="A1304" s="987"/>
      <c r="B1304" s="987"/>
      <c r="C1304" s="987"/>
      <c r="D1304" s="987"/>
      <c r="E1304" s="987"/>
      <c r="R1304" s="988"/>
      <c r="S1304" s="988"/>
      <c r="T1304" s="988"/>
      <c r="U1304" s="988"/>
      <c r="V1304" s="988"/>
      <c r="W1304" s="988"/>
      <c r="X1304" s="988"/>
      <c r="Y1304" s="988"/>
    </row>
    <row r="1305" spans="1:25" x14ac:dyDescent="0.2">
      <c r="A1305" s="987"/>
      <c r="B1305" s="987"/>
      <c r="C1305" s="987"/>
      <c r="D1305" s="987"/>
      <c r="E1305" s="987"/>
      <c r="R1305" s="988"/>
      <c r="S1305" s="988"/>
      <c r="T1305" s="988"/>
      <c r="U1305" s="988"/>
      <c r="V1305" s="988"/>
      <c r="W1305" s="988"/>
      <c r="X1305" s="988"/>
      <c r="Y1305" s="988"/>
    </row>
    <row r="1306" spans="1:25" x14ac:dyDescent="0.2">
      <c r="A1306" s="987"/>
      <c r="B1306" s="987"/>
      <c r="C1306" s="987"/>
      <c r="D1306" s="987"/>
      <c r="E1306" s="987"/>
      <c r="R1306" s="988"/>
      <c r="S1306" s="988"/>
      <c r="T1306" s="988"/>
      <c r="U1306" s="988"/>
      <c r="V1306" s="988"/>
      <c r="W1306" s="988"/>
      <c r="X1306" s="988"/>
      <c r="Y1306" s="988"/>
    </row>
    <row r="1307" spans="1:25" x14ac:dyDescent="0.2">
      <c r="A1307" s="987"/>
      <c r="B1307" s="987"/>
      <c r="C1307" s="987"/>
      <c r="D1307" s="987"/>
      <c r="E1307" s="987"/>
      <c r="R1307" s="988"/>
      <c r="S1307" s="988"/>
      <c r="T1307" s="988"/>
      <c r="U1307" s="988"/>
      <c r="V1307" s="988"/>
      <c r="W1307" s="988"/>
      <c r="X1307" s="988"/>
      <c r="Y1307" s="988"/>
    </row>
    <row r="1308" spans="1:25" x14ac:dyDescent="0.2">
      <c r="A1308" s="987"/>
      <c r="B1308" s="987"/>
      <c r="C1308" s="987"/>
      <c r="D1308" s="987"/>
      <c r="E1308" s="987"/>
      <c r="R1308" s="988"/>
      <c r="S1308" s="988"/>
      <c r="T1308" s="988"/>
      <c r="U1308" s="988"/>
      <c r="V1308" s="988"/>
      <c r="W1308" s="988"/>
      <c r="X1308" s="988"/>
      <c r="Y1308" s="988"/>
    </row>
    <row r="1309" spans="1:25" x14ac:dyDescent="0.2">
      <c r="A1309" s="987"/>
      <c r="B1309" s="987"/>
      <c r="C1309" s="987"/>
      <c r="D1309" s="987"/>
      <c r="E1309" s="987"/>
      <c r="R1309" s="988"/>
      <c r="S1309" s="988"/>
      <c r="T1309" s="988"/>
      <c r="U1309" s="988"/>
      <c r="V1309" s="988"/>
      <c r="W1309" s="988"/>
      <c r="X1309" s="988"/>
      <c r="Y1309" s="988"/>
    </row>
    <row r="1310" spans="1:25" x14ac:dyDescent="0.2">
      <c r="A1310" s="987"/>
      <c r="B1310" s="987"/>
      <c r="C1310" s="987"/>
      <c r="D1310" s="987"/>
      <c r="E1310" s="987"/>
      <c r="R1310" s="988"/>
      <c r="S1310" s="988"/>
      <c r="T1310" s="988"/>
      <c r="U1310" s="988"/>
      <c r="V1310" s="988"/>
      <c r="W1310" s="988"/>
      <c r="X1310" s="988"/>
      <c r="Y1310" s="988"/>
    </row>
    <row r="1311" spans="1:25" x14ac:dyDescent="0.2">
      <c r="A1311" s="987"/>
      <c r="B1311" s="987"/>
      <c r="C1311" s="987"/>
      <c r="D1311" s="987"/>
      <c r="E1311" s="987"/>
      <c r="R1311" s="988"/>
      <c r="S1311" s="988"/>
      <c r="T1311" s="988"/>
      <c r="U1311" s="988"/>
      <c r="V1311" s="988"/>
      <c r="W1311" s="988"/>
      <c r="X1311" s="988"/>
      <c r="Y1311" s="988"/>
    </row>
    <row r="1312" spans="1:25" x14ac:dyDescent="0.2">
      <c r="A1312" s="987"/>
      <c r="B1312" s="987"/>
      <c r="C1312" s="987"/>
      <c r="D1312" s="987"/>
      <c r="E1312" s="987"/>
      <c r="R1312" s="988"/>
      <c r="S1312" s="988"/>
      <c r="T1312" s="988"/>
      <c r="U1312" s="988"/>
      <c r="V1312" s="988"/>
      <c r="W1312" s="988"/>
      <c r="X1312" s="988"/>
      <c r="Y1312" s="988"/>
    </row>
    <row r="1313" spans="1:25" x14ac:dyDescent="0.2">
      <c r="A1313" s="987"/>
      <c r="B1313" s="987"/>
      <c r="C1313" s="987"/>
      <c r="D1313" s="987"/>
      <c r="E1313" s="987"/>
      <c r="R1313" s="988"/>
      <c r="S1313" s="988"/>
      <c r="T1313" s="988"/>
      <c r="U1313" s="988"/>
      <c r="V1313" s="988"/>
      <c r="W1313" s="988"/>
      <c r="X1313" s="988"/>
      <c r="Y1313" s="988"/>
    </row>
    <row r="1314" spans="1:25" x14ac:dyDescent="0.2">
      <c r="A1314" s="987"/>
      <c r="B1314" s="987"/>
      <c r="C1314" s="987"/>
      <c r="D1314" s="987"/>
      <c r="E1314" s="987"/>
      <c r="R1314" s="988"/>
      <c r="S1314" s="988"/>
      <c r="T1314" s="988"/>
      <c r="U1314" s="988"/>
      <c r="V1314" s="988"/>
      <c r="W1314" s="988"/>
      <c r="X1314" s="988"/>
      <c r="Y1314" s="988"/>
    </row>
    <row r="1315" spans="1:25" x14ac:dyDescent="0.2">
      <c r="A1315" s="987"/>
      <c r="B1315" s="987"/>
      <c r="C1315" s="987"/>
      <c r="D1315" s="987"/>
      <c r="E1315" s="987"/>
      <c r="R1315" s="988"/>
      <c r="S1315" s="988"/>
      <c r="T1315" s="988"/>
      <c r="U1315" s="988"/>
      <c r="V1315" s="988"/>
      <c r="W1315" s="988"/>
      <c r="X1315" s="988"/>
      <c r="Y1315" s="988"/>
    </row>
    <row r="1316" spans="1:25" x14ac:dyDescent="0.2">
      <c r="A1316" s="987"/>
      <c r="B1316" s="987"/>
      <c r="C1316" s="987"/>
      <c r="D1316" s="987"/>
      <c r="E1316" s="987"/>
      <c r="R1316" s="988"/>
      <c r="S1316" s="988"/>
      <c r="T1316" s="988"/>
      <c r="U1316" s="988"/>
      <c r="V1316" s="988"/>
      <c r="W1316" s="988"/>
      <c r="X1316" s="988"/>
      <c r="Y1316" s="988"/>
    </row>
    <row r="1317" spans="1:25" x14ac:dyDescent="0.2">
      <c r="A1317" s="987"/>
      <c r="B1317" s="987"/>
      <c r="C1317" s="987"/>
      <c r="D1317" s="987"/>
      <c r="E1317" s="987"/>
      <c r="R1317" s="988"/>
      <c r="S1317" s="988"/>
      <c r="T1317" s="988"/>
      <c r="U1317" s="988"/>
      <c r="V1317" s="988"/>
      <c r="W1317" s="988"/>
      <c r="X1317" s="988"/>
      <c r="Y1317" s="988"/>
    </row>
    <row r="1318" spans="1:25" x14ac:dyDescent="0.2">
      <c r="A1318" s="987"/>
      <c r="B1318" s="987"/>
      <c r="C1318" s="987"/>
      <c r="D1318" s="987"/>
      <c r="E1318" s="987"/>
      <c r="R1318" s="988"/>
      <c r="S1318" s="988"/>
      <c r="T1318" s="988"/>
      <c r="U1318" s="988"/>
      <c r="V1318" s="988"/>
      <c r="W1318" s="988"/>
      <c r="X1318" s="988"/>
      <c r="Y1318" s="988"/>
    </row>
    <row r="1319" spans="1:25" x14ac:dyDescent="0.2">
      <c r="A1319" s="987"/>
      <c r="B1319" s="987"/>
      <c r="C1319" s="987"/>
      <c r="D1319" s="987"/>
      <c r="E1319" s="987"/>
      <c r="R1319" s="988"/>
      <c r="S1319" s="988"/>
      <c r="T1319" s="988"/>
      <c r="U1319" s="988"/>
      <c r="V1319" s="988"/>
      <c r="W1319" s="988"/>
      <c r="X1319" s="988"/>
      <c r="Y1319" s="988"/>
    </row>
    <row r="1320" spans="1:25" x14ac:dyDescent="0.2">
      <c r="A1320" s="987"/>
      <c r="B1320" s="987"/>
      <c r="C1320" s="987"/>
      <c r="D1320" s="987"/>
      <c r="E1320" s="987"/>
      <c r="R1320" s="988"/>
      <c r="S1320" s="988"/>
      <c r="T1320" s="988"/>
      <c r="U1320" s="988"/>
      <c r="V1320" s="988"/>
      <c r="W1320" s="988"/>
      <c r="X1320" s="988"/>
      <c r="Y1320" s="988"/>
    </row>
    <row r="1321" spans="1:25" x14ac:dyDescent="0.2">
      <c r="A1321" s="987"/>
      <c r="B1321" s="987"/>
      <c r="C1321" s="987"/>
      <c r="D1321" s="987"/>
      <c r="E1321" s="987"/>
      <c r="R1321" s="988"/>
      <c r="S1321" s="988"/>
      <c r="T1321" s="988"/>
      <c r="U1321" s="988"/>
      <c r="V1321" s="988"/>
      <c r="W1321" s="988"/>
      <c r="X1321" s="988"/>
      <c r="Y1321" s="988"/>
    </row>
    <row r="1322" spans="1:25" x14ac:dyDescent="0.2">
      <c r="A1322" s="987"/>
      <c r="B1322" s="987"/>
      <c r="C1322" s="987"/>
      <c r="D1322" s="987"/>
      <c r="E1322" s="987"/>
      <c r="R1322" s="988"/>
      <c r="S1322" s="988"/>
      <c r="T1322" s="988"/>
      <c r="U1322" s="988"/>
      <c r="V1322" s="988"/>
      <c r="W1322" s="988"/>
      <c r="X1322" s="988"/>
      <c r="Y1322" s="988"/>
    </row>
    <row r="1323" spans="1:25" x14ac:dyDescent="0.2">
      <c r="A1323" s="987"/>
      <c r="B1323" s="987"/>
      <c r="C1323" s="987"/>
      <c r="D1323" s="987"/>
      <c r="E1323" s="987"/>
      <c r="R1323" s="988"/>
      <c r="S1323" s="988"/>
      <c r="T1323" s="988"/>
      <c r="U1323" s="988"/>
      <c r="V1323" s="988"/>
      <c r="W1323" s="988"/>
      <c r="X1323" s="988"/>
      <c r="Y1323" s="988"/>
    </row>
    <row r="1324" spans="1:25" x14ac:dyDescent="0.2">
      <c r="A1324" s="987"/>
      <c r="B1324" s="987"/>
      <c r="C1324" s="987"/>
      <c r="D1324" s="987"/>
      <c r="E1324" s="987"/>
      <c r="R1324" s="988"/>
      <c r="S1324" s="988"/>
      <c r="T1324" s="988"/>
      <c r="U1324" s="988"/>
      <c r="V1324" s="988"/>
      <c r="W1324" s="988"/>
      <c r="X1324" s="988"/>
      <c r="Y1324" s="988"/>
    </row>
    <row r="1325" spans="1:25" x14ac:dyDescent="0.2">
      <c r="A1325" s="987"/>
      <c r="B1325" s="987"/>
      <c r="C1325" s="987"/>
      <c r="D1325" s="987"/>
      <c r="E1325" s="987"/>
      <c r="R1325" s="988"/>
      <c r="S1325" s="988"/>
      <c r="T1325" s="988"/>
      <c r="U1325" s="988"/>
      <c r="V1325" s="988"/>
      <c r="W1325" s="988"/>
      <c r="X1325" s="988"/>
      <c r="Y1325" s="988"/>
    </row>
    <row r="1326" spans="1:25" x14ac:dyDescent="0.2">
      <c r="A1326" s="987"/>
      <c r="B1326" s="987"/>
      <c r="C1326" s="987"/>
      <c r="D1326" s="987"/>
      <c r="E1326" s="987"/>
      <c r="R1326" s="988"/>
      <c r="S1326" s="988"/>
      <c r="T1326" s="988"/>
      <c r="U1326" s="988"/>
      <c r="V1326" s="988"/>
      <c r="W1326" s="988"/>
      <c r="X1326" s="988"/>
      <c r="Y1326" s="988"/>
    </row>
    <row r="1327" spans="1:25" x14ac:dyDescent="0.2">
      <c r="A1327" s="987"/>
      <c r="B1327" s="987"/>
      <c r="C1327" s="987"/>
      <c r="D1327" s="987"/>
      <c r="E1327" s="987"/>
      <c r="R1327" s="988"/>
      <c r="S1327" s="988"/>
      <c r="T1327" s="988"/>
      <c r="U1327" s="988"/>
      <c r="V1327" s="988"/>
      <c r="W1327" s="988"/>
      <c r="X1327" s="988"/>
      <c r="Y1327" s="988"/>
    </row>
    <row r="1328" spans="1:25" x14ac:dyDescent="0.2">
      <c r="A1328" s="987"/>
      <c r="B1328" s="987"/>
      <c r="C1328" s="987"/>
      <c r="D1328" s="987"/>
      <c r="E1328" s="987"/>
      <c r="R1328" s="988"/>
      <c r="S1328" s="988"/>
      <c r="T1328" s="988"/>
      <c r="U1328" s="988"/>
      <c r="V1328" s="988"/>
      <c r="W1328" s="988"/>
      <c r="X1328" s="988"/>
      <c r="Y1328" s="988"/>
    </row>
    <row r="1329" spans="1:25" x14ac:dyDescent="0.2">
      <c r="A1329" s="987"/>
      <c r="B1329" s="987"/>
      <c r="C1329" s="987"/>
      <c r="D1329" s="987"/>
      <c r="E1329" s="987"/>
      <c r="R1329" s="988"/>
      <c r="S1329" s="988"/>
      <c r="T1329" s="988"/>
      <c r="U1329" s="988"/>
      <c r="V1329" s="988"/>
      <c r="W1329" s="988"/>
      <c r="X1329" s="988"/>
      <c r="Y1329" s="988"/>
    </row>
    <row r="1330" spans="1:25" x14ac:dyDescent="0.2">
      <c r="A1330" s="987"/>
      <c r="B1330" s="987"/>
      <c r="C1330" s="987"/>
      <c r="D1330" s="987"/>
      <c r="E1330" s="987"/>
      <c r="R1330" s="988"/>
      <c r="S1330" s="988"/>
      <c r="T1330" s="988"/>
      <c r="U1330" s="988"/>
      <c r="V1330" s="988"/>
      <c r="W1330" s="988"/>
      <c r="X1330" s="988"/>
      <c r="Y1330" s="988"/>
    </row>
    <row r="1331" spans="1:25" x14ac:dyDescent="0.2">
      <c r="A1331" s="987"/>
      <c r="B1331" s="987"/>
      <c r="C1331" s="987"/>
      <c r="D1331" s="987"/>
      <c r="E1331" s="987"/>
      <c r="R1331" s="988"/>
      <c r="S1331" s="988"/>
      <c r="T1331" s="988"/>
      <c r="U1331" s="988"/>
      <c r="V1331" s="988"/>
      <c r="W1331" s="988"/>
      <c r="X1331" s="988"/>
      <c r="Y1331" s="988"/>
    </row>
    <row r="1332" spans="1:25" x14ac:dyDescent="0.2">
      <c r="A1332" s="987"/>
      <c r="B1332" s="987"/>
      <c r="C1332" s="987"/>
      <c r="D1332" s="987"/>
      <c r="E1332" s="987"/>
      <c r="R1332" s="988"/>
      <c r="S1332" s="988"/>
      <c r="T1332" s="988"/>
      <c r="U1332" s="988"/>
      <c r="V1332" s="988"/>
      <c r="W1332" s="988"/>
      <c r="X1332" s="988"/>
      <c r="Y1332" s="988"/>
    </row>
    <row r="1333" spans="1:25" x14ac:dyDescent="0.2">
      <c r="A1333" s="987"/>
      <c r="B1333" s="987"/>
      <c r="C1333" s="987"/>
      <c r="D1333" s="987"/>
      <c r="E1333" s="987"/>
      <c r="R1333" s="988"/>
      <c r="S1333" s="988"/>
      <c r="T1333" s="988"/>
      <c r="U1333" s="988"/>
      <c r="V1333" s="988"/>
      <c r="W1333" s="988"/>
      <c r="X1333" s="988"/>
      <c r="Y1333" s="988"/>
    </row>
    <row r="1334" spans="1:25" x14ac:dyDescent="0.2">
      <c r="A1334" s="987"/>
      <c r="B1334" s="987"/>
      <c r="C1334" s="987"/>
      <c r="D1334" s="987"/>
      <c r="E1334" s="987"/>
      <c r="R1334" s="988"/>
      <c r="S1334" s="988"/>
      <c r="T1334" s="988"/>
      <c r="U1334" s="988"/>
      <c r="V1334" s="988"/>
      <c r="W1334" s="988"/>
      <c r="X1334" s="988"/>
      <c r="Y1334" s="988"/>
    </row>
    <row r="1335" spans="1:25" x14ac:dyDescent="0.2">
      <c r="A1335" s="987"/>
      <c r="B1335" s="987"/>
      <c r="C1335" s="987"/>
      <c r="D1335" s="987"/>
      <c r="E1335" s="987"/>
      <c r="R1335" s="988"/>
      <c r="S1335" s="988"/>
      <c r="T1335" s="988"/>
      <c r="U1335" s="988"/>
      <c r="V1335" s="988"/>
      <c r="W1335" s="988"/>
      <c r="X1335" s="988"/>
      <c r="Y1335" s="988"/>
    </row>
    <row r="1336" spans="1:25" x14ac:dyDescent="0.2">
      <c r="A1336" s="987"/>
      <c r="B1336" s="987"/>
      <c r="C1336" s="987"/>
      <c r="D1336" s="987"/>
      <c r="E1336" s="987"/>
      <c r="R1336" s="988"/>
      <c r="S1336" s="988"/>
      <c r="T1336" s="988"/>
      <c r="U1336" s="988"/>
      <c r="V1336" s="988"/>
      <c r="W1336" s="988"/>
      <c r="X1336" s="988"/>
      <c r="Y1336" s="988"/>
    </row>
    <row r="1337" spans="1:25" x14ac:dyDescent="0.2">
      <c r="A1337" s="987"/>
      <c r="B1337" s="987"/>
      <c r="C1337" s="987"/>
      <c r="D1337" s="987"/>
      <c r="E1337" s="987"/>
      <c r="R1337" s="988"/>
      <c r="S1337" s="988"/>
      <c r="T1337" s="988"/>
      <c r="U1337" s="988"/>
      <c r="V1337" s="988"/>
      <c r="W1337" s="988"/>
      <c r="X1337" s="988"/>
      <c r="Y1337" s="988"/>
    </row>
    <row r="1338" spans="1:25" x14ac:dyDescent="0.2">
      <c r="A1338" s="987"/>
      <c r="B1338" s="987"/>
      <c r="C1338" s="987"/>
      <c r="D1338" s="987"/>
      <c r="E1338" s="987"/>
      <c r="R1338" s="988"/>
      <c r="S1338" s="988"/>
      <c r="T1338" s="988"/>
      <c r="U1338" s="988"/>
      <c r="V1338" s="988"/>
      <c r="W1338" s="988"/>
      <c r="X1338" s="988"/>
      <c r="Y1338" s="988"/>
    </row>
    <row r="1339" spans="1:25" x14ac:dyDescent="0.2">
      <c r="A1339" s="987"/>
      <c r="B1339" s="987"/>
      <c r="C1339" s="987"/>
      <c r="D1339" s="987"/>
      <c r="E1339" s="987"/>
      <c r="R1339" s="988"/>
      <c r="S1339" s="988"/>
      <c r="T1339" s="988"/>
      <c r="U1339" s="988"/>
      <c r="V1339" s="988"/>
      <c r="W1339" s="988"/>
      <c r="X1339" s="988"/>
      <c r="Y1339" s="988"/>
    </row>
    <row r="1340" spans="1:25" x14ac:dyDescent="0.2">
      <c r="A1340" s="987"/>
      <c r="B1340" s="987"/>
      <c r="C1340" s="987"/>
      <c r="D1340" s="987"/>
      <c r="E1340" s="987"/>
      <c r="R1340" s="988"/>
      <c r="S1340" s="988"/>
      <c r="T1340" s="988"/>
      <c r="U1340" s="988"/>
      <c r="V1340" s="988"/>
      <c r="W1340" s="988"/>
      <c r="X1340" s="988"/>
      <c r="Y1340" s="988"/>
    </row>
    <row r="1341" spans="1:25" x14ac:dyDescent="0.2">
      <c r="A1341" s="987"/>
      <c r="B1341" s="987"/>
      <c r="C1341" s="987"/>
      <c r="D1341" s="987"/>
      <c r="E1341" s="987"/>
      <c r="R1341" s="988"/>
      <c r="S1341" s="988"/>
      <c r="T1341" s="988"/>
      <c r="U1341" s="988"/>
      <c r="V1341" s="988"/>
      <c r="W1341" s="988"/>
      <c r="X1341" s="988"/>
      <c r="Y1341" s="988"/>
    </row>
    <row r="1342" spans="1:25" x14ac:dyDescent="0.2">
      <c r="A1342" s="987"/>
      <c r="B1342" s="987"/>
      <c r="C1342" s="987"/>
      <c r="D1342" s="987"/>
      <c r="E1342" s="987"/>
      <c r="R1342" s="988"/>
      <c r="S1342" s="988"/>
      <c r="T1342" s="988"/>
      <c r="U1342" s="988"/>
      <c r="V1342" s="988"/>
      <c r="W1342" s="988"/>
      <c r="X1342" s="988"/>
      <c r="Y1342" s="988"/>
    </row>
    <row r="1343" spans="1:25" x14ac:dyDescent="0.2">
      <c r="A1343" s="987"/>
      <c r="B1343" s="987"/>
      <c r="C1343" s="987"/>
      <c r="D1343" s="987"/>
      <c r="E1343" s="987"/>
      <c r="R1343" s="988"/>
      <c r="S1343" s="988"/>
      <c r="T1343" s="988"/>
      <c r="U1343" s="988"/>
      <c r="V1343" s="988"/>
      <c r="W1343" s="988"/>
      <c r="X1343" s="988"/>
      <c r="Y1343" s="988"/>
    </row>
    <row r="1344" spans="1:25" x14ac:dyDescent="0.2">
      <c r="A1344" s="987"/>
      <c r="B1344" s="987"/>
      <c r="C1344" s="987"/>
      <c r="D1344" s="987"/>
      <c r="E1344" s="987"/>
      <c r="R1344" s="988"/>
      <c r="S1344" s="988"/>
      <c r="T1344" s="988"/>
      <c r="U1344" s="988"/>
      <c r="V1344" s="988"/>
      <c r="W1344" s="988"/>
      <c r="X1344" s="988"/>
      <c r="Y1344" s="988"/>
    </row>
    <row r="1345" spans="1:25" x14ac:dyDescent="0.2">
      <c r="A1345" s="987"/>
      <c r="B1345" s="987"/>
      <c r="C1345" s="987"/>
      <c r="D1345" s="987"/>
      <c r="E1345" s="987"/>
      <c r="R1345" s="988"/>
      <c r="S1345" s="988"/>
      <c r="T1345" s="988"/>
      <c r="U1345" s="988"/>
      <c r="V1345" s="988"/>
      <c r="W1345" s="988"/>
      <c r="X1345" s="988"/>
      <c r="Y1345" s="988"/>
    </row>
    <row r="1346" spans="1:25" x14ac:dyDescent="0.2">
      <c r="A1346" s="987"/>
      <c r="B1346" s="987"/>
      <c r="C1346" s="987"/>
      <c r="D1346" s="987"/>
      <c r="E1346" s="987"/>
      <c r="R1346" s="988"/>
      <c r="S1346" s="988"/>
      <c r="T1346" s="988"/>
      <c r="U1346" s="988"/>
      <c r="V1346" s="988"/>
      <c r="W1346" s="988"/>
      <c r="X1346" s="988"/>
      <c r="Y1346" s="988"/>
    </row>
    <row r="1347" spans="1:25" x14ac:dyDescent="0.2">
      <c r="A1347" s="987"/>
      <c r="B1347" s="987"/>
      <c r="C1347" s="987"/>
      <c r="D1347" s="987"/>
      <c r="E1347" s="987"/>
      <c r="R1347" s="988"/>
      <c r="S1347" s="988"/>
      <c r="T1347" s="988"/>
      <c r="U1347" s="988"/>
      <c r="V1347" s="988"/>
      <c r="W1347" s="988"/>
      <c r="X1347" s="988"/>
      <c r="Y1347" s="988"/>
    </row>
    <row r="1348" spans="1:25" x14ac:dyDescent="0.2">
      <c r="A1348" s="987"/>
      <c r="B1348" s="987"/>
      <c r="C1348" s="987"/>
      <c r="D1348" s="987"/>
      <c r="E1348" s="987"/>
      <c r="R1348" s="988"/>
      <c r="S1348" s="988"/>
      <c r="T1348" s="988"/>
      <c r="U1348" s="988"/>
      <c r="V1348" s="988"/>
      <c r="W1348" s="988"/>
      <c r="X1348" s="988"/>
      <c r="Y1348" s="988"/>
    </row>
    <row r="1349" spans="1:25" x14ac:dyDescent="0.2">
      <c r="A1349" s="987"/>
      <c r="B1349" s="987"/>
      <c r="C1349" s="987"/>
      <c r="D1349" s="987"/>
      <c r="E1349" s="987"/>
      <c r="R1349" s="988"/>
      <c r="S1349" s="988"/>
      <c r="T1349" s="988"/>
      <c r="U1349" s="988"/>
      <c r="V1349" s="988"/>
      <c r="W1349" s="988"/>
      <c r="X1349" s="988"/>
      <c r="Y1349" s="988"/>
    </row>
    <row r="1350" spans="1:25" x14ac:dyDescent="0.2">
      <c r="A1350" s="987"/>
      <c r="B1350" s="987"/>
      <c r="C1350" s="987"/>
      <c r="D1350" s="987"/>
      <c r="E1350" s="987"/>
      <c r="R1350" s="988"/>
      <c r="S1350" s="988"/>
      <c r="T1350" s="988"/>
      <c r="U1350" s="988"/>
      <c r="V1350" s="988"/>
      <c r="W1350" s="988"/>
      <c r="X1350" s="988"/>
      <c r="Y1350" s="988"/>
    </row>
    <row r="1351" spans="1:25" x14ac:dyDescent="0.2">
      <c r="A1351" s="987"/>
      <c r="B1351" s="987"/>
      <c r="C1351" s="987"/>
      <c r="D1351" s="987"/>
      <c r="E1351" s="987"/>
      <c r="R1351" s="988"/>
      <c r="S1351" s="988"/>
      <c r="T1351" s="988"/>
      <c r="U1351" s="988"/>
      <c r="V1351" s="988"/>
      <c r="W1351" s="988"/>
      <c r="X1351" s="988"/>
      <c r="Y1351" s="988"/>
    </row>
    <row r="1352" spans="1:25" x14ac:dyDescent="0.2">
      <c r="A1352" s="987"/>
      <c r="B1352" s="987"/>
      <c r="C1352" s="987"/>
      <c r="D1352" s="987"/>
      <c r="E1352" s="987"/>
      <c r="R1352" s="988"/>
      <c r="S1352" s="988"/>
      <c r="T1352" s="988"/>
      <c r="U1352" s="988"/>
      <c r="V1352" s="988"/>
      <c r="W1352" s="988"/>
      <c r="X1352" s="988"/>
      <c r="Y1352" s="988"/>
    </row>
    <row r="1353" spans="1:25" x14ac:dyDescent="0.2">
      <c r="A1353" s="987"/>
      <c r="B1353" s="987"/>
      <c r="C1353" s="987"/>
      <c r="D1353" s="987"/>
      <c r="E1353" s="987"/>
      <c r="R1353" s="988"/>
      <c r="S1353" s="988"/>
      <c r="T1353" s="988"/>
      <c r="U1353" s="988"/>
      <c r="V1353" s="988"/>
      <c r="W1353" s="988"/>
      <c r="X1353" s="988"/>
      <c r="Y1353" s="988"/>
    </row>
    <row r="1354" spans="1:25" x14ac:dyDescent="0.2">
      <c r="A1354" s="987"/>
      <c r="B1354" s="987"/>
      <c r="C1354" s="987"/>
      <c r="D1354" s="987"/>
      <c r="E1354" s="987"/>
      <c r="R1354" s="988"/>
      <c r="S1354" s="988"/>
      <c r="T1354" s="988"/>
      <c r="U1354" s="988"/>
      <c r="V1354" s="988"/>
      <c r="W1354" s="988"/>
      <c r="X1354" s="988"/>
      <c r="Y1354" s="988"/>
    </row>
    <row r="1355" spans="1:25" x14ac:dyDescent="0.2">
      <c r="A1355" s="987"/>
      <c r="B1355" s="987"/>
      <c r="C1355" s="987"/>
      <c r="D1355" s="987"/>
      <c r="E1355" s="987"/>
      <c r="R1355" s="988"/>
      <c r="S1355" s="988"/>
      <c r="T1355" s="988"/>
      <c r="U1355" s="988"/>
      <c r="V1355" s="988"/>
      <c r="W1355" s="988"/>
      <c r="X1355" s="988"/>
      <c r="Y1355" s="988"/>
    </row>
    <row r="1356" spans="1:25" x14ac:dyDescent="0.2">
      <c r="A1356" s="987"/>
      <c r="B1356" s="987"/>
      <c r="C1356" s="987"/>
      <c r="D1356" s="987"/>
      <c r="E1356" s="987"/>
      <c r="R1356" s="988"/>
      <c r="S1356" s="988"/>
      <c r="T1356" s="988"/>
      <c r="U1356" s="988"/>
      <c r="V1356" s="988"/>
      <c r="W1356" s="988"/>
      <c r="X1356" s="988"/>
      <c r="Y1356" s="988"/>
    </row>
    <row r="1357" spans="1:25" x14ac:dyDescent="0.2">
      <c r="A1357" s="987"/>
      <c r="B1357" s="987"/>
      <c r="C1357" s="987"/>
      <c r="D1357" s="987"/>
      <c r="E1357" s="987"/>
      <c r="R1357" s="988"/>
      <c r="S1357" s="988"/>
      <c r="T1357" s="988"/>
      <c r="U1357" s="988"/>
      <c r="V1357" s="988"/>
      <c r="W1357" s="988"/>
      <c r="X1357" s="988"/>
      <c r="Y1357" s="988"/>
    </row>
    <row r="1358" spans="1:25" x14ac:dyDescent="0.2">
      <c r="A1358" s="987"/>
      <c r="B1358" s="987"/>
      <c r="C1358" s="987"/>
      <c r="D1358" s="987"/>
      <c r="E1358" s="987"/>
      <c r="R1358" s="988"/>
      <c r="S1358" s="988"/>
      <c r="T1358" s="988"/>
      <c r="U1358" s="988"/>
      <c r="V1358" s="988"/>
      <c r="W1358" s="988"/>
      <c r="X1358" s="988"/>
      <c r="Y1358" s="988"/>
    </row>
    <row r="1359" spans="1:25" x14ac:dyDescent="0.2">
      <c r="A1359" s="987"/>
      <c r="B1359" s="987"/>
      <c r="C1359" s="987"/>
      <c r="D1359" s="987"/>
      <c r="E1359" s="987"/>
      <c r="R1359" s="988"/>
      <c r="S1359" s="988"/>
      <c r="T1359" s="988"/>
      <c r="U1359" s="988"/>
      <c r="V1359" s="988"/>
      <c r="W1359" s="988"/>
      <c r="X1359" s="988"/>
      <c r="Y1359" s="988"/>
    </row>
    <row r="1360" spans="1:25" x14ac:dyDescent="0.2">
      <c r="A1360" s="987"/>
      <c r="B1360" s="987"/>
      <c r="C1360" s="987"/>
      <c r="D1360" s="987"/>
      <c r="E1360" s="987"/>
      <c r="R1360" s="988"/>
      <c r="S1360" s="988"/>
      <c r="T1360" s="988"/>
      <c r="U1360" s="988"/>
      <c r="V1360" s="988"/>
      <c r="W1360" s="988"/>
      <c r="X1360" s="988"/>
      <c r="Y1360" s="988"/>
    </row>
    <row r="1361" spans="1:25" x14ac:dyDescent="0.2">
      <c r="A1361" s="987"/>
      <c r="B1361" s="987"/>
      <c r="C1361" s="987"/>
      <c r="D1361" s="987"/>
      <c r="E1361" s="987"/>
      <c r="R1361" s="988"/>
      <c r="S1361" s="988"/>
      <c r="T1361" s="988"/>
      <c r="U1361" s="988"/>
      <c r="V1361" s="988"/>
      <c r="W1361" s="988"/>
      <c r="X1361" s="988"/>
      <c r="Y1361" s="988"/>
    </row>
    <row r="1362" spans="1:25" x14ac:dyDescent="0.2">
      <c r="A1362" s="987"/>
      <c r="B1362" s="987"/>
      <c r="C1362" s="987"/>
      <c r="D1362" s="987"/>
      <c r="E1362" s="987"/>
      <c r="R1362" s="988"/>
      <c r="S1362" s="988"/>
      <c r="T1362" s="988"/>
      <c r="U1362" s="988"/>
      <c r="V1362" s="988"/>
      <c r="W1362" s="988"/>
      <c r="X1362" s="988"/>
      <c r="Y1362" s="988"/>
    </row>
    <row r="1363" spans="1:25" x14ac:dyDescent="0.2">
      <c r="A1363" s="987"/>
      <c r="B1363" s="987"/>
      <c r="C1363" s="987"/>
      <c r="D1363" s="987"/>
      <c r="E1363" s="987"/>
      <c r="R1363" s="988"/>
      <c r="S1363" s="988"/>
      <c r="T1363" s="988"/>
      <c r="U1363" s="988"/>
      <c r="V1363" s="988"/>
      <c r="W1363" s="988"/>
      <c r="X1363" s="988"/>
      <c r="Y1363" s="988"/>
    </row>
    <row r="1364" spans="1:25" x14ac:dyDescent="0.2">
      <c r="A1364" s="987"/>
      <c r="B1364" s="987"/>
      <c r="C1364" s="987"/>
      <c r="D1364" s="987"/>
      <c r="E1364" s="987"/>
      <c r="R1364" s="988"/>
      <c r="S1364" s="988"/>
      <c r="T1364" s="988"/>
      <c r="U1364" s="988"/>
      <c r="V1364" s="988"/>
      <c r="W1364" s="988"/>
      <c r="X1364" s="988"/>
      <c r="Y1364" s="988"/>
    </row>
    <row r="1365" spans="1:25" x14ac:dyDescent="0.2">
      <c r="A1365" s="987"/>
      <c r="B1365" s="987"/>
      <c r="C1365" s="987"/>
      <c r="D1365" s="987"/>
      <c r="E1365" s="987"/>
      <c r="R1365" s="988"/>
      <c r="S1365" s="988"/>
      <c r="T1365" s="988"/>
      <c r="U1365" s="988"/>
      <c r="V1365" s="988"/>
      <c r="W1365" s="988"/>
      <c r="X1365" s="988"/>
      <c r="Y1365" s="988"/>
    </row>
    <row r="1366" spans="1:25" x14ac:dyDescent="0.2">
      <c r="A1366" s="987"/>
      <c r="B1366" s="987"/>
      <c r="C1366" s="987"/>
      <c r="D1366" s="987"/>
      <c r="E1366" s="987"/>
      <c r="R1366" s="988"/>
      <c r="S1366" s="988"/>
      <c r="T1366" s="988"/>
      <c r="U1366" s="988"/>
      <c r="V1366" s="988"/>
      <c r="W1366" s="988"/>
      <c r="X1366" s="988"/>
      <c r="Y1366" s="988"/>
    </row>
    <row r="1367" spans="1:25" x14ac:dyDescent="0.2">
      <c r="A1367" s="987"/>
      <c r="B1367" s="987"/>
      <c r="C1367" s="987"/>
      <c r="D1367" s="987"/>
      <c r="E1367" s="987"/>
      <c r="R1367" s="988"/>
      <c r="S1367" s="988"/>
      <c r="T1367" s="988"/>
      <c r="U1367" s="988"/>
      <c r="V1367" s="988"/>
      <c r="W1367" s="988"/>
      <c r="X1367" s="988"/>
      <c r="Y1367" s="988"/>
    </row>
    <row r="1368" spans="1:25" x14ac:dyDescent="0.2">
      <c r="A1368" s="987"/>
      <c r="B1368" s="987"/>
      <c r="C1368" s="987"/>
      <c r="D1368" s="987"/>
      <c r="E1368" s="987"/>
      <c r="R1368" s="988"/>
      <c r="S1368" s="988"/>
      <c r="T1368" s="988"/>
      <c r="U1368" s="988"/>
      <c r="V1368" s="988"/>
      <c r="W1368" s="988"/>
      <c r="X1368" s="988"/>
      <c r="Y1368" s="988"/>
    </row>
    <row r="1369" spans="1:25" x14ac:dyDescent="0.2">
      <c r="A1369" s="987"/>
      <c r="B1369" s="987"/>
      <c r="C1369" s="987"/>
      <c r="D1369" s="987"/>
      <c r="E1369" s="987"/>
      <c r="R1369" s="988"/>
      <c r="S1369" s="988"/>
      <c r="T1369" s="988"/>
      <c r="U1369" s="988"/>
      <c r="V1369" s="988"/>
      <c r="W1369" s="988"/>
      <c r="X1369" s="988"/>
      <c r="Y1369" s="988"/>
    </row>
    <row r="1370" spans="1:25" x14ac:dyDescent="0.2">
      <c r="A1370" s="987"/>
      <c r="B1370" s="987"/>
      <c r="C1370" s="987"/>
      <c r="D1370" s="987"/>
      <c r="E1370" s="987"/>
      <c r="R1370" s="988"/>
      <c r="S1370" s="988"/>
      <c r="T1370" s="988"/>
      <c r="U1370" s="988"/>
      <c r="V1370" s="988"/>
      <c r="W1370" s="988"/>
      <c r="X1370" s="988"/>
      <c r="Y1370" s="988"/>
    </row>
    <row r="1371" spans="1:25" x14ac:dyDescent="0.2">
      <c r="A1371" s="987"/>
      <c r="B1371" s="987"/>
      <c r="C1371" s="987"/>
      <c r="D1371" s="987"/>
      <c r="E1371" s="987"/>
      <c r="R1371" s="988"/>
      <c r="S1371" s="988"/>
      <c r="T1371" s="988"/>
      <c r="U1371" s="988"/>
      <c r="V1371" s="988"/>
      <c r="W1371" s="988"/>
      <c r="X1371" s="988"/>
      <c r="Y1371" s="988"/>
    </row>
    <row r="1372" spans="1:25" x14ac:dyDescent="0.2">
      <c r="A1372" s="987"/>
      <c r="B1372" s="987"/>
      <c r="C1372" s="987"/>
      <c r="D1372" s="987"/>
      <c r="E1372" s="987"/>
      <c r="R1372" s="988"/>
      <c r="S1372" s="988"/>
      <c r="T1372" s="988"/>
      <c r="U1372" s="988"/>
      <c r="V1372" s="988"/>
      <c r="W1372" s="988"/>
      <c r="X1372" s="988"/>
      <c r="Y1372" s="988"/>
    </row>
    <row r="1373" spans="1:25" x14ac:dyDescent="0.2">
      <c r="A1373" s="987"/>
      <c r="B1373" s="987"/>
      <c r="C1373" s="987"/>
      <c r="D1373" s="987"/>
      <c r="E1373" s="987"/>
      <c r="R1373" s="988"/>
      <c r="S1373" s="988"/>
      <c r="T1373" s="988"/>
      <c r="U1373" s="988"/>
      <c r="V1373" s="988"/>
      <c r="W1373" s="988"/>
      <c r="X1373" s="988"/>
      <c r="Y1373" s="988"/>
    </row>
    <row r="1374" spans="1:25" x14ac:dyDescent="0.2">
      <c r="A1374" s="987"/>
      <c r="B1374" s="987"/>
      <c r="C1374" s="987"/>
      <c r="D1374" s="987"/>
      <c r="E1374" s="987"/>
      <c r="R1374" s="988"/>
      <c r="S1374" s="988"/>
      <c r="T1374" s="988"/>
      <c r="U1374" s="988"/>
      <c r="V1374" s="988"/>
      <c r="W1374" s="988"/>
      <c r="X1374" s="988"/>
      <c r="Y1374" s="988"/>
    </row>
    <row r="1375" spans="1:25" x14ac:dyDescent="0.2">
      <c r="A1375" s="987"/>
      <c r="B1375" s="987"/>
      <c r="C1375" s="987"/>
      <c r="D1375" s="987"/>
      <c r="E1375" s="987"/>
      <c r="R1375" s="988"/>
      <c r="S1375" s="988"/>
      <c r="T1375" s="988"/>
      <c r="U1375" s="988"/>
      <c r="V1375" s="988"/>
      <c r="W1375" s="988"/>
      <c r="X1375" s="988"/>
      <c r="Y1375" s="988"/>
    </row>
    <row r="1376" spans="1:25" x14ac:dyDescent="0.2">
      <c r="A1376" s="987"/>
      <c r="B1376" s="987"/>
      <c r="C1376" s="987"/>
      <c r="D1376" s="987"/>
      <c r="E1376" s="987"/>
      <c r="R1376" s="988"/>
      <c r="S1376" s="988"/>
      <c r="T1376" s="988"/>
      <c r="U1376" s="988"/>
      <c r="V1376" s="988"/>
      <c r="W1376" s="988"/>
      <c r="X1376" s="988"/>
      <c r="Y1376" s="988"/>
    </row>
    <row r="1377" spans="1:25" x14ac:dyDescent="0.2">
      <c r="A1377" s="987"/>
      <c r="B1377" s="987"/>
      <c r="C1377" s="987"/>
      <c r="D1377" s="987"/>
      <c r="E1377" s="987"/>
      <c r="R1377" s="988"/>
      <c r="S1377" s="988"/>
      <c r="T1377" s="988"/>
      <c r="U1377" s="988"/>
      <c r="V1377" s="988"/>
      <c r="W1377" s="988"/>
      <c r="X1377" s="988"/>
      <c r="Y1377" s="988"/>
    </row>
    <row r="1378" spans="1:25" x14ac:dyDescent="0.2">
      <c r="A1378" s="987"/>
      <c r="B1378" s="987"/>
      <c r="C1378" s="987"/>
      <c r="D1378" s="987"/>
      <c r="E1378" s="987"/>
      <c r="R1378" s="988"/>
      <c r="S1378" s="988"/>
      <c r="T1378" s="988"/>
      <c r="U1378" s="988"/>
      <c r="V1378" s="988"/>
      <c r="W1378" s="988"/>
      <c r="X1378" s="988"/>
      <c r="Y1378" s="988"/>
    </row>
    <row r="1379" spans="1:25" x14ac:dyDescent="0.2">
      <c r="A1379" s="987"/>
      <c r="B1379" s="987"/>
      <c r="C1379" s="987"/>
      <c r="D1379" s="987"/>
      <c r="E1379" s="987"/>
      <c r="R1379" s="988"/>
      <c r="S1379" s="988"/>
      <c r="T1379" s="988"/>
      <c r="U1379" s="988"/>
      <c r="V1379" s="988"/>
      <c r="W1379" s="988"/>
      <c r="X1379" s="988"/>
      <c r="Y1379" s="988"/>
    </row>
    <row r="1380" spans="1:25" x14ac:dyDescent="0.2">
      <c r="A1380" s="987"/>
      <c r="B1380" s="987"/>
      <c r="C1380" s="987"/>
      <c r="D1380" s="987"/>
      <c r="E1380" s="987"/>
      <c r="R1380" s="988"/>
      <c r="S1380" s="988"/>
      <c r="T1380" s="988"/>
      <c r="U1380" s="988"/>
      <c r="V1380" s="988"/>
      <c r="W1380" s="988"/>
      <c r="X1380" s="988"/>
      <c r="Y1380" s="988"/>
    </row>
    <row r="1381" spans="1:25" x14ac:dyDescent="0.2">
      <c r="A1381" s="987"/>
      <c r="B1381" s="987"/>
      <c r="C1381" s="987"/>
      <c r="D1381" s="987"/>
      <c r="E1381" s="987"/>
      <c r="R1381" s="988"/>
      <c r="S1381" s="988"/>
      <c r="T1381" s="988"/>
      <c r="U1381" s="988"/>
      <c r="V1381" s="988"/>
      <c r="W1381" s="988"/>
      <c r="X1381" s="988"/>
      <c r="Y1381" s="988"/>
    </row>
    <row r="1382" spans="1:25" x14ac:dyDescent="0.2">
      <c r="A1382" s="987"/>
      <c r="B1382" s="987"/>
      <c r="C1382" s="987"/>
      <c r="D1382" s="987"/>
      <c r="E1382" s="987"/>
      <c r="R1382" s="988"/>
      <c r="S1382" s="988"/>
      <c r="T1382" s="988"/>
      <c r="U1382" s="988"/>
      <c r="V1382" s="988"/>
      <c r="W1382" s="988"/>
      <c r="X1382" s="988"/>
      <c r="Y1382" s="988"/>
    </row>
    <row r="1383" spans="1:25" x14ac:dyDescent="0.2">
      <c r="A1383" s="987"/>
      <c r="B1383" s="987"/>
      <c r="C1383" s="987"/>
      <c r="D1383" s="987"/>
      <c r="E1383" s="987"/>
      <c r="R1383" s="988"/>
      <c r="S1383" s="988"/>
      <c r="T1383" s="988"/>
      <c r="U1383" s="988"/>
      <c r="V1383" s="988"/>
      <c r="W1383" s="988"/>
      <c r="X1383" s="988"/>
      <c r="Y1383" s="988"/>
    </row>
    <row r="1384" spans="1:25" x14ac:dyDescent="0.2">
      <c r="A1384" s="987"/>
      <c r="B1384" s="987"/>
      <c r="C1384" s="987"/>
      <c r="D1384" s="987"/>
      <c r="E1384" s="987"/>
      <c r="R1384" s="988"/>
      <c r="S1384" s="988"/>
      <c r="T1384" s="988"/>
      <c r="U1384" s="988"/>
      <c r="V1384" s="988"/>
      <c r="W1384" s="988"/>
      <c r="X1384" s="988"/>
      <c r="Y1384" s="988"/>
    </row>
    <row r="1385" spans="1:25" x14ac:dyDescent="0.2">
      <c r="A1385" s="987"/>
      <c r="B1385" s="987"/>
      <c r="C1385" s="987"/>
      <c r="D1385" s="987"/>
      <c r="E1385" s="987"/>
      <c r="R1385" s="988"/>
      <c r="S1385" s="988"/>
      <c r="T1385" s="988"/>
      <c r="U1385" s="988"/>
      <c r="V1385" s="988"/>
      <c r="W1385" s="988"/>
      <c r="X1385" s="988"/>
      <c r="Y1385" s="988"/>
    </row>
    <row r="1386" spans="1:25" x14ac:dyDescent="0.2">
      <c r="A1386" s="987"/>
      <c r="B1386" s="987"/>
      <c r="C1386" s="987"/>
      <c r="D1386" s="987"/>
      <c r="E1386" s="987"/>
      <c r="R1386" s="988"/>
      <c r="S1386" s="988"/>
      <c r="T1386" s="988"/>
      <c r="U1386" s="988"/>
      <c r="V1386" s="988"/>
      <c r="W1386" s="988"/>
      <c r="X1386" s="988"/>
      <c r="Y1386" s="988"/>
    </row>
    <row r="1387" spans="1:25" x14ac:dyDescent="0.2">
      <c r="A1387" s="987"/>
      <c r="B1387" s="987"/>
      <c r="C1387" s="987"/>
      <c r="D1387" s="987"/>
      <c r="E1387" s="987"/>
      <c r="R1387" s="988"/>
      <c r="S1387" s="988"/>
      <c r="T1387" s="988"/>
      <c r="U1387" s="988"/>
      <c r="V1387" s="988"/>
      <c r="W1387" s="988"/>
      <c r="X1387" s="988"/>
      <c r="Y1387" s="988"/>
    </row>
    <row r="1388" spans="1:25" x14ac:dyDescent="0.2">
      <c r="A1388" s="987"/>
      <c r="B1388" s="987"/>
      <c r="C1388" s="987"/>
      <c r="D1388" s="987"/>
      <c r="E1388" s="987"/>
      <c r="R1388" s="988"/>
      <c r="S1388" s="988"/>
      <c r="T1388" s="988"/>
      <c r="U1388" s="988"/>
      <c r="V1388" s="988"/>
      <c r="W1388" s="988"/>
      <c r="X1388" s="988"/>
      <c r="Y1388" s="988"/>
    </row>
    <row r="1389" spans="1:25" x14ac:dyDescent="0.2">
      <c r="A1389" s="987"/>
      <c r="B1389" s="987"/>
      <c r="C1389" s="987"/>
      <c r="D1389" s="987"/>
      <c r="E1389" s="987"/>
      <c r="R1389" s="988"/>
      <c r="S1389" s="988"/>
      <c r="T1389" s="988"/>
      <c r="U1389" s="988"/>
      <c r="V1389" s="988"/>
      <c r="W1389" s="988"/>
      <c r="X1389" s="988"/>
      <c r="Y1389" s="988"/>
    </row>
    <row r="1390" spans="1:25" x14ac:dyDescent="0.2">
      <c r="A1390" s="987"/>
      <c r="B1390" s="987"/>
      <c r="C1390" s="987"/>
      <c r="D1390" s="987"/>
      <c r="E1390" s="987"/>
      <c r="R1390" s="988"/>
      <c r="S1390" s="988"/>
      <c r="T1390" s="988"/>
      <c r="U1390" s="988"/>
      <c r="V1390" s="988"/>
      <c r="W1390" s="988"/>
      <c r="X1390" s="988"/>
      <c r="Y1390" s="988"/>
    </row>
    <row r="1391" spans="1:25" x14ac:dyDescent="0.2">
      <c r="A1391" s="987"/>
      <c r="B1391" s="987"/>
      <c r="C1391" s="987"/>
      <c r="D1391" s="987"/>
      <c r="E1391" s="987"/>
      <c r="R1391" s="988"/>
      <c r="S1391" s="988"/>
      <c r="T1391" s="988"/>
      <c r="U1391" s="988"/>
      <c r="V1391" s="988"/>
      <c r="W1391" s="988"/>
      <c r="X1391" s="988"/>
      <c r="Y1391" s="988"/>
    </row>
    <row r="1392" spans="1:25" x14ac:dyDescent="0.2">
      <c r="A1392" s="987"/>
      <c r="B1392" s="987"/>
      <c r="C1392" s="987"/>
      <c r="D1392" s="987"/>
      <c r="E1392" s="987"/>
      <c r="R1392" s="988"/>
      <c r="S1392" s="988"/>
      <c r="T1392" s="988"/>
      <c r="U1392" s="988"/>
      <c r="V1392" s="988"/>
      <c r="W1392" s="988"/>
      <c r="X1392" s="988"/>
      <c r="Y1392" s="988"/>
    </row>
    <row r="1393" spans="1:25" x14ac:dyDescent="0.2">
      <c r="A1393" s="987"/>
      <c r="B1393" s="987"/>
      <c r="C1393" s="987"/>
      <c r="D1393" s="987"/>
      <c r="E1393" s="987"/>
      <c r="R1393" s="988"/>
      <c r="S1393" s="988"/>
      <c r="T1393" s="988"/>
      <c r="U1393" s="988"/>
      <c r="V1393" s="988"/>
      <c r="W1393" s="988"/>
      <c r="X1393" s="988"/>
      <c r="Y1393" s="988"/>
    </row>
    <row r="1394" spans="1:25" x14ac:dyDescent="0.2">
      <c r="A1394" s="987"/>
      <c r="B1394" s="987"/>
      <c r="C1394" s="987"/>
      <c r="D1394" s="987"/>
      <c r="E1394" s="987"/>
      <c r="R1394" s="988"/>
      <c r="S1394" s="988"/>
      <c r="T1394" s="988"/>
      <c r="U1394" s="988"/>
      <c r="V1394" s="988"/>
      <c r="W1394" s="988"/>
      <c r="X1394" s="988"/>
      <c r="Y1394" s="988"/>
    </row>
    <row r="1395" spans="1:25" x14ac:dyDescent="0.2">
      <c r="A1395" s="987"/>
      <c r="B1395" s="987"/>
      <c r="C1395" s="987"/>
      <c r="D1395" s="987"/>
      <c r="E1395" s="987"/>
      <c r="R1395" s="988"/>
      <c r="S1395" s="988"/>
      <c r="T1395" s="988"/>
      <c r="U1395" s="988"/>
      <c r="V1395" s="988"/>
      <c r="W1395" s="988"/>
      <c r="X1395" s="988"/>
      <c r="Y1395" s="988"/>
    </row>
    <row r="1396" spans="1:25" x14ac:dyDescent="0.2">
      <c r="A1396" s="987"/>
      <c r="B1396" s="987"/>
      <c r="C1396" s="987"/>
      <c r="D1396" s="987"/>
      <c r="E1396" s="987"/>
      <c r="R1396" s="988"/>
      <c r="S1396" s="988"/>
      <c r="T1396" s="988"/>
      <c r="U1396" s="988"/>
      <c r="V1396" s="988"/>
      <c r="W1396" s="988"/>
      <c r="X1396" s="988"/>
      <c r="Y1396" s="988"/>
    </row>
    <row r="1397" spans="1:25" x14ac:dyDescent="0.2">
      <c r="A1397" s="987"/>
      <c r="B1397" s="987"/>
      <c r="C1397" s="987"/>
      <c r="D1397" s="987"/>
      <c r="E1397" s="987"/>
      <c r="R1397" s="988"/>
      <c r="S1397" s="988"/>
      <c r="T1397" s="988"/>
      <c r="U1397" s="988"/>
      <c r="V1397" s="988"/>
      <c r="W1397" s="988"/>
      <c r="X1397" s="988"/>
      <c r="Y1397" s="988"/>
    </row>
    <row r="1398" spans="1:25" x14ac:dyDescent="0.2">
      <c r="A1398" s="987"/>
      <c r="B1398" s="987"/>
      <c r="C1398" s="987"/>
      <c r="D1398" s="987"/>
      <c r="E1398" s="987"/>
      <c r="R1398" s="988"/>
      <c r="S1398" s="988"/>
      <c r="T1398" s="988"/>
      <c r="U1398" s="988"/>
      <c r="V1398" s="988"/>
      <c r="W1398" s="988"/>
      <c r="X1398" s="988"/>
      <c r="Y1398" s="988"/>
    </row>
    <row r="1399" spans="1:25" x14ac:dyDescent="0.2">
      <c r="A1399" s="987"/>
      <c r="B1399" s="987"/>
      <c r="C1399" s="987"/>
      <c r="D1399" s="987"/>
      <c r="E1399" s="987"/>
      <c r="R1399" s="988"/>
      <c r="S1399" s="988"/>
      <c r="T1399" s="988"/>
      <c r="U1399" s="988"/>
      <c r="V1399" s="988"/>
      <c r="W1399" s="988"/>
      <c r="X1399" s="988"/>
      <c r="Y1399" s="988"/>
    </row>
    <row r="1400" spans="1:25" x14ac:dyDescent="0.2">
      <c r="A1400" s="987"/>
      <c r="B1400" s="987"/>
      <c r="C1400" s="987"/>
      <c r="D1400" s="987"/>
      <c r="E1400" s="987"/>
      <c r="R1400" s="988"/>
      <c r="S1400" s="988"/>
      <c r="T1400" s="988"/>
      <c r="U1400" s="988"/>
      <c r="V1400" s="988"/>
      <c r="W1400" s="988"/>
      <c r="X1400" s="988"/>
      <c r="Y1400" s="988"/>
    </row>
    <row r="1401" spans="1:25" x14ac:dyDescent="0.2">
      <c r="A1401" s="987"/>
      <c r="B1401" s="987"/>
      <c r="C1401" s="987"/>
      <c r="D1401" s="987"/>
      <c r="E1401" s="987"/>
      <c r="R1401" s="988"/>
      <c r="S1401" s="988"/>
      <c r="T1401" s="988"/>
      <c r="U1401" s="988"/>
      <c r="V1401" s="988"/>
      <c r="W1401" s="988"/>
      <c r="X1401" s="988"/>
      <c r="Y1401" s="988"/>
    </row>
    <row r="1402" spans="1:25" x14ac:dyDescent="0.2">
      <c r="A1402" s="987"/>
      <c r="B1402" s="987"/>
      <c r="C1402" s="987"/>
      <c r="D1402" s="987"/>
      <c r="E1402" s="987"/>
      <c r="R1402" s="988"/>
      <c r="S1402" s="988"/>
      <c r="T1402" s="988"/>
      <c r="U1402" s="988"/>
      <c r="V1402" s="988"/>
      <c r="W1402" s="988"/>
      <c r="X1402" s="988"/>
      <c r="Y1402" s="988"/>
    </row>
    <row r="1403" spans="1:25" x14ac:dyDescent="0.2">
      <c r="A1403" s="987"/>
      <c r="B1403" s="987"/>
      <c r="C1403" s="987"/>
      <c r="D1403" s="987"/>
      <c r="E1403" s="987"/>
      <c r="R1403" s="988"/>
      <c r="S1403" s="988"/>
      <c r="T1403" s="988"/>
      <c r="U1403" s="988"/>
      <c r="V1403" s="988"/>
      <c r="W1403" s="988"/>
      <c r="X1403" s="988"/>
      <c r="Y1403" s="988"/>
    </row>
    <row r="1404" spans="1:25" x14ac:dyDescent="0.2">
      <c r="A1404" s="987"/>
      <c r="B1404" s="987"/>
      <c r="C1404" s="987"/>
      <c r="D1404" s="987"/>
      <c r="E1404" s="987"/>
      <c r="R1404" s="988"/>
      <c r="S1404" s="988"/>
      <c r="T1404" s="988"/>
      <c r="U1404" s="988"/>
      <c r="V1404" s="988"/>
      <c r="W1404" s="988"/>
      <c r="X1404" s="988"/>
      <c r="Y1404" s="988"/>
    </row>
    <row r="1405" spans="1:25" x14ac:dyDescent="0.2">
      <c r="A1405" s="987"/>
      <c r="B1405" s="987"/>
      <c r="C1405" s="987"/>
      <c r="D1405" s="987"/>
      <c r="E1405" s="987"/>
      <c r="R1405" s="988"/>
      <c r="S1405" s="988"/>
      <c r="T1405" s="988"/>
      <c r="U1405" s="988"/>
      <c r="V1405" s="988"/>
      <c r="W1405" s="988"/>
      <c r="X1405" s="988"/>
      <c r="Y1405" s="988"/>
    </row>
    <row r="1406" spans="1:25" x14ac:dyDescent="0.2">
      <c r="A1406" s="987"/>
      <c r="B1406" s="987"/>
      <c r="C1406" s="987"/>
      <c r="D1406" s="987"/>
      <c r="E1406" s="987"/>
      <c r="R1406" s="988"/>
      <c r="S1406" s="988"/>
      <c r="T1406" s="988"/>
      <c r="U1406" s="988"/>
      <c r="V1406" s="988"/>
      <c r="W1406" s="988"/>
      <c r="X1406" s="988"/>
      <c r="Y1406" s="988"/>
    </row>
    <row r="1407" spans="1:25" x14ac:dyDescent="0.2">
      <c r="A1407" s="987"/>
      <c r="B1407" s="987"/>
      <c r="C1407" s="987"/>
      <c r="D1407" s="987"/>
      <c r="E1407" s="987"/>
      <c r="R1407" s="988"/>
      <c r="S1407" s="988"/>
      <c r="T1407" s="988"/>
      <c r="U1407" s="988"/>
      <c r="V1407" s="988"/>
      <c r="W1407" s="988"/>
      <c r="X1407" s="988"/>
      <c r="Y1407" s="988"/>
    </row>
    <row r="1408" spans="1:25" x14ac:dyDescent="0.2">
      <c r="A1408" s="987"/>
      <c r="B1408" s="987"/>
      <c r="C1408" s="987"/>
      <c r="D1408" s="987"/>
      <c r="E1408" s="987"/>
      <c r="R1408" s="988"/>
      <c r="S1408" s="988"/>
      <c r="T1408" s="988"/>
      <c r="U1408" s="988"/>
      <c r="V1408" s="988"/>
      <c r="W1408" s="988"/>
      <c r="X1408" s="988"/>
      <c r="Y1408" s="988"/>
    </row>
    <row r="1409" spans="1:25" x14ac:dyDescent="0.2">
      <c r="A1409" s="987"/>
      <c r="B1409" s="987"/>
      <c r="C1409" s="987"/>
      <c r="D1409" s="987"/>
      <c r="E1409" s="987"/>
      <c r="R1409" s="988"/>
      <c r="S1409" s="988"/>
      <c r="T1409" s="988"/>
      <c r="U1409" s="988"/>
      <c r="V1409" s="988"/>
      <c r="W1409" s="988"/>
      <c r="X1409" s="988"/>
      <c r="Y1409" s="988"/>
    </row>
    <row r="1410" spans="1:25" x14ac:dyDescent="0.2">
      <c r="A1410" s="987"/>
      <c r="B1410" s="987"/>
      <c r="C1410" s="987"/>
      <c r="D1410" s="987"/>
      <c r="E1410" s="987"/>
      <c r="R1410" s="988"/>
      <c r="S1410" s="988"/>
      <c r="T1410" s="988"/>
      <c r="U1410" s="988"/>
      <c r="V1410" s="988"/>
      <c r="W1410" s="988"/>
      <c r="X1410" s="988"/>
      <c r="Y1410" s="988"/>
    </row>
    <row r="1411" spans="1:25" x14ac:dyDescent="0.2">
      <c r="A1411" s="987"/>
      <c r="B1411" s="987"/>
      <c r="C1411" s="987"/>
      <c r="D1411" s="987"/>
      <c r="E1411" s="987"/>
      <c r="R1411" s="988"/>
      <c r="S1411" s="988"/>
      <c r="T1411" s="988"/>
      <c r="U1411" s="988"/>
      <c r="V1411" s="988"/>
      <c r="W1411" s="988"/>
      <c r="X1411" s="988"/>
      <c r="Y1411" s="988"/>
    </row>
    <row r="1412" spans="1:25" x14ac:dyDescent="0.2">
      <c r="A1412" s="987"/>
      <c r="B1412" s="987"/>
      <c r="C1412" s="987"/>
      <c r="D1412" s="987"/>
      <c r="E1412" s="987"/>
      <c r="R1412" s="988"/>
      <c r="S1412" s="988"/>
      <c r="T1412" s="988"/>
      <c r="U1412" s="988"/>
      <c r="V1412" s="988"/>
      <c r="W1412" s="988"/>
      <c r="X1412" s="988"/>
      <c r="Y1412" s="988"/>
    </row>
    <row r="1413" spans="1:25" x14ac:dyDescent="0.2">
      <c r="A1413" s="987"/>
      <c r="B1413" s="987"/>
      <c r="C1413" s="987"/>
      <c r="D1413" s="987"/>
      <c r="E1413" s="987"/>
      <c r="R1413" s="988"/>
      <c r="S1413" s="988"/>
      <c r="T1413" s="988"/>
      <c r="U1413" s="988"/>
      <c r="V1413" s="988"/>
      <c r="W1413" s="988"/>
      <c r="X1413" s="988"/>
      <c r="Y1413" s="988"/>
    </row>
    <row r="1414" spans="1:25" x14ac:dyDescent="0.2">
      <c r="A1414" s="987"/>
      <c r="B1414" s="987"/>
      <c r="C1414" s="987"/>
      <c r="D1414" s="987"/>
      <c r="E1414" s="987"/>
      <c r="R1414" s="988"/>
      <c r="S1414" s="988"/>
      <c r="T1414" s="988"/>
      <c r="U1414" s="988"/>
      <c r="V1414" s="988"/>
      <c r="W1414" s="988"/>
      <c r="X1414" s="988"/>
      <c r="Y1414" s="988"/>
    </row>
    <row r="1415" spans="1:25" x14ac:dyDescent="0.2">
      <c r="A1415" s="987"/>
      <c r="B1415" s="987"/>
      <c r="C1415" s="987"/>
      <c r="D1415" s="987"/>
      <c r="E1415" s="987"/>
      <c r="R1415" s="988"/>
      <c r="S1415" s="988"/>
      <c r="T1415" s="988"/>
      <c r="U1415" s="988"/>
      <c r="V1415" s="988"/>
      <c r="W1415" s="988"/>
      <c r="X1415" s="988"/>
      <c r="Y1415" s="988"/>
    </row>
    <row r="1416" spans="1:25" x14ac:dyDescent="0.2">
      <c r="A1416" s="987"/>
      <c r="B1416" s="987"/>
      <c r="C1416" s="987"/>
      <c r="D1416" s="987"/>
      <c r="E1416" s="987"/>
      <c r="R1416" s="988"/>
      <c r="S1416" s="988"/>
      <c r="T1416" s="988"/>
      <c r="U1416" s="988"/>
      <c r="V1416" s="988"/>
      <c r="W1416" s="988"/>
      <c r="X1416" s="988"/>
      <c r="Y1416" s="988"/>
    </row>
    <row r="1417" spans="1:25" x14ac:dyDescent="0.2">
      <c r="A1417" s="987"/>
      <c r="B1417" s="987"/>
      <c r="C1417" s="987"/>
      <c r="D1417" s="987"/>
      <c r="E1417" s="987"/>
      <c r="R1417" s="988"/>
      <c r="S1417" s="988"/>
      <c r="T1417" s="988"/>
      <c r="U1417" s="988"/>
      <c r="V1417" s="988"/>
      <c r="W1417" s="988"/>
      <c r="X1417" s="988"/>
      <c r="Y1417" s="988"/>
    </row>
    <row r="1418" spans="1:25" x14ac:dyDescent="0.2">
      <c r="A1418" s="987"/>
      <c r="B1418" s="987"/>
      <c r="C1418" s="987"/>
      <c r="D1418" s="987"/>
      <c r="E1418" s="987"/>
      <c r="R1418" s="988"/>
      <c r="S1418" s="988"/>
      <c r="T1418" s="988"/>
      <c r="U1418" s="988"/>
      <c r="V1418" s="988"/>
      <c r="W1418" s="988"/>
      <c r="X1418" s="988"/>
      <c r="Y1418" s="988"/>
    </row>
    <row r="1419" spans="1:25" x14ac:dyDescent="0.2">
      <c r="A1419" s="987"/>
      <c r="B1419" s="987"/>
      <c r="C1419" s="987"/>
      <c r="D1419" s="987"/>
      <c r="E1419" s="987"/>
      <c r="R1419" s="988"/>
      <c r="S1419" s="988"/>
      <c r="T1419" s="988"/>
      <c r="U1419" s="988"/>
      <c r="V1419" s="988"/>
      <c r="W1419" s="988"/>
      <c r="X1419" s="988"/>
      <c r="Y1419" s="988"/>
    </row>
    <row r="1420" spans="1:25" x14ac:dyDescent="0.2">
      <c r="A1420" s="987"/>
      <c r="B1420" s="987"/>
      <c r="C1420" s="987"/>
      <c r="D1420" s="987"/>
      <c r="E1420" s="987"/>
      <c r="R1420" s="988"/>
      <c r="S1420" s="988"/>
      <c r="T1420" s="988"/>
      <c r="U1420" s="988"/>
      <c r="V1420" s="988"/>
      <c r="W1420" s="988"/>
      <c r="X1420" s="988"/>
      <c r="Y1420" s="988"/>
    </row>
    <row r="1421" spans="1:25" x14ac:dyDescent="0.2">
      <c r="A1421" s="987"/>
      <c r="B1421" s="987"/>
      <c r="C1421" s="987"/>
      <c r="D1421" s="987"/>
      <c r="E1421" s="987"/>
      <c r="R1421" s="988"/>
      <c r="S1421" s="988"/>
      <c r="T1421" s="988"/>
      <c r="U1421" s="988"/>
      <c r="V1421" s="988"/>
      <c r="W1421" s="988"/>
      <c r="X1421" s="988"/>
      <c r="Y1421" s="988"/>
    </row>
    <row r="1422" spans="1:25" x14ac:dyDescent="0.2">
      <c r="A1422" s="987"/>
      <c r="B1422" s="987"/>
      <c r="C1422" s="987"/>
      <c r="D1422" s="987"/>
      <c r="E1422" s="987"/>
      <c r="R1422" s="988"/>
      <c r="S1422" s="988"/>
      <c r="T1422" s="988"/>
      <c r="U1422" s="988"/>
      <c r="V1422" s="988"/>
      <c r="W1422" s="988"/>
      <c r="X1422" s="988"/>
      <c r="Y1422" s="988"/>
    </row>
    <row r="1423" spans="1:25" x14ac:dyDescent="0.2">
      <c r="A1423" s="987"/>
      <c r="B1423" s="987"/>
      <c r="C1423" s="987"/>
      <c r="D1423" s="987"/>
      <c r="E1423" s="987"/>
      <c r="R1423" s="988"/>
      <c r="S1423" s="988"/>
      <c r="T1423" s="988"/>
      <c r="U1423" s="988"/>
      <c r="V1423" s="988"/>
      <c r="W1423" s="988"/>
      <c r="X1423" s="988"/>
      <c r="Y1423" s="988"/>
    </row>
    <row r="1424" spans="1:25" x14ac:dyDescent="0.2">
      <c r="A1424" s="987"/>
      <c r="B1424" s="987"/>
      <c r="C1424" s="987"/>
      <c r="D1424" s="987"/>
      <c r="E1424" s="987"/>
      <c r="R1424" s="988"/>
      <c r="S1424" s="988"/>
      <c r="T1424" s="988"/>
      <c r="U1424" s="988"/>
      <c r="V1424" s="988"/>
      <c r="W1424" s="988"/>
      <c r="X1424" s="988"/>
      <c r="Y1424" s="988"/>
    </row>
    <row r="1425" spans="1:25" x14ac:dyDescent="0.2">
      <c r="A1425" s="987"/>
      <c r="B1425" s="987"/>
      <c r="C1425" s="987"/>
      <c r="D1425" s="987"/>
      <c r="E1425" s="987"/>
      <c r="R1425" s="988"/>
      <c r="S1425" s="988"/>
      <c r="T1425" s="988"/>
      <c r="U1425" s="988"/>
      <c r="V1425" s="988"/>
      <c r="W1425" s="988"/>
      <c r="X1425" s="988"/>
      <c r="Y1425" s="988"/>
    </row>
    <row r="1426" spans="1:25" x14ac:dyDescent="0.2">
      <c r="A1426" s="987"/>
      <c r="B1426" s="987"/>
      <c r="C1426" s="987"/>
      <c r="D1426" s="987"/>
      <c r="E1426" s="987"/>
      <c r="R1426" s="988"/>
      <c r="S1426" s="988"/>
      <c r="T1426" s="988"/>
      <c r="U1426" s="988"/>
      <c r="V1426" s="988"/>
      <c r="W1426" s="988"/>
      <c r="X1426" s="988"/>
      <c r="Y1426" s="988"/>
    </row>
    <row r="1427" spans="1:25" x14ac:dyDescent="0.2">
      <c r="A1427" s="987"/>
      <c r="B1427" s="987"/>
      <c r="C1427" s="987"/>
      <c r="D1427" s="987"/>
      <c r="E1427" s="987"/>
      <c r="R1427" s="988"/>
      <c r="S1427" s="988"/>
      <c r="T1427" s="988"/>
      <c r="U1427" s="988"/>
      <c r="V1427" s="988"/>
      <c r="W1427" s="988"/>
      <c r="X1427" s="988"/>
      <c r="Y1427" s="988"/>
    </row>
    <row r="1428" spans="1:25" x14ac:dyDescent="0.2">
      <c r="A1428" s="987"/>
      <c r="B1428" s="987"/>
      <c r="C1428" s="987"/>
      <c r="D1428" s="987"/>
      <c r="E1428" s="987"/>
      <c r="R1428" s="988"/>
      <c r="S1428" s="988"/>
      <c r="T1428" s="988"/>
      <c r="U1428" s="988"/>
      <c r="V1428" s="988"/>
      <c r="W1428" s="988"/>
      <c r="X1428" s="988"/>
      <c r="Y1428" s="988"/>
    </row>
    <row r="1429" spans="1:25" x14ac:dyDescent="0.2">
      <c r="A1429" s="987"/>
      <c r="B1429" s="987"/>
      <c r="C1429" s="987"/>
      <c r="D1429" s="987"/>
      <c r="E1429" s="987"/>
      <c r="R1429" s="988"/>
      <c r="S1429" s="988"/>
      <c r="T1429" s="988"/>
      <c r="U1429" s="988"/>
      <c r="V1429" s="988"/>
      <c r="W1429" s="988"/>
      <c r="X1429" s="988"/>
      <c r="Y1429" s="988"/>
    </row>
    <row r="1430" spans="1:25" x14ac:dyDescent="0.2">
      <c r="A1430" s="987"/>
      <c r="B1430" s="987"/>
      <c r="C1430" s="987"/>
      <c r="D1430" s="987"/>
      <c r="E1430" s="987"/>
      <c r="R1430" s="988"/>
      <c r="S1430" s="988"/>
      <c r="T1430" s="988"/>
      <c r="U1430" s="988"/>
      <c r="V1430" s="988"/>
      <c r="W1430" s="988"/>
      <c r="X1430" s="988"/>
      <c r="Y1430" s="988"/>
    </row>
    <row r="1431" spans="1:25" x14ac:dyDescent="0.2">
      <c r="A1431" s="987"/>
      <c r="B1431" s="987"/>
      <c r="C1431" s="987"/>
      <c r="D1431" s="987"/>
      <c r="E1431" s="987"/>
      <c r="R1431" s="988"/>
      <c r="S1431" s="988"/>
      <c r="T1431" s="988"/>
      <c r="U1431" s="988"/>
      <c r="V1431" s="988"/>
      <c r="W1431" s="988"/>
      <c r="X1431" s="988"/>
      <c r="Y1431" s="988"/>
    </row>
    <row r="1432" spans="1:25" x14ac:dyDescent="0.2">
      <c r="A1432" s="987"/>
      <c r="B1432" s="987"/>
      <c r="C1432" s="987"/>
      <c r="D1432" s="987"/>
      <c r="E1432" s="987"/>
      <c r="R1432" s="988"/>
      <c r="S1432" s="988"/>
      <c r="T1432" s="988"/>
      <c r="U1432" s="988"/>
      <c r="V1432" s="988"/>
      <c r="W1432" s="988"/>
      <c r="X1432" s="988"/>
      <c r="Y1432" s="988"/>
    </row>
    <row r="1433" spans="1:25" x14ac:dyDescent="0.2">
      <c r="A1433" s="987"/>
      <c r="B1433" s="987"/>
      <c r="C1433" s="987"/>
      <c r="D1433" s="987"/>
      <c r="E1433" s="987"/>
      <c r="R1433" s="988"/>
      <c r="S1433" s="988"/>
      <c r="T1433" s="988"/>
      <c r="U1433" s="988"/>
      <c r="V1433" s="988"/>
      <c r="W1433" s="988"/>
      <c r="X1433" s="988"/>
      <c r="Y1433" s="988"/>
    </row>
    <row r="1434" spans="1:25" x14ac:dyDescent="0.2">
      <c r="A1434" s="987"/>
      <c r="B1434" s="987"/>
      <c r="C1434" s="987"/>
      <c r="D1434" s="987"/>
      <c r="E1434" s="987"/>
      <c r="R1434" s="988"/>
      <c r="S1434" s="988"/>
      <c r="T1434" s="988"/>
      <c r="U1434" s="988"/>
      <c r="V1434" s="988"/>
      <c r="W1434" s="988"/>
      <c r="X1434" s="988"/>
      <c r="Y1434" s="988"/>
    </row>
    <row r="1435" spans="1:25" x14ac:dyDescent="0.2">
      <c r="A1435" s="987"/>
      <c r="B1435" s="987"/>
      <c r="C1435" s="987"/>
      <c r="D1435" s="987"/>
      <c r="E1435" s="987"/>
      <c r="R1435" s="988"/>
      <c r="S1435" s="988"/>
      <c r="T1435" s="988"/>
      <c r="U1435" s="988"/>
      <c r="V1435" s="988"/>
      <c r="W1435" s="988"/>
      <c r="X1435" s="988"/>
      <c r="Y1435" s="988"/>
    </row>
    <row r="1436" spans="1:25" x14ac:dyDescent="0.2">
      <c r="A1436" s="987"/>
      <c r="B1436" s="987"/>
      <c r="C1436" s="987"/>
      <c r="D1436" s="987"/>
      <c r="E1436" s="987"/>
      <c r="R1436" s="988"/>
      <c r="S1436" s="988"/>
      <c r="T1436" s="988"/>
      <c r="U1436" s="988"/>
      <c r="V1436" s="988"/>
      <c r="W1436" s="988"/>
      <c r="X1436" s="988"/>
      <c r="Y1436" s="988"/>
    </row>
    <row r="1437" spans="1:25" x14ac:dyDescent="0.2">
      <c r="A1437" s="987"/>
      <c r="B1437" s="987"/>
      <c r="C1437" s="987"/>
      <c r="D1437" s="987"/>
      <c r="E1437" s="987"/>
      <c r="R1437" s="988"/>
      <c r="S1437" s="988"/>
      <c r="T1437" s="988"/>
      <c r="U1437" s="988"/>
      <c r="V1437" s="988"/>
      <c r="W1437" s="988"/>
      <c r="X1437" s="988"/>
      <c r="Y1437" s="988"/>
    </row>
    <row r="1438" spans="1:25" x14ac:dyDescent="0.2">
      <c r="A1438" s="987"/>
      <c r="B1438" s="987"/>
      <c r="C1438" s="987"/>
      <c r="D1438" s="987"/>
      <c r="E1438" s="987"/>
      <c r="R1438" s="988"/>
      <c r="S1438" s="988"/>
      <c r="T1438" s="988"/>
      <c r="U1438" s="988"/>
      <c r="V1438" s="988"/>
      <c r="W1438" s="988"/>
      <c r="X1438" s="988"/>
      <c r="Y1438" s="988"/>
    </row>
    <row r="1439" spans="1:25" x14ac:dyDescent="0.2">
      <c r="A1439" s="987"/>
      <c r="B1439" s="987"/>
      <c r="C1439" s="987"/>
      <c r="D1439" s="987"/>
      <c r="E1439" s="987"/>
      <c r="R1439" s="988"/>
      <c r="S1439" s="988"/>
      <c r="T1439" s="988"/>
      <c r="U1439" s="988"/>
      <c r="V1439" s="988"/>
      <c r="W1439" s="988"/>
      <c r="X1439" s="988"/>
      <c r="Y1439" s="988"/>
    </row>
    <row r="1440" spans="1:25" x14ac:dyDescent="0.2">
      <c r="A1440" s="987"/>
      <c r="B1440" s="987"/>
      <c r="C1440" s="987"/>
      <c r="D1440" s="987"/>
      <c r="E1440" s="987"/>
      <c r="R1440" s="988"/>
      <c r="S1440" s="988"/>
      <c r="T1440" s="988"/>
      <c r="U1440" s="988"/>
      <c r="V1440" s="988"/>
      <c r="W1440" s="988"/>
      <c r="X1440" s="988"/>
      <c r="Y1440" s="988"/>
    </row>
    <row r="1441" spans="1:25" x14ac:dyDescent="0.2">
      <c r="A1441" s="987"/>
      <c r="B1441" s="987"/>
      <c r="C1441" s="987"/>
      <c r="D1441" s="987"/>
      <c r="E1441" s="987"/>
      <c r="R1441" s="988"/>
      <c r="S1441" s="988"/>
      <c r="T1441" s="988"/>
      <c r="U1441" s="988"/>
      <c r="V1441" s="988"/>
      <c r="W1441" s="988"/>
      <c r="X1441" s="988"/>
      <c r="Y1441" s="988"/>
    </row>
    <row r="1442" spans="1:25" x14ac:dyDescent="0.2">
      <c r="A1442" s="987"/>
      <c r="B1442" s="987"/>
      <c r="C1442" s="987"/>
      <c r="D1442" s="987"/>
      <c r="E1442" s="987"/>
      <c r="R1442" s="988"/>
      <c r="S1442" s="988"/>
      <c r="T1442" s="988"/>
      <c r="U1442" s="988"/>
      <c r="V1442" s="988"/>
      <c r="W1442" s="988"/>
      <c r="X1442" s="988"/>
      <c r="Y1442" s="988"/>
    </row>
    <row r="1443" spans="1:25" x14ac:dyDescent="0.2">
      <c r="A1443" s="987"/>
      <c r="B1443" s="987"/>
      <c r="C1443" s="987"/>
      <c r="D1443" s="987"/>
      <c r="E1443" s="987"/>
      <c r="R1443" s="988"/>
      <c r="S1443" s="988"/>
      <c r="T1443" s="988"/>
      <c r="U1443" s="988"/>
      <c r="V1443" s="988"/>
      <c r="W1443" s="988"/>
      <c r="X1443" s="988"/>
      <c r="Y1443" s="988"/>
    </row>
    <row r="1444" spans="1:25" x14ac:dyDescent="0.2">
      <c r="A1444" s="987"/>
      <c r="B1444" s="987"/>
      <c r="C1444" s="987"/>
      <c r="D1444" s="987"/>
      <c r="E1444" s="987"/>
      <c r="R1444" s="988"/>
      <c r="S1444" s="988"/>
      <c r="T1444" s="988"/>
      <c r="U1444" s="988"/>
      <c r="V1444" s="988"/>
      <c r="W1444" s="988"/>
      <c r="X1444" s="988"/>
      <c r="Y1444" s="988"/>
    </row>
    <row r="1445" spans="1:25" x14ac:dyDescent="0.2">
      <c r="A1445" s="987"/>
      <c r="B1445" s="987"/>
      <c r="C1445" s="987"/>
      <c r="D1445" s="987"/>
      <c r="E1445" s="987"/>
      <c r="R1445" s="988"/>
      <c r="S1445" s="988"/>
      <c r="T1445" s="988"/>
      <c r="U1445" s="988"/>
      <c r="V1445" s="988"/>
      <c r="W1445" s="988"/>
      <c r="X1445" s="988"/>
      <c r="Y1445" s="988"/>
    </row>
    <row r="1446" spans="1:25" x14ac:dyDescent="0.2">
      <c r="A1446" s="987"/>
      <c r="B1446" s="987"/>
      <c r="C1446" s="987"/>
      <c r="D1446" s="987"/>
      <c r="E1446" s="987"/>
      <c r="R1446" s="988"/>
      <c r="S1446" s="988"/>
      <c r="T1446" s="988"/>
      <c r="U1446" s="988"/>
      <c r="V1446" s="988"/>
      <c r="W1446" s="988"/>
      <c r="X1446" s="988"/>
      <c r="Y1446" s="988"/>
    </row>
    <row r="1447" spans="1:25" x14ac:dyDescent="0.2">
      <c r="A1447" s="987"/>
      <c r="B1447" s="987"/>
      <c r="C1447" s="987"/>
      <c r="D1447" s="987"/>
      <c r="E1447" s="987"/>
      <c r="R1447" s="988"/>
      <c r="S1447" s="988"/>
      <c r="T1447" s="988"/>
      <c r="U1447" s="988"/>
      <c r="V1447" s="988"/>
      <c r="W1447" s="988"/>
      <c r="X1447" s="988"/>
      <c r="Y1447" s="988"/>
    </row>
    <row r="1448" spans="1:25" x14ac:dyDescent="0.2">
      <c r="A1448" s="987"/>
      <c r="B1448" s="987"/>
      <c r="C1448" s="987"/>
      <c r="D1448" s="987"/>
      <c r="E1448" s="987"/>
      <c r="R1448" s="988"/>
      <c r="S1448" s="988"/>
      <c r="T1448" s="988"/>
      <c r="U1448" s="988"/>
      <c r="V1448" s="988"/>
      <c r="W1448" s="988"/>
      <c r="X1448" s="988"/>
      <c r="Y1448" s="988"/>
    </row>
    <row r="1449" spans="1:25" x14ac:dyDescent="0.2">
      <c r="A1449" s="987"/>
      <c r="B1449" s="987"/>
      <c r="C1449" s="987"/>
      <c r="D1449" s="987"/>
      <c r="E1449" s="987"/>
      <c r="R1449" s="988"/>
      <c r="S1449" s="988"/>
      <c r="T1449" s="988"/>
      <c r="U1449" s="988"/>
      <c r="V1449" s="988"/>
      <c r="W1449" s="988"/>
      <c r="X1449" s="988"/>
      <c r="Y1449" s="988"/>
    </row>
    <row r="1450" spans="1:25" x14ac:dyDescent="0.2">
      <c r="A1450" s="987"/>
      <c r="B1450" s="987"/>
      <c r="C1450" s="987"/>
      <c r="D1450" s="987"/>
      <c r="E1450" s="987"/>
      <c r="R1450" s="988"/>
      <c r="S1450" s="988"/>
      <c r="T1450" s="988"/>
      <c r="U1450" s="988"/>
      <c r="V1450" s="988"/>
      <c r="W1450" s="988"/>
      <c r="X1450" s="988"/>
      <c r="Y1450" s="988"/>
    </row>
    <row r="1451" spans="1:25" x14ac:dyDescent="0.2">
      <c r="A1451" s="987"/>
      <c r="B1451" s="987"/>
      <c r="C1451" s="987"/>
      <c r="D1451" s="987"/>
      <c r="E1451" s="987"/>
      <c r="R1451" s="988"/>
      <c r="S1451" s="988"/>
      <c r="T1451" s="988"/>
      <c r="U1451" s="988"/>
      <c r="V1451" s="988"/>
      <c r="W1451" s="988"/>
      <c r="X1451" s="988"/>
      <c r="Y1451" s="988"/>
    </row>
    <row r="1452" spans="1:25" x14ac:dyDescent="0.2">
      <c r="A1452" s="987"/>
      <c r="B1452" s="987"/>
      <c r="C1452" s="987"/>
      <c r="D1452" s="987"/>
      <c r="E1452" s="987"/>
      <c r="R1452" s="988"/>
      <c r="S1452" s="988"/>
      <c r="T1452" s="988"/>
      <c r="U1452" s="988"/>
      <c r="V1452" s="988"/>
      <c r="W1452" s="988"/>
      <c r="X1452" s="988"/>
      <c r="Y1452" s="988"/>
    </row>
    <row r="1453" spans="1:25" x14ac:dyDescent="0.2">
      <c r="A1453" s="987"/>
      <c r="B1453" s="987"/>
      <c r="C1453" s="987"/>
      <c r="D1453" s="987"/>
      <c r="E1453" s="987"/>
      <c r="R1453" s="988"/>
      <c r="S1453" s="988"/>
      <c r="T1453" s="988"/>
      <c r="U1453" s="988"/>
      <c r="V1453" s="988"/>
      <c r="W1453" s="988"/>
      <c r="X1453" s="988"/>
      <c r="Y1453" s="988"/>
    </row>
    <row r="1454" spans="1:25" x14ac:dyDescent="0.2">
      <c r="A1454" s="987"/>
      <c r="B1454" s="987"/>
      <c r="C1454" s="987"/>
      <c r="D1454" s="987"/>
      <c r="E1454" s="987"/>
      <c r="R1454" s="988"/>
      <c r="S1454" s="988"/>
      <c r="T1454" s="988"/>
      <c r="U1454" s="988"/>
      <c r="V1454" s="988"/>
      <c r="W1454" s="988"/>
      <c r="X1454" s="988"/>
      <c r="Y1454" s="988"/>
    </row>
    <row r="1455" spans="1:25" x14ac:dyDescent="0.2">
      <c r="A1455" s="987"/>
      <c r="B1455" s="987"/>
      <c r="C1455" s="987"/>
      <c r="D1455" s="987"/>
      <c r="E1455" s="987"/>
      <c r="R1455" s="988"/>
      <c r="S1455" s="988"/>
      <c r="T1455" s="988"/>
      <c r="U1455" s="988"/>
      <c r="V1455" s="988"/>
      <c r="W1455" s="988"/>
      <c r="X1455" s="988"/>
      <c r="Y1455" s="988"/>
    </row>
    <row r="1456" spans="1:25" x14ac:dyDescent="0.2">
      <c r="A1456" s="987"/>
      <c r="B1456" s="987"/>
      <c r="C1456" s="987"/>
      <c r="D1456" s="987"/>
      <c r="E1456" s="987"/>
      <c r="R1456" s="988"/>
      <c r="S1456" s="988"/>
      <c r="T1456" s="988"/>
      <c r="U1456" s="988"/>
      <c r="V1456" s="988"/>
      <c r="W1456" s="988"/>
      <c r="X1456" s="988"/>
      <c r="Y1456" s="988"/>
    </row>
    <row r="1457" spans="1:25" x14ac:dyDescent="0.2">
      <c r="A1457" s="987"/>
      <c r="B1457" s="987"/>
      <c r="C1457" s="987"/>
      <c r="D1457" s="987"/>
      <c r="E1457" s="987"/>
      <c r="R1457" s="988"/>
      <c r="S1457" s="988"/>
      <c r="T1457" s="988"/>
      <c r="U1457" s="988"/>
      <c r="V1457" s="988"/>
      <c r="W1457" s="988"/>
      <c r="X1457" s="988"/>
      <c r="Y1457" s="988"/>
    </row>
    <row r="1458" spans="1:25" x14ac:dyDescent="0.2">
      <c r="A1458" s="987"/>
      <c r="B1458" s="987"/>
      <c r="C1458" s="987"/>
      <c r="D1458" s="987"/>
      <c r="E1458" s="987"/>
      <c r="R1458" s="988"/>
      <c r="S1458" s="988"/>
      <c r="T1458" s="988"/>
      <c r="U1458" s="988"/>
      <c r="V1458" s="988"/>
      <c r="W1458" s="988"/>
      <c r="X1458" s="988"/>
      <c r="Y1458" s="988"/>
    </row>
    <row r="1459" spans="1:25" x14ac:dyDescent="0.2">
      <c r="A1459" s="987"/>
      <c r="B1459" s="987"/>
      <c r="C1459" s="987"/>
      <c r="D1459" s="987"/>
      <c r="E1459" s="987"/>
      <c r="R1459" s="988"/>
      <c r="S1459" s="988"/>
      <c r="T1459" s="988"/>
      <c r="U1459" s="988"/>
      <c r="V1459" s="988"/>
      <c r="W1459" s="988"/>
      <c r="X1459" s="988"/>
      <c r="Y1459" s="988"/>
    </row>
    <row r="1460" spans="1:25" x14ac:dyDescent="0.2">
      <c r="A1460" s="987"/>
      <c r="B1460" s="987"/>
      <c r="C1460" s="987"/>
      <c r="D1460" s="987"/>
      <c r="E1460" s="987"/>
      <c r="R1460" s="988"/>
      <c r="S1460" s="988"/>
      <c r="T1460" s="988"/>
      <c r="U1460" s="988"/>
      <c r="V1460" s="988"/>
      <c r="W1460" s="988"/>
      <c r="X1460" s="988"/>
      <c r="Y1460" s="988"/>
    </row>
    <row r="1461" spans="1:25" x14ac:dyDescent="0.2">
      <c r="A1461" s="987"/>
      <c r="B1461" s="987"/>
      <c r="C1461" s="987"/>
      <c r="D1461" s="987"/>
      <c r="E1461" s="987"/>
      <c r="R1461" s="988"/>
      <c r="S1461" s="988"/>
      <c r="T1461" s="988"/>
      <c r="U1461" s="988"/>
      <c r="V1461" s="988"/>
      <c r="W1461" s="988"/>
      <c r="X1461" s="988"/>
      <c r="Y1461" s="988"/>
    </row>
    <row r="1462" spans="1:25" x14ac:dyDescent="0.2">
      <c r="A1462" s="987"/>
      <c r="B1462" s="987"/>
      <c r="C1462" s="987"/>
      <c r="D1462" s="987"/>
      <c r="E1462" s="987"/>
      <c r="R1462" s="988"/>
      <c r="S1462" s="988"/>
      <c r="T1462" s="988"/>
      <c r="U1462" s="988"/>
      <c r="V1462" s="988"/>
      <c r="W1462" s="988"/>
      <c r="X1462" s="988"/>
      <c r="Y1462" s="988"/>
    </row>
    <row r="1463" spans="1:25" x14ac:dyDescent="0.2">
      <c r="A1463" s="987"/>
      <c r="B1463" s="987"/>
      <c r="C1463" s="987"/>
      <c r="D1463" s="987"/>
      <c r="E1463" s="987"/>
      <c r="R1463" s="988"/>
      <c r="S1463" s="988"/>
      <c r="T1463" s="988"/>
      <c r="U1463" s="988"/>
      <c r="V1463" s="988"/>
      <c r="W1463" s="988"/>
      <c r="X1463" s="988"/>
      <c r="Y1463" s="988"/>
    </row>
    <row r="1464" spans="1:25" x14ac:dyDescent="0.2">
      <c r="A1464" s="987"/>
      <c r="B1464" s="987"/>
      <c r="C1464" s="987"/>
      <c r="D1464" s="987"/>
      <c r="E1464" s="987"/>
      <c r="R1464" s="988"/>
      <c r="S1464" s="988"/>
      <c r="T1464" s="988"/>
      <c r="U1464" s="988"/>
      <c r="V1464" s="988"/>
      <c r="W1464" s="988"/>
      <c r="X1464" s="988"/>
      <c r="Y1464" s="988"/>
    </row>
    <row r="1465" spans="1:25" x14ac:dyDescent="0.2">
      <c r="A1465" s="987"/>
      <c r="B1465" s="987"/>
      <c r="C1465" s="987"/>
      <c r="D1465" s="987"/>
      <c r="E1465" s="987"/>
      <c r="R1465" s="988"/>
      <c r="S1465" s="988"/>
      <c r="T1465" s="988"/>
      <c r="U1465" s="988"/>
      <c r="V1465" s="988"/>
      <c r="W1465" s="988"/>
      <c r="X1465" s="988"/>
      <c r="Y1465" s="988"/>
    </row>
    <row r="1466" spans="1:25" x14ac:dyDescent="0.2">
      <c r="A1466" s="987"/>
      <c r="B1466" s="987"/>
      <c r="C1466" s="987"/>
      <c r="D1466" s="987"/>
      <c r="E1466" s="987"/>
      <c r="R1466" s="988"/>
      <c r="S1466" s="988"/>
      <c r="T1466" s="988"/>
      <c r="U1466" s="988"/>
      <c r="V1466" s="988"/>
      <c r="W1466" s="988"/>
      <c r="X1466" s="988"/>
      <c r="Y1466" s="988"/>
    </row>
    <row r="1467" spans="1:25" x14ac:dyDescent="0.2">
      <c r="A1467" s="987"/>
      <c r="B1467" s="987"/>
      <c r="C1467" s="987"/>
      <c r="D1467" s="987"/>
      <c r="E1467" s="987"/>
      <c r="R1467" s="988"/>
      <c r="S1467" s="988"/>
      <c r="T1467" s="988"/>
      <c r="U1467" s="988"/>
      <c r="V1467" s="988"/>
      <c r="W1467" s="988"/>
      <c r="X1467" s="988"/>
      <c r="Y1467" s="988"/>
    </row>
    <row r="1468" spans="1:25" x14ac:dyDescent="0.2">
      <c r="A1468" s="987"/>
      <c r="B1468" s="987"/>
      <c r="C1468" s="987"/>
      <c r="D1468" s="987"/>
      <c r="E1468" s="987"/>
      <c r="R1468" s="988"/>
      <c r="S1468" s="988"/>
      <c r="T1468" s="988"/>
      <c r="U1468" s="988"/>
      <c r="V1468" s="988"/>
      <c r="W1468" s="988"/>
      <c r="X1468" s="988"/>
      <c r="Y1468" s="988"/>
    </row>
    <row r="1469" spans="1:25" x14ac:dyDescent="0.2">
      <c r="A1469" s="987"/>
      <c r="B1469" s="987"/>
      <c r="C1469" s="987"/>
      <c r="D1469" s="987"/>
      <c r="E1469" s="987"/>
      <c r="R1469" s="988"/>
      <c r="S1469" s="988"/>
      <c r="T1469" s="988"/>
      <c r="U1469" s="988"/>
      <c r="V1469" s="988"/>
      <c r="W1469" s="988"/>
      <c r="X1469" s="988"/>
      <c r="Y1469" s="988"/>
    </row>
    <row r="1470" spans="1:25" x14ac:dyDescent="0.2">
      <c r="A1470" s="987"/>
      <c r="B1470" s="987"/>
      <c r="C1470" s="987"/>
      <c r="D1470" s="987"/>
      <c r="E1470" s="987"/>
      <c r="R1470" s="988"/>
      <c r="S1470" s="988"/>
      <c r="T1470" s="988"/>
      <c r="U1470" s="988"/>
      <c r="V1470" s="988"/>
      <c r="W1470" s="988"/>
      <c r="X1470" s="988"/>
      <c r="Y1470" s="988"/>
    </row>
    <row r="1471" spans="1:25" x14ac:dyDescent="0.2">
      <c r="A1471" s="987"/>
      <c r="B1471" s="987"/>
      <c r="C1471" s="987"/>
      <c r="D1471" s="987"/>
      <c r="E1471" s="987"/>
      <c r="R1471" s="988"/>
      <c r="S1471" s="988"/>
      <c r="T1471" s="988"/>
      <c r="U1471" s="988"/>
      <c r="V1471" s="988"/>
      <c r="W1471" s="988"/>
      <c r="X1471" s="988"/>
      <c r="Y1471" s="988"/>
    </row>
    <row r="1472" spans="1:25" x14ac:dyDescent="0.2">
      <c r="A1472" s="987"/>
      <c r="B1472" s="987"/>
      <c r="C1472" s="987"/>
      <c r="D1472" s="987"/>
      <c r="E1472" s="987"/>
      <c r="R1472" s="988"/>
      <c r="S1472" s="988"/>
      <c r="T1472" s="988"/>
      <c r="U1472" s="988"/>
      <c r="V1472" s="988"/>
      <c r="W1472" s="988"/>
      <c r="X1472" s="988"/>
      <c r="Y1472" s="988"/>
    </row>
    <row r="1473" spans="1:25" x14ac:dyDescent="0.2">
      <c r="A1473" s="987"/>
      <c r="B1473" s="987"/>
      <c r="C1473" s="987"/>
      <c r="D1473" s="987"/>
      <c r="E1473" s="987"/>
      <c r="R1473" s="988"/>
      <c r="S1473" s="988"/>
      <c r="T1473" s="988"/>
      <c r="U1473" s="988"/>
      <c r="V1473" s="988"/>
      <c r="W1473" s="988"/>
      <c r="X1473" s="988"/>
      <c r="Y1473" s="988"/>
    </row>
    <row r="1474" spans="1:25" x14ac:dyDescent="0.2">
      <c r="A1474" s="987"/>
      <c r="B1474" s="987"/>
      <c r="C1474" s="987"/>
      <c r="D1474" s="987"/>
      <c r="E1474" s="987"/>
      <c r="R1474" s="988"/>
      <c r="S1474" s="988"/>
      <c r="T1474" s="988"/>
      <c r="U1474" s="988"/>
      <c r="V1474" s="988"/>
      <c r="W1474" s="988"/>
      <c r="X1474" s="988"/>
      <c r="Y1474" s="988"/>
    </row>
    <row r="1475" spans="1:25" x14ac:dyDescent="0.2">
      <c r="A1475" s="987"/>
      <c r="B1475" s="987"/>
      <c r="C1475" s="987"/>
      <c r="D1475" s="987"/>
      <c r="E1475" s="987"/>
      <c r="R1475" s="988"/>
      <c r="S1475" s="988"/>
      <c r="T1475" s="988"/>
      <c r="U1475" s="988"/>
      <c r="V1475" s="988"/>
      <c r="W1475" s="988"/>
      <c r="X1475" s="988"/>
      <c r="Y1475" s="988"/>
    </row>
    <row r="1476" spans="1:25" x14ac:dyDescent="0.2">
      <c r="A1476" s="987"/>
      <c r="B1476" s="987"/>
      <c r="C1476" s="987"/>
      <c r="D1476" s="987"/>
      <c r="E1476" s="987"/>
      <c r="R1476" s="988"/>
      <c r="S1476" s="988"/>
      <c r="T1476" s="988"/>
      <c r="U1476" s="988"/>
      <c r="V1476" s="988"/>
      <c r="W1476" s="988"/>
      <c r="X1476" s="988"/>
      <c r="Y1476" s="988"/>
    </row>
    <row r="1477" spans="1:25" x14ac:dyDescent="0.2">
      <c r="A1477" s="987"/>
      <c r="B1477" s="987"/>
      <c r="C1477" s="987"/>
      <c r="D1477" s="987"/>
      <c r="E1477" s="987"/>
      <c r="R1477" s="988"/>
      <c r="S1477" s="988"/>
      <c r="T1477" s="988"/>
      <c r="U1477" s="988"/>
      <c r="V1477" s="988"/>
      <c r="W1477" s="988"/>
      <c r="X1477" s="988"/>
      <c r="Y1477" s="988"/>
    </row>
    <row r="1478" spans="1:25" x14ac:dyDescent="0.2">
      <c r="A1478" s="987"/>
      <c r="B1478" s="987"/>
      <c r="C1478" s="987"/>
      <c r="D1478" s="987"/>
      <c r="E1478" s="987"/>
      <c r="R1478" s="988"/>
      <c r="S1478" s="988"/>
      <c r="T1478" s="988"/>
      <c r="U1478" s="988"/>
      <c r="V1478" s="988"/>
      <c r="W1478" s="988"/>
      <c r="X1478" s="988"/>
      <c r="Y1478" s="988"/>
    </row>
    <row r="1479" spans="1:25" x14ac:dyDescent="0.2">
      <c r="A1479" s="987"/>
      <c r="B1479" s="987"/>
      <c r="C1479" s="987"/>
      <c r="D1479" s="987"/>
      <c r="E1479" s="987"/>
      <c r="R1479" s="988"/>
      <c r="S1479" s="988"/>
      <c r="T1479" s="988"/>
      <c r="U1479" s="988"/>
      <c r="V1479" s="988"/>
      <c r="W1479" s="988"/>
      <c r="X1479" s="988"/>
      <c r="Y1479" s="988"/>
    </row>
    <row r="1480" spans="1:25" x14ac:dyDescent="0.2">
      <c r="A1480" s="987"/>
      <c r="B1480" s="987"/>
      <c r="C1480" s="987"/>
      <c r="D1480" s="987"/>
      <c r="E1480" s="987"/>
      <c r="R1480" s="988"/>
      <c r="S1480" s="988"/>
      <c r="T1480" s="988"/>
      <c r="U1480" s="988"/>
      <c r="V1480" s="988"/>
      <c r="W1480" s="988"/>
      <c r="X1480" s="988"/>
      <c r="Y1480" s="988"/>
    </row>
    <row r="1481" spans="1:25" x14ac:dyDescent="0.2">
      <c r="A1481" s="987"/>
      <c r="B1481" s="987"/>
      <c r="C1481" s="987"/>
      <c r="D1481" s="987"/>
      <c r="E1481" s="987"/>
      <c r="R1481" s="988"/>
      <c r="S1481" s="988"/>
      <c r="T1481" s="988"/>
      <c r="U1481" s="988"/>
      <c r="V1481" s="988"/>
      <c r="W1481" s="988"/>
      <c r="X1481" s="988"/>
      <c r="Y1481" s="988"/>
    </row>
    <row r="1482" spans="1:25" x14ac:dyDescent="0.2">
      <c r="A1482" s="987"/>
      <c r="B1482" s="987"/>
      <c r="C1482" s="987"/>
      <c r="D1482" s="987"/>
      <c r="E1482" s="987"/>
      <c r="R1482" s="988"/>
      <c r="S1482" s="988"/>
      <c r="T1482" s="988"/>
      <c r="U1482" s="988"/>
      <c r="V1482" s="988"/>
      <c r="W1482" s="988"/>
      <c r="X1482" s="988"/>
      <c r="Y1482" s="988"/>
    </row>
    <row r="1483" spans="1:25" x14ac:dyDescent="0.2">
      <c r="A1483" s="987"/>
      <c r="B1483" s="987"/>
      <c r="C1483" s="987"/>
      <c r="D1483" s="987"/>
      <c r="E1483" s="987"/>
      <c r="R1483" s="988"/>
      <c r="S1483" s="988"/>
      <c r="T1483" s="988"/>
      <c r="U1483" s="988"/>
      <c r="V1483" s="988"/>
      <c r="W1483" s="988"/>
      <c r="X1483" s="988"/>
      <c r="Y1483" s="988"/>
    </row>
    <row r="1484" spans="1:25" x14ac:dyDescent="0.2">
      <c r="A1484" s="987"/>
      <c r="B1484" s="987"/>
      <c r="C1484" s="987"/>
      <c r="D1484" s="987"/>
      <c r="E1484" s="987"/>
      <c r="R1484" s="988"/>
      <c r="S1484" s="988"/>
      <c r="T1484" s="988"/>
      <c r="U1484" s="988"/>
      <c r="V1484" s="988"/>
      <c r="W1484" s="988"/>
      <c r="X1484" s="988"/>
      <c r="Y1484" s="988"/>
    </row>
    <row r="1485" spans="1:25" x14ac:dyDescent="0.2">
      <c r="A1485" s="987"/>
      <c r="B1485" s="987"/>
      <c r="C1485" s="987"/>
      <c r="D1485" s="987"/>
      <c r="E1485" s="987"/>
      <c r="R1485" s="988"/>
      <c r="S1485" s="988"/>
      <c r="T1485" s="988"/>
      <c r="U1485" s="988"/>
      <c r="V1485" s="988"/>
      <c r="W1485" s="988"/>
      <c r="X1485" s="988"/>
      <c r="Y1485" s="988"/>
    </row>
    <row r="1486" spans="1:25" x14ac:dyDescent="0.2">
      <c r="A1486" s="987"/>
      <c r="B1486" s="987"/>
      <c r="C1486" s="987"/>
      <c r="D1486" s="987"/>
      <c r="E1486" s="987"/>
      <c r="R1486" s="988"/>
      <c r="S1486" s="988"/>
      <c r="T1486" s="988"/>
      <c r="U1486" s="988"/>
      <c r="V1486" s="988"/>
      <c r="W1486" s="988"/>
      <c r="X1486" s="988"/>
      <c r="Y1486" s="988"/>
    </row>
    <row r="1487" spans="1:25" x14ac:dyDescent="0.2">
      <c r="A1487" s="987"/>
      <c r="B1487" s="987"/>
      <c r="C1487" s="987"/>
      <c r="D1487" s="987"/>
      <c r="E1487" s="987"/>
      <c r="R1487" s="988"/>
      <c r="S1487" s="988"/>
      <c r="T1487" s="988"/>
      <c r="U1487" s="988"/>
      <c r="V1487" s="988"/>
      <c r="W1487" s="988"/>
      <c r="X1487" s="988"/>
      <c r="Y1487" s="988"/>
    </row>
    <row r="1488" spans="1:25" x14ac:dyDescent="0.2">
      <c r="A1488" s="987"/>
      <c r="B1488" s="987"/>
      <c r="C1488" s="987"/>
      <c r="D1488" s="987"/>
      <c r="E1488" s="987"/>
      <c r="R1488" s="988"/>
      <c r="S1488" s="988"/>
      <c r="T1488" s="988"/>
      <c r="U1488" s="988"/>
      <c r="V1488" s="988"/>
      <c r="W1488" s="988"/>
      <c r="X1488" s="988"/>
      <c r="Y1488" s="988"/>
    </row>
    <row r="1489" spans="1:25" x14ac:dyDescent="0.2">
      <c r="A1489" s="987"/>
      <c r="B1489" s="987"/>
      <c r="C1489" s="987"/>
      <c r="D1489" s="987"/>
      <c r="E1489" s="987"/>
      <c r="R1489" s="988"/>
      <c r="S1489" s="988"/>
      <c r="T1489" s="988"/>
      <c r="U1489" s="988"/>
      <c r="V1489" s="988"/>
      <c r="W1489" s="988"/>
      <c r="X1489" s="988"/>
      <c r="Y1489" s="988"/>
    </row>
    <row r="1490" spans="1:25" x14ac:dyDescent="0.2">
      <c r="A1490" s="987"/>
      <c r="B1490" s="987"/>
      <c r="C1490" s="987"/>
      <c r="D1490" s="987"/>
      <c r="E1490" s="987"/>
      <c r="R1490" s="988"/>
      <c r="S1490" s="988"/>
      <c r="T1490" s="988"/>
      <c r="U1490" s="988"/>
      <c r="V1490" s="988"/>
      <c r="W1490" s="988"/>
      <c r="X1490" s="988"/>
      <c r="Y1490" s="988"/>
    </row>
    <row r="1491" spans="1:25" x14ac:dyDescent="0.2">
      <c r="A1491" s="987"/>
      <c r="B1491" s="987"/>
      <c r="C1491" s="987"/>
      <c r="D1491" s="987"/>
      <c r="E1491" s="987"/>
      <c r="R1491" s="988"/>
      <c r="S1491" s="988"/>
      <c r="T1491" s="988"/>
      <c r="U1491" s="988"/>
      <c r="V1491" s="988"/>
      <c r="W1491" s="988"/>
      <c r="X1491" s="988"/>
      <c r="Y1491" s="988"/>
    </row>
    <row r="1492" spans="1:25" x14ac:dyDescent="0.2">
      <c r="A1492" s="987"/>
      <c r="B1492" s="987"/>
      <c r="C1492" s="987"/>
      <c r="D1492" s="987"/>
      <c r="E1492" s="987"/>
      <c r="R1492" s="988"/>
      <c r="S1492" s="988"/>
      <c r="T1492" s="988"/>
      <c r="U1492" s="988"/>
      <c r="V1492" s="988"/>
      <c r="W1492" s="988"/>
      <c r="X1492" s="988"/>
      <c r="Y1492" s="988"/>
    </row>
    <row r="1493" spans="1:25" x14ac:dyDescent="0.2">
      <c r="A1493" s="987"/>
      <c r="B1493" s="987"/>
      <c r="C1493" s="987"/>
      <c r="D1493" s="987"/>
      <c r="E1493" s="987"/>
      <c r="R1493" s="988"/>
      <c r="S1493" s="988"/>
      <c r="T1493" s="988"/>
      <c r="U1493" s="988"/>
      <c r="V1493" s="988"/>
      <c r="W1493" s="988"/>
      <c r="X1493" s="988"/>
      <c r="Y1493" s="988"/>
    </row>
    <row r="1494" spans="1:25" x14ac:dyDescent="0.2">
      <c r="A1494" s="987"/>
      <c r="B1494" s="987"/>
      <c r="C1494" s="987"/>
      <c r="D1494" s="987"/>
      <c r="E1494" s="987"/>
      <c r="R1494" s="988"/>
      <c r="S1494" s="988"/>
      <c r="T1494" s="988"/>
      <c r="U1494" s="988"/>
      <c r="V1494" s="988"/>
      <c r="W1494" s="988"/>
      <c r="X1494" s="988"/>
      <c r="Y1494" s="988"/>
    </row>
    <row r="1495" spans="1:25" x14ac:dyDescent="0.2">
      <c r="A1495" s="987"/>
      <c r="B1495" s="987"/>
      <c r="C1495" s="987"/>
      <c r="D1495" s="987"/>
      <c r="E1495" s="987"/>
      <c r="R1495" s="988"/>
      <c r="S1495" s="988"/>
      <c r="T1495" s="988"/>
      <c r="U1495" s="988"/>
      <c r="V1495" s="988"/>
      <c r="W1495" s="988"/>
      <c r="X1495" s="988"/>
      <c r="Y1495" s="988"/>
    </row>
    <row r="1496" spans="1:25" x14ac:dyDescent="0.2">
      <c r="A1496" s="987"/>
      <c r="B1496" s="987"/>
      <c r="C1496" s="987"/>
      <c r="D1496" s="987"/>
      <c r="E1496" s="987"/>
      <c r="R1496" s="988"/>
      <c r="S1496" s="988"/>
      <c r="T1496" s="988"/>
      <c r="U1496" s="988"/>
      <c r="V1496" s="988"/>
      <c r="W1496" s="988"/>
      <c r="X1496" s="988"/>
      <c r="Y1496" s="988"/>
    </row>
    <row r="1497" spans="1:25" x14ac:dyDescent="0.2">
      <c r="A1497" s="987"/>
      <c r="B1497" s="987"/>
      <c r="C1497" s="987"/>
      <c r="D1497" s="987"/>
      <c r="E1497" s="987"/>
      <c r="R1497" s="988"/>
      <c r="S1497" s="988"/>
      <c r="T1497" s="988"/>
      <c r="U1497" s="988"/>
      <c r="V1497" s="988"/>
      <c r="W1497" s="988"/>
      <c r="X1497" s="988"/>
      <c r="Y1497" s="988"/>
    </row>
    <row r="1498" spans="1:25" x14ac:dyDescent="0.2">
      <c r="A1498" s="987"/>
      <c r="B1498" s="987"/>
      <c r="C1498" s="987"/>
      <c r="D1498" s="987"/>
      <c r="E1498" s="987"/>
      <c r="R1498" s="988"/>
      <c r="S1498" s="988"/>
      <c r="T1498" s="988"/>
      <c r="U1498" s="988"/>
      <c r="V1498" s="988"/>
      <c r="W1498" s="988"/>
      <c r="X1498" s="988"/>
      <c r="Y1498" s="988"/>
    </row>
    <row r="1499" spans="1:25" x14ac:dyDescent="0.2">
      <c r="A1499" s="987"/>
      <c r="B1499" s="987"/>
      <c r="C1499" s="987"/>
      <c r="D1499" s="987"/>
      <c r="E1499" s="987"/>
      <c r="R1499" s="988"/>
      <c r="S1499" s="988"/>
      <c r="T1499" s="988"/>
      <c r="U1499" s="988"/>
      <c r="V1499" s="988"/>
      <c r="W1499" s="988"/>
      <c r="X1499" s="988"/>
      <c r="Y1499" s="988"/>
    </row>
    <row r="1500" spans="1:25" x14ac:dyDescent="0.2">
      <c r="A1500" s="987"/>
      <c r="B1500" s="987"/>
      <c r="C1500" s="987"/>
      <c r="D1500" s="987"/>
      <c r="E1500" s="987"/>
      <c r="R1500" s="988"/>
      <c r="S1500" s="988"/>
      <c r="T1500" s="988"/>
      <c r="U1500" s="988"/>
      <c r="V1500" s="988"/>
      <c r="W1500" s="988"/>
      <c r="X1500" s="988"/>
      <c r="Y1500" s="988"/>
    </row>
    <row r="1501" spans="1:25" x14ac:dyDescent="0.2">
      <c r="A1501" s="987"/>
      <c r="B1501" s="987"/>
      <c r="C1501" s="987"/>
      <c r="D1501" s="987"/>
      <c r="E1501" s="987"/>
      <c r="R1501" s="988"/>
      <c r="S1501" s="988"/>
      <c r="T1501" s="988"/>
      <c r="U1501" s="988"/>
      <c r="V1501" s="988"/>
      <c r="W1501" s="988"/>
      <c r="X1501" s="988"/>
      <c r="Y1501" s="988"/>
    </row>
    <row r="1502" spans="1:25" x14ac:dyDescent="0.2">
      <c r="A1502" s="987"/>
      <c r="B1502" s="987"/>
      <c r="C1502" s="987"/>
      <c r="D1502" s="987"/>
      <c r="E1502" s="987"/>
      <c r="R1502" s="988"/>
      <c r="S1502" s="988"/>
      <c r="T1502" s="988"/>
      <c r="U1502" s="988"/>
      <c r="V1502" s="988"/>
      <c r="W1502" s="988"/>
      <c r="X1502" s="988"/>
      <c r="Y1502" s="988"/>
    </row>
    <row r="1503" spans="1:25" x14ac:dyDescent="0.2">
      <c r="A1503" s="987"/>
      <c r="B1503" s="987"/>
      <c r="C1503" s="987"/>
      <c r="D1503" s="987"/>
      <c r="E1503" s="987"/>
      <c r="R1503" s="988"/>
      <c r="S1503" s="988"/>
      <c r="T1503" s="988"/>
      <c r="U1503" s="988"/>
      <c r="V1503" s="988"/>
      <c r="W1503" s="988"/>
      <c r="X1503" s="988"/>
      <c r="Y1503" s="988"/>
    </row>
    <row r="1504" spans="1:25" x14ac:dyDescent="0.2">
      <c r="A1504" s="987"/>
      <c r="B1504" s="987"/>
      <c r="C1504" s="987"/>
      <c r="D1504" s="987"/>
      <c r="E1504" s="987"/>
      <c r="R1504" s="988"/>
      <c r="S1504" s="988"/>
      <c r="T1504" s="988"/>
      <c r="U1504" s="988"/>
      <c r="V1504" s="988"/>
      <c r="W1504" s="988"/>
      <c r="X1504" s="988"/>
      <c r="Y1504" s="988"/>
    </row>
    <row r="1505" spans="1:25" x14ac:dyDescent="0.2">
      <c r="A1505" s="987"/>
      <c r="B1505" s="987"/>
      <c r="C1505" s="987"/>
      <c r="D1505" s="987"/>
      <c r="E1505" s="987"/>
      <c r="R1505" s="988"/>
      <c r="S1505" s="988"/>
      <c r="T1505" s="988"/>
      <c r="U1505" s="988"/>
      <c r="V1505" s="988"/>
      <c r="W1505" s="988"/>
      <c r="X1505" s="988"/>
      <c r="Y1505" s="988"/>
    </row>
    <row r="1506" spans="1:25" x14ac:dyDescent="0.2">
      <c r="A1506" s="987"/>
      <c r="B1506" s="987"/>
      <c r="C1506" s="987"/>
      <c r="D1506" s="987"/>
      <c r="E1506" s="987"/>
      <c r="R1506" s="988"/>
      <c r="S1506" s="988"/>
      <c r="T1506" s="988"/>
      <c r="U1506" s="988"/>
      <c r="V1506" s="988"/>
      <c r="W1506" s="988"/>
      <c r="X1506" s="988"/>
      <c r="Y1506" s="988"/>
    </row>
    <row r="1507" spans="1:25" x14ac:dyDescent="0.2">
      <c r="A1507" s="987"/>
      <c r="B1507" s="987"/>
      <c r="C1507" s="987"/>
      <c r="D1507" s="987"/>
      <c r="E1507" s="987"/>
      <c r="R1507" s="988"/>
      <c r="S1507" s="988"/>
      <c r="T1507" s="988"/>
      <c r="U1507" s="988"/>
      <c r="V1507" s="988"/>
      <c r="W1507" s="988"/>
      <c r="X1507" s="988"/>
      <c r="Y1507" s="988"/>
    </row>
    <row r="1508" spans="1:25" x14ac:dyDescent="0.2">
      <c r="A1508" s="987"/>
      <c r="B1508" s="987"/>
      <c r="C1508" s="987"/>
      <c r="D1508" s="987"/>
      <c r="E1508" s="987"/>
      <c r="R1508" s="988"/>
      <c r="S1508" s="988"/>
      <c r="T1508" s="988"/>
      <c r="U1508" s="988"/>
      <c r="V1508" s="988"/>
      <c r="W1508" s="988"/>
      <c r="X1508" s="988"/>
      <c r="Y1508" s="988"/>
    </row>
    <row r="1509" spans="1:25" x14ac:dyDescent="0.2">
      <c r="A1509" s="987"/>
      <c r="B1509" s="987"/>
      <c r="C1509" s="987"/>
      <c r="D1509" s="987"/>
      <c r="E1509" s="987"/>
      <c r="R1509" s="988"/>
      <c r="S1509" s="988"/>
      <c r="T1509" s="988"/>
      <c r="U1509" s="988"/>
      <c r="V1509" s="988"/>
      <c r="W1509" s="988"/>
      <c r="X1509" s="988"/>
      <c r="Y1509" s="988"/>
    </row>
    <row r="1510" spans="1:25" x14ac:dyDescent="0.2">
      <c r="A1510" s="987"/>
      <c r="B1510" s="987"/>
      <c r="C1510" s="987"/>
      <c r="D1510" s="987"/>
      <c r="E1510" s="987"/>
      <c r="R1510" s="988"/>
      <c r="S1510" s="988"/>
      <c r="T1510" s="988"/>
      <c r="U1510" s="988"/>
      <c r="V1510" s="988"/>
      <c r="W1510" s="988"/>
      <c r="X1510" s="988"/>
      <c r="Y1510" s="988"/>
    </row>
    <row r="1511" spans="1:25" x14ac:dyDescent="0.2">
      <c r="A1511" s="987"/>
      <c r="B1511" s="987"/>
      <c r="C1511" s="987"/>
      <c r="D1511" s="987"/>
      <c r="E1511" s="987"/>
      <c r="R1511" s="988"/>
      <c r="S1511" s="988"/>
      <c r="T1511" s="988"/>
      <c r="U1511" s="988"/>
      <c r="V1511" s="988"/>
      <c r="W1511" s="988"/>
      <c r="X1511" s="988"/>
      <c r="Y1511" s="988"/>
    </row>
    <row r="1512" spans="1:25" x14ac:dyDescent="0.2">
      <c r="A1512" s="987"/>
      <c r="B1512" s="987"/>
      <c r="C1512" s="987"/>
      <c r="D1512" s="987"/>
      <c r="E1512" s="987"/>
      <c r="R1512" s="988"/>
      <c r="S1512" s="988"/>
      <c r="T1512" s="988"/>
      <c r="U1512" s="988"/>
      <c r="V1512" s="988"/>
      <c r="W1512" s="988"/>
      <c r="X1512" s="988"/>
      <c r="Y1512" s="988"/>
    </row>
    <row r="1513" spans="1:25" x14ac:dyDescent="0.2">
      <c r="A1513" s="987"/>
      <c r="B1513" s="987"/>
      <c r="C1513" s="987"/>
      <c r="D1513" s="987"/>
      <c r="E1513" s="987"/>
      <c r="R1513" s="988"/>
      <c r="S1513" s="988"/>
      <c r="T1513" s="988"/>
      <c r="U1513" s="988"/>
      <c r="V1513" s="988"/>
      <c r="W1513" s="988"/>
      <c r="X1513" s="988"/>
      <c r="Y1513" s="988"/>
    </row>
    <row r="1514" spans="1:25" x14ac:dyDescent="0.2">
      <c r="A1514" s="987"/>
      <c r="B1514" s="987"/>
      <c r="C1514" s="987"/>
      <c r="D1514" s="987"/>
      <c r="E1514" s="987"/>
      <c r="R1514" s="988"/>
      <c r="S1514" s="988"/>
      <c r="T1514" s="988"/>
      <c r="U1514" s="988"/>
      <c r="V1514" s="988"/>
      <c r="W1514" s="988"/>
      <c r="X1514" s="988"/>
      <c r="Y1514" s="988"/>
    </row>
    <row r="1515" spans="1:25" x14ac:dyDescent="0.2">
      <c r="A1515" s="987"/>
      <c r="B1515" s="987"/>
      <c r="C1515" s="987"/>
      <c r="D1515" s="987"/>
      <c r="E1515" s="987"/>
      <c r="R1515" s="988"/>
      <c r="S1515" s="988"/>
      <c r="T1515" s="988"/>
      <c r="U1515" s="988"/>
      <c r="V1515" s="988"/>
      <c r="W1515" s="988"/>
      <c r="X1515" s="988"/>
      <c r="Y1515" s="988"/>
    </row>
    <row r="1516" spans="1:25" x14ac:dyDescent="0.2">
      <c r="A1516" s="987"/>
      <c r="B1516" s="987"/>
      <c r="C1516" s="987"/>
      <c r="D1516" s="987"/>
      <c r="E1516" s="987"/>
      <c r="R1516" s="988"/>
      <c r="S1516" s="988"/>
      <c r="T1516" s="988"/>
      <c r="U1516" s="988"/>
      <c r="V1516" s="988"/>
      <c r="W1516" s="988"/>
      <c r="X1516" s="988"/>
      <c r="Y1516" s="988"/>
    </row>
    <row r="1517" spans="1:25" x14ac:dyDescent="0.2">
      <c r="A1517" s="987"/>
      <c r="B1517" s="987"/>
      <c r="C1517" s="987"/>
      <c r="D1517" s="987"/>
      <c r="E1517" s="987"/>
      <c r="R1517" s="988"/>
      <c r="S1517" s="988"/>
      <c r="T1517" s="988"/>
      <c r="U1517" s="988"/>
      <c r="V1517" s="988"/>
      <c r="W1517" s="988"/>
      <c r="X1517" s="988"/>
      <c r="Y1517" s="988"/>
    </row>
    <row r="1518" spans="1:25" x14ac:dyDescent="0.2">
      <c r="A1518" s="987"/>
      <c r="B1518" s="987"/>
      <c r="C1518" s="987"/>
      <c r="D1518" s="987"/>
      <c r="E1518" s="987"/>
      <c r="R1518" s="988"/>
      <c r="S1518" s="988"/>
      <c r="T1518" s="988"/>
      <c r="U1518" s="988"/>
      <c r="V1518" s="988"/>
      <c r="W1518" s="988"/>
      <c r="X1518" s="988"/>
      <c r="Y1518" s="988"/>
    </row>
    <row r="1519" spans="1:25" x14ac:dyDescent="0.2">
      <c r="A1519" s="987"/>
      <c r="B1519" s="987"/>
      <c r="C1519" s="987"/>
      <c r="D1519" s="987"/>
      <c r="E1519" s="987"/>
      <c r="R1519" s="988"/>
      <c r="S1519" s="988"/>
      <c r="T1519" s="988"/>
      <c r="U1519" s="988"/>
      <c r="V1519" s="988"/>
      <c r="W1519" s="988"/>
      <c r="X1519" s="988"/>
      <c r="Y1519" s="988"/>
    </row>
    <row r="1520" spans="1:25" x14ac:dyDescent="0.2">
      <c r="A1520" s="987"/>
      <c r="B1520" s="987"/>
      <c r="C1520" s="987"/>
      <c r="D1520" s="987"/>
      <c r="E1520" s="987"/>
      <c r="R1520" s="988"/>
      <c r="S1520" s="988"/>
      <c r="T1520" s="988"/>
      <c r="U1520" s="988"/>
      <c r="V1520" s="988"/>
      <c r="W1520" s="988"/>
      <c r="X1520" s="988"/>
      <c r="Y1520" s="988"/>
    </row>
    <row r="1521" spans="1:25" x14ac:dyDescent="0.2">
      <c r="A1521" s="987"/>
      <c r="B1521" s="987"/>
      <c r="C1521" s="987"/>
      <c r="D1521" s="987"/>
      <c r="E1521" s="987"/>
      <c r="R1521" s="988"/>
      <c r="S1521" s="988"/>
      <c r="T1521" s="988"/>
      <c r="U1521" s="988"/>
      <c r="V1521" s="988"/>
      <c r="W1521" s="988"/>
      <c r="X1521" s="988"/>
      <c r="Y1521" s="988"/>
    </row>
    <row r="1522" spans="1:25" x14ac:dyDescent="0.2">
      <c r="A1522" s="987"/>
      <c r="B1522" s="987"/>
      <c r="C1522" s="987"/>
      <c r="D1522" s="987"/>
      <c r="E1522" s="987"/>
      <c r="R1522" s="988"/>
      <c r="S1522" s="988"/>
      <c r="T1522" s="988"/>
      <c r="U1522" s="988"/>
      <c r="V1522" s="988"/>
      <c r="W1522" s="988"/>
      <c r="X1522" s="988"/>
      <c r="Y1522" s="988"/>
    </row>
    <row r="1523" spans="1:25" x14ac:dyDescent="0.2">
      <c r="A1523" s="987"/>
      <c r="B1523" s="987"/>
      <c r="C1523" s="987"/>
      <c r="D1523" s="987"/>
      <c r="E1523" s="987"/>
      <c r="R1523" s="988"/>
      <c r="S1523" s="988"/>
      <c r="T1523" s="988"/>
      <c r="U1523" s="988"/>
      <c r="V1523" s="988"/>
      <c r="W1523" s="988"/>
      <c r="X1523" s="988"/>
      <c r="Y1523" s="988"/>
    </row>
    <row r="1524" spans="1:25" x14ac:dyDescent="0.2">
      <c r="A1524" s="987"/>
      <c r="B1524" s="987"/>
      <c r="C1524" s="987"/>
      <c r="D1524" s="987"/>
      <c r="E1524" s="987"/>
      <c r="R1524" s="988"/>
      <c r="S1524" s="988"/>
      <c r="T1524" s="988"/>
      <c r="U1524" s="988"/>
      <c r="V1524" s="988"/>
      <c r="W1524" s="988"/>
      <c r="X1524" s="988"/>
      <c r="Y1524" s="988"/>
    </row>
    <row r="1525" spans="1:25" x14ac:dyDescent="0.2">
      <c r="A1525" s="987"/>
      <c r="B1525" s="987"/>
      <c r="C1525" s="987"/>
      <c r="D1525" s="987"/>
      <c r="E1525" s="987"/>
      <c r="R1525" s="988"/>
      <c r="S1525" s="988"/>
      <c r="T1525" s="988"/>
      <c r="U1525" s="988"/>
      <c r="V1525" s="988"/>
      <c r="W1525" s="988"/>
      <c r="X1525" s="988"/>
      <c r="Y1525" s="988"/>
    </row>
    <row r="1526" spans="1:25" x14ac:dyDescent="0.2">
      <c r="A1526" s="987"/>
      <c r="B1526" s="987"/>
      <c r="C1526" s="987"/>
      <c r="D1526" s="987"/>
      <c r="E1526" s="987"/>
      <c r="R1526" s="988"/>
      <c r="S1526" s="988"/>
      <c r="T1526" s="988"/>
      <c r="U1526" s="988"/>
      <c r="V1526" s="988"/>
      <c r="W1526" s="988"/>
      <c r="X1526" s="988"/>
      <c r="Y1526" s="988"/>
    </row>
    <row r="1527" spans="1:25" x14ac:dyDescent="0.2">
      <c r="A1527" s="987"/>
      <c r="B1527" s="987"/>
      <c r="C1527" s="987"/>
      <c r="D1527" s="987"/>
      <c r="E1527" s="987"/>
      <c r="R1527" s="988"/>
      <c r="S1527" s="988"/>
      <c r="T1527" s="988"/>
      <c r="U1527" s="988"/>
      <c r="V1527" s="988"/>
      <c r="W1527" s="988"/>
      <c r="X1527" s="988"/>
      <c r="Y1527" s="988"/>
    </row>
    <row r="1528" spans="1:25" x14ac:dyDescent="0.2">
      <c r="A1528" s="987"/>
      <c r="B1528" s="987"/>
      <c r="C1528" s="987"/>
      <c r="D1528" s="987"/>
      <c r="E1528" s="987"/>
      <c r="R1528" s="988"/>
      <c r="S1528" s="988"/>
      <c r="T1528" s="988"/>
      <c r="U1528" s="988"/>
      <c r="V1528" s="988"/>
      <c r="W1528" s="988"/>
      <c r="X1528" s="988"/>
      <c r="Y1528" s="988"/>
    </row>
    <row r="1529" spans="1:25" x14ac:dyDescent="0.2">
      <c r="A1529" s="987"/>
      <c r="B1529" s="987"/>
      <c r="C1529" s="987"/>
      <c r="D1529" s="987"/>
      <c r="E1529" s="987"/>
      <c r="R1529" s="988"/>
      <c r="S1529" s="988"/>
      <c r="T1529" s="988"/>
      <c r="U1529" s="988"/>
      <c r="V1529" s="988"/>
      <c r="W1529" s="988"/>
      <c r="X1529" s="988"/>
      <c r="Y1529" s="988"/>
    </row>
    <row r="1530" spans="1:25" x14ac:dyDescent="0.2">
      <c r="A1530" s="987"/>
      <c r="B1530" s="987"/>
      <c r="C1530" s="987"/>
      <c r="D1530" s="987"/>
      <c r="E1530" s="987"/>
      <c r="R1530" s="988"/>
      <c r="S1530" s="988"/>
      <c r="T1530" s="988"/>
      <c r="U1530" s="988"/>
      <c r="V1530" s="988"/>
      <c r="W1530" s="988"/>
      <c r="X1530" s="988"/>
      <c r="Y1530" s="988"/>
    </row>
    <row r="1531" spans="1:25" x14ac:dyDescent="0.2">
      <c r="A1531" s="987"/>
      <c r="B1531" s="987"/>
      <c r="C1531" s="987"/>
      <c r="D1531" s="987"/>
      <c r="E1531" s="987"/>
      <c r="R1531" s="988"/>
      <c r="S1531" s="988"/>
      <c r="T1531" s="988"/>
      <c r="U1531" s="988"/>
      <c r="V1531" s="988"/>
      <c r="W1531" s="988"/>
      <c r="X1531" s="988"/>
      <c r="Y1531" s="988"/>
    </row>
    <row r="1532" spans="1:25" x14ac:dyDescent="0.2">
      <c r="A1532" s="987"/>
      <c r="B1532" s="987"/>
      <c r="C1532" s="987"/>
      <c r="D1532" s="987"/>
      <c r="E1532" s="987"/>
      <c r="R1532" s="988"/>
      <c r="S1532" s="988"/>
      <c r="T1532" s="988"/>
      <c r="U1532" s="988"/>
      <c r="V1532" s="988"/>
      <c r="W1532" s="988"/>
      <c r="X1532" s="988"/>
      <c r="Y1532" s="988"/>
    </row>
    <row r="1533" spans="1:25" x14ac:dyDescent="0.2">
      <c r="A1533" s="987"/>
      <c r="B1533" s="987"/>
      <c r="C1533" s="987"/>
      <c r="D1533" s="987"/>
      <c r="E1533" s="987"/>
      <c r="R1533" s="988"/>
      <c r="S1533" s="988"/>
      <c r="T1533" s="988"/>
      <c r="U1533" s="988"/>
      <c r="V1533" s="988"/>
      <c r="W1533" s="988"/>
      <c r="X1533" s="988"/>
      <c r="Y1533" s="988"/>
    </row>
    <row r="1534" spans="1:25" x14ac:dyDescent="0.2">
      <c r="A1534" s="987"/>
      <c r="B1534" s="987"/>
      <c r="C1534" s="987"/>
      <c r="D1534" s="987"/>
      <c r="E1534" s="987"/>
      <c r="R1534" s="988"/>
      <c r="S1534" s="988"/>
      <c r="T1534" s="988"/>
      <c r="U1534" s="988"/>
      <c r="V1534" s="988"/>
      <c r="W1534" s="988"/>
      <c r="X1534" s="988"/>
      <c r="Y1534" s="988"/>
    </row>
    <row r="1535" spans="1:25" x14ac:dyDescent="0.2">
      <c r="A1535" s="987"/>
      <c r="B1535" s="987"/>
      <c r="C1535" s="987"/>
      <c r="D1535" s="987"/>
      <c r="E1535" s="987"/>
      <c r="R1535" s="988"/>
      <c r="S1535" s="988"/>
      <c r="T1535" s="988"/>
      <c r="U1535" s="988"/>
      <c r="V1535" s="988"/>
      <c r="W1535" s="988"/>
      <c r="X1535" s="988"/>
      <c r="Y1535" s="988"/>
    </row>
    <row r="1536" spans="1:25" x14ac:dyDescent="0.2">
      <c r="A1536" s="987"/>
      <c r="B1536" s="987"/>
      <c r="C1536" s="987"/>
      <c r="D1536" s="987"/>
      <c r="E1536" s="987"/>
      <c r="R1536" s="988"/>
      <c r="S1536" s="988"/>
      <c r="T1536" s="988"/>
      <c r="U1536" s="988"/>
      <c r="V1536" s="988"/>
      <c r="W1536" s="988"/>
      <c r="X1536" s="988"/>
      <c r="Y1536" s="988"/>
    </row>
    <row r="1537" spans="1:25" x14ac:dyDescent="0.2">
      <c r="A1537" s="987"/>
      <c r="B1537" s="987"/>
      <c r="C1537" s="987"/>
      <c r="D1537" s="987"/>
      <c r="E1537" s="987"/>
      <c r="R1537" s="988"/>
      <c r="S1537" s="988"/>
      <c r="T1537" s="988"/>
      <c r="U1537" s="988"/>
      <c r="V1537" s="988"/>
      <c r="W1537" s="988"/>
      <c r="X1537" s="988"/>
      <c r="Y1537" s="988"/>
    </row>
    <row r="1538" spans="1:25" x14ac:dyDescent="0.2">
      <c r="A1538" s="987"/>
      <c r="B1538" s="987"/>
      <c r="C1538" s="987"/>
      <c r="D1538" s="987"/>
      <c r="E1538" s="987"/>
      <c r="R1538" s="988"/>
      <c r="S1538" s="988"/>
      <c r="T1538" s="988"/>
      <c r="U1538" s="988"/>
      <c r="V1538" s="988"/>
      <c r="W1538" s="988"/>
      <c r="X1538" s="988"/>
      <c r="Y1538" s="988"/>
    </row>
    <row r="1539" spans="1:25" x14ac:dyDescent="0.2">
      <c r="A1539" s="987"/>
      <c r="B1539" s="987"/>
      <c r="C1539" s="987"/>
      <c r="D1539" s="987"/>
      <c r="E1539" s="987"/>
      <c r="R1539" s="988"/>
      <c r="S1539" s="988"/>
      <c r="T1539" s="988"/>
      <c r="U1539" s="988"/>
      <c r="V1539" s="988"/>
      <c r="W1539" s="988"/>
      <c r="X1539" s="988"/>
      <c r="Y1539" s="988"/>
    </row>
    <row r="1540" spans="1:25" x14ac:dyDescent="0.2">
      <c r="A1540" s="987"/>
      <c r="B1540" s="987"/>
      <c r="C1540" s="987"/>
      <c r="D1540" s="987"/>
      <c r="E1540" s="987"/>
      <c r="R1540" s="988"/>
      <c r="S1540" s="988"/>
      <c r="T1540" s="988"/>
      <c r="U1540" s="988"/>
      <c r="V1540" s="988"/>
      <c r="W1540" s="988"/>
      <c r="X1540" s="988"/>
      <c r="Y1540" s="988"/>
    </row>
    <row r="1541" spans="1:25" x14ac:dyDescent="0.2">
      <c r="A1541" s="987"/>
      <c r="B1541" s="987"/>
      <c r="C1541" s="987"/>
      <c r="D1541" s="987"/>
      <c r="E1541" s="987"/>
      <c r="R1541" s="988"/>
      <c r="S1541" s="988"/>
      <c r="T1541" s="988"/>
      <c r="U1541" s="988"/>
      <c r="V1541" s="988"/>
      <c r="W1541" s="988"/>
      <c r="X1541" s="988"/>
      <c r="Y1541" s="988"/>
    </row>
    <row r="1542" spans="1:25" x14ac:dyDescent="0.2">
      <c r="A1542" s="987"/>
      <c r="B1542" s="987"/>
      <c r="C1542" s="987"/>
      <c r="D1542" s="987"/>
      <c r="E1542" s="987"/>
      <c r="R1542" s="988"/>
      <c r="S1542" s="988"/>
      <c r="T1542" s="988"/>
      <c r="U1542" s="988"/>
      <c r="V1542" s="988"/>
      <c r="W1542" s="988"/>
      <c r="X1542" s="988"/>
      <c r="Y1542" s="988"/>
    </row>
    <row r="1543" spans="1:25" x14ac:dyDescent="0.2">
      <c r="A1543" s="987"/>
      <c r="B1543" s="987"/>
      <c r="C1543" s="987"/>
      <c r="D1543" s="987"/>
      <c r="E1543" s="987"/>
      <c r="R1543" s="988"/>
      <c r="S1543" s="988"/>
      <c r="T1543" s="988"/>
      <c r="U1543" s="988"/>
      <c r="V1543" s="988"/>
      <c r="W1543" s="988"/>
      <c r="X1543" s="988"/>
      <c r="Y1543" s="988"/>
    </row>
    <row r="1544" spans="1:25" x14ac:dyDescent="0.2">
      <c r="A1544" s="987"/>
      <c r="B1544" s="987"/>
      <c r="C1544" s="987"/>
      <c r="D1544" s="987"/>
      <c r="E1544" s="987"/>
      <c r="R1544" s="988"/>
      <c r="S1544" s="988"/>
      <c r="T1544" s="988"/>
      <c r="U1544" s="988"/>
      <c r="V1544" s="988"/>
      <c r="W1544" s="988"/>
      <c r="X1544" s="988"/>
      <c r="Y1544" s="988"/>
    </row>
    <row r="1545" spans="1:25" x14ac:dyDescent="0.2">
      <c r="A1545" s="987"/>
      <c r="B1545" s="987"/>
      <c r="C1545" s="987"/>
      <c r="D1545" s="987"/>
      <c r="E1545" s="987"/>
      <c r="R1545" s="988"/>
      <c r="S1545" s="988"/>
      <c r="T1545" s="988"/>
      <c r="U1545" s="988"/>
      <c r="V1545" s="988"/>
      <c r="W1545" s="988"/>
      <c r="X1545" s="988"/>
      <c r="Y1545" s="988"/>
    </row>
    <row r="1546" spans="1:25" x14ac:dyDescent="0.2">
      <c r="A1546" s="987"/>
      <c r="B1546" s="987"/>
      <c r="C1546" s="987"/>
      <c r="D1546" s="987"/>
      <c r="E1546" s="987"/>
      <c r="R1546" s="988"/>
      <c r="S1546" s="988"/>
      <c r="T1546" s="988"/>
      <c r="U1546" s="988"/>
      <c r="V1546" s="988"/>
      <c r="W1546" s="988"/>
      <c r="X1546" s="988"/>
      <c r="Y1546" s="988"/>
    </row>
    <row r="1547" spans="1:25" x14ac:dyDescent="0.2">
      <c r="A1547" s="987"/>
      <c r="B1547" s="987"/>
      <c r="C1547" s="987"/>
      <c r="D1547" s="987"/>
      <c r="E1547" s="987"/>
      <c r="R1547" s="988"/>
      <c r="S1547" s="988"/>
      <c r="T1547" s="988"/>
      <c r="U1547" s="988"/>
      <c r="V1547" s="988"/>
      <c r="W1547" s="988"/>
      <c r="X1547" s="988"/>
      <c r="Y1547" s="988"/>
    </row>
    <row r="1548" spans="1:25" x14ac:dyDescent="0.2">
      <c r="A1548" s="987"/>
      <c r="B1548" s="987"/>
      <c r="C1548" s="987"/>
      <c r="D1548" s="987"/>
      <c r="E1548" s="987"/>
      <c r="R1548" s="988"/>
      <c r="S1548" s="988"/>
      <c r="T1548" s="988"/>
      <c r="U1548" s="988"/>
      <c r="V1548" s="988"/>
      <c r="W1548" s="988"/>
      <c r="X1548" s="988"/>
      <c r="Y1548" s="988"/>
    </row>
    <row r="1549" spans="1:25" x14ac:dyDescent="0.2">
      <c r="A1549" s="987"/>
      <c r="B1549" s="987"/>
      <c r="C1549" s="987"/>
      <c r="D1549" s="987"/>
      <c r="E1549" s="987"/>
      <c r="R1549" s="988"/>
      <c r="S1549" s="988"/>
      <c r="T1549" s="988"/>
      <c r="U1549" s="988"/>
      <c r="V1549" s="988"/>
      <c r="W1549" s="988"/>
      <c r="X1549" s="988"/>
      <c r="Y1549" s="988"/>
    </row>
    <row r="1550" spans="1:25" x14ac:dyDescent="0.2">
      <c r="A1550" s="987"/>
      <c r="B1550" s="987"/>
      <c r="C1550" s="987"/>
      <c r="D1550" s="987"/>
      <c r="E1550" s="987"/>
      <c r="R1550" s="988"/>
      <c r="S1550" s="988"/>
      <c r="T1550" s="988"/>
      <c r="U1550" s="988"/>
      <c r="V1550" s="988"/>
      <c r="W1550" s="988"/>
      <c r="X1550" s="988"/>
      <c r="Y1550" s="988"/>
    </row>
    <row r="1551" spans="1:25" x14ac:dyDescent="0.2">
      <c r="A1551" s="987"/>
      <c r="B1551" s="987"/>
      <c r="C1551" s="987"/>
      <c r="D1551" s="987"/>
      <c r="E1551" s="987"/>
      <c r="R1551" s="988"/>
      <c r="S1551" s="988"/>
      <c r="T1551" s="988"/>
      <c r="U1551" s="988"/>
      <c r="V1551" s="988"/>
      <c r="W1551" s="988"/>
      <c r="X1551" s="988"/>
      <c r="Y1551" s="988"/>
    </row>
    <row r="1552" spans="1:25" x14ac:dyDescent="0.2">
      <c r="A1552" s="987"/>
      <c r="B1552" s="987"/>
      <c r="C1552" s="987"/>
      <c r="D1552" s="987"/>
      <c r="E1552" s="987"/>
      <c r="R1552" s="988"/>
      <c r="S1552" s="988"/>
      <c r="T1552" s="988"/>
      <c r="U1552" s="988"/>
      <c r="V1552" s="988"/>
      <c r="W1552" s="988"/>
      <c r="X1552" s="988"/>
      <c r="Y1552" s="988"/>
    </row>
    <row r="1553" spans="1:25" x14ac:dyDescent="0.2">
      <c r="A1553" s="987"/>
      <c r="B1553" s="987"/>
      <c r="C1553" s="987"/>
      <c r="D1553" s="987"/>
      <c r="E1553" s="987"/>
      <c r="R1553" s="988"/>
      <c r="S1553" s="988"/>
      <c r="T1553" s="988"/>
      <c r="U1553" s="988"/>
      <c r="V1553" s="988"/>
      <c r="W1553" s="988"/>
      <c r="X1553" s="988"/>
      <c r="Y1553" s="988"/>
    </row>
    <row r="1554" spans="1:25" x14ac:dyDescent="0.2">
      <c r="A1554" s="987"/>
      <c r="B1554" s="987"/>
      <c r="C1554" s="987"/>
      <c r="D1554" s="987"/>
      <c r="E1554" s="987"/>
      <c r="R1554" s="988"/>
      <c r="S1554" s="988"/>
      <c r="T1554" s="988"/>
      <c r="U1554" s="988"/>
      <c r="V1554" s="988"/>
      <c r="W1554" s="988"/>
      <c r="X1554" s="988"/>
      <c r="Y1554" s="988"/>
    </row>
    <row r="1555" spans="1:25" x14ac:dyDescent="0.2">
      <c r="A1555" s="987"/>
      <c r="B1555" s="987"/>
      <c r="C1555" s="987"/>
      <c r="D1555" s="987"/>
      <c r="E1555" s="987"/>
      <c r="R1555" s="988"/>
      <c r="S1555" s="988"/>
      <c r="T1555" s="988"/>
      <c r="U1555" s="988"/>
      <c r="V1555" s="988"/>
      <c r="W1555" s="988"/>
      <c r="X1555" s="988"/>
      <c r="Y1555" s="988"/>
    </row>
    <row r="1556" spans="1:25" x14ac:dyDescent="0.2">
      <c r="A1556" s="987"/>
      <c r="B1556" s="987"/>
      <c r="C1556" s="987"/>
      <c r="D1556" s="987"/>
      <c r="E1556" s="987"/>
      <c r="R1556" s="988"/>
      <c r="S1556" s="988"/>
      <c r="T1556" s="988"/>
      <c r="U1556" s="988"/>
      <c r="V1556" s="988"/>
      <c r="W1556" s="988"/>
      <c r="X1556" s="988"/>
      <c r="Y1556" s="988"/>
    </row>
    <row r="1557" spans="1:25" x14ac:dyDescent="0.2">
      <c r="A1557" s="987"/>
      <c r="B1557" s="987"/>
      <c r="C1557" s="987"/>
      <c r="D1557" s="987"/>
      <c r="E1557" s="987"/>
      <c r="R1557" s="988"/>
      <c r="S1557" s="988"/>
      <c r="T1557" s="988"/>
      <c r="U1557" s="988"/>
      <c r="V1557" s="988"/>
      <c r="W1557" s="988"/>
      <c r="X1557" s="988"/>
      <c r="Y1557" s="988"/>
    </row>
    <row r="1558" spans="1:25" x14ac:dyDescent="0.2">
      <c r="A1558" s="987"/>
      <c r="B1558" s="987"/>
      <c r="C1558" s="987"/>
      <c r="D1558" s="987"/>
      <c r="E1558" s="987"/>
      <c r="R1558" s="988"/>
      <c r="S1558" s="988"/>
      <c r="T1558" s="988"/>
      <c r="U1558" s="988"/>
      <c r="V1558" s="988"/>
      <c r="W1558" s="988"/>
      <c r="X1558" s="988"/>
      <c r="Y1558" s="988"/>
    </row>
    <row r="1559" spans="1:25" x14ac:dyDescent="0.2">
      <c r="A1559" s="987"/>
      <c r="B1559" s="987"/>
      <c r="C1559" s="987"/>
      <c r="D1559" s="987"/>
      <c r="E1559" s="987"/>
      <c r="R1559" s="988"/>
      <c r="S1559" s="988"/>
      <c r="T1559" s="988"/>
      <c r="U1559" s="988"/>
      <c r="V1559" s="988"/>
      <c r="W1559" s="988"/>
      <c r="X1559" s="988"/>
      <c r="Y1559" s="988"/>
    </row>
    <row r="1560" spans="1:25" x14ac:dyDescent="0.2">
      <c r="A1560" s="987"/>
      <c r="B1560" s="987"/>
      <c r="C1560" s="987"/>
      <c r="D1560" s="987"/>
      <c r="E1560" s="987"/>
      <c r="R1560" s="988"/>
      <c r="S1560" s="988"/>
      <c r="T1560" s="988"/>
      <c r="U1560" s="988"/>
      <c r="V1560" s="988"/>
      <c r="W1560" s="988"/>
      <c r="X1560" s="988"/>
      <c r="Y1560" s="988"/>
    </row>
    <row r="1561" spans="1:25" x14ac:dyDescent="0.2">
      <c r="A1561" s="987"/>
      <c r="B1561" s="987"/>
      <c r="C1561" s="987"/>
      <c r="D1561" s="987"/>
      <c r="E1561" s="987"/>
      <c r="R1561" s="988"/>
      <c r="S1561" s="988"/>
      <c r="T1561" s="988"/>
      <c r="U1561" s="988"/>
      <c r="V1561" s="988"/>
      <c r="W1561" s="988"/>
      <c r="X1561" s="988"/>
      <c r="Y1561" s="988"/>
    </row>
    <row r="1562" spans="1:25" x14ac:dyDescent="0.2">
      <c r="A1562" s="987"/>
      <c r="B1562" s="987"/>
      <c r="C1562" s="987"/>
      <c r="D1562" s="987"/>
      <c r="E1562" s="987"/>
      <c r="R1562" s="988"/>
      <c r="S1562" s="988"/>
      <c r="T1562" s="988"/>
      <c r="U1562" s="988"/>
      <c r="V1562" s="988"/>
      <c r="W1562" s="988"/>
      <c r="X1562" s="988"/>
      <c r="Y1562" s="988"/>
    </row>
    <row r="1563" spans="1:25" x14ac:dyDescent="0.2">
      <c r="A1563" s="987"/>
      <c r="B1563" s="987"/>
      <c r="C1563" s="987"/>
      <c r="D1563" s="987"/>
      <c r="E1563" s="987"/>
      <c r="R1563" s="988"/>
      <c r="S1563" s="988"/>
      <c r="T1563" s="988"/>
      <c r="U1563" s="988"/>
      <c r="V1563" s="988"/>
      <c r="W1563" s="988"/>
      <c r="X1563" s="988"/>
      <c r="Y1563" s="988"/>
    </row>
    <row r="1564" spans="1:25" x14ac:dyDescent="0.2">
      <c r="A1564" s="987"/>
      <c r="B1564" s="987"/>
      <c r="C1564" s="987"/>
      <c r="D1564" s="987"/>
      <c r="E1564" s="987"/>
      <c r="R1564" s="988"/>
      <c r="S1564" s="988"/>
      <c r="T1564" s="988"/>
      <c r="U1564" s="988"/>
      <c r="V1564" s="988"/>
      <c r="W1564" s="988"/>
      <c r="X1564" s="988"/>
      <c r="Y1564" s="988"/>
    </row>
    <row r="1565" spans="1:25" x14ac:dyDescent="0.2">
      <c r="A1565" s="987"/>
      <c r="B1565" s="987"/>
      <c r="C1565" s="987"/>
      <c r="D1565" s="987"/>
      <c r="E1565" s="987"/>
      <c r="R1565" s="988"/>
      <c r="S1565" s="988"/>
      <c r="T1565" s="988"/>
      <c r="U1565" s="988"/>
      <c r="V1565" s="988"/>
      <c r="W1565" s="988"/>
      <c r="X1565" s="988"/>
      <c r="Y1565" s="988"/>
    </row>
    <row r="1566" spans="1:25" x14ac:dyDescent="0.2">
      <c r="A1566" s="987"/>
      <c r="B1566" s="987"/>
      <c r="C1566" s="987"/>
      <c r="D1566" s="987"/>
      <c r="E1566" s="987"/>
      <c r="R1566" s="988"/>
      <c r="S1566" s="988"/>
      <c r="T1566" s="988"/>
      <c r="U1566" s="988"/>
      <c r="V1566" s="988"/>
      <c r="W1566" s="988"/>
      <c r="X1566" s="988"/>
      <c r="Y1566" s="988"/>
    </row>
    <row r="1567" spans="1:25" x14ac:dyDescent="0.2">
      <c r="A1567" s="987"/>
      <c r="B1567" s="987"/>
      <c r="C1567" s="987"/>
      <c r="D1567" s="987"/>
      <c r="E1567" s="987"/>
      <c r="R1567" s="988"/>
      <c r="S1567" s="988"/>
      <c r="T1567" s="988"/>
      <c r="U1567" s="988"/>
      <c r="V1567" s="988"/>
      <c r="W1567" s="988"/>
      <c r="X1567" s="988"/>
      <c r="Y1567" s="988"/>
    </row>
    <row r="1568" spans="1:25" x14ac:dyDescent="0.2">
      <c r="A1568" s="987"/>
      <c r="B1568" s="987"/>
      <c r="C1568" s="987"/>
      <c r="D1568" s="987"/>
      <c r="E1568" s="987"/>
      <c r="R1568" s="988"/>
      <c r="S1568" s="988"/>
      <c r="T1568" s="988"/>
      <c r="U1568" s="988"/>
      <c r="V1568" s="988"/>
      <c r="W1568" s="988"/>
      <c r="X1568" s="988"/>
      <c r="Y1568" s="988"/>
    </row>
    <row r="1569" spans="1:25" x14ac:dyDescent="0.2">
      <c r="A1569" s="987"/>
      <c r="B1569" s="987"/>
      <c r="C1569" s="987"/>
      <c r="D1569" s="987"/>
      <c r="E1569" s="987"/>
      <c r="R1569" s="988"/>
      <c r="S1569" s="988"/>
      <c r="T1569" s="988"/>
      <c r="U1569" s="988"/>
      <c r="V1569" s="988"/>
      <c r="W1569" s="988"/>
      <c r="X1569" s="988"/>
      <c r="Y1569" s="988"/>
    </row>
    <row r="1570" spans="1:25" x14ac:dyDescent="0.2">
      <c r="A1570" s="987"/>
      <c r="B1570" s="987"/>
      <c r="C1570" s="987"/>
      <c r="D1570" s="987"/>
      <c r="E1570" s="987"/>
      <c r="R1570" s="988"/>
      <c r="S1570" s="988"/>
      <c r="T1570" s="988"/>
      <c r="U1570" s="988"/>
      <c r="V1570" s="988"/>
      <c r="W1570" s="988"/>
      <c r="X1570" s="988"/>
      <c r="Y1570" s="988"/>
    </row>
    <row r="1571" spans="1:25" x14ac:dyDescent="0.2">
      <c r="A1571" s="987"/>
      <c r="B1571" s="987"/>
      <c r="C1571" s="987"/>
      <c r="D1571" s="987"/>
      <c r="E1571" s="987"/>
      <c r="R1571" s="988"/>
      <c r="S1571" s="988"/>
      <c r="T1571" s="988"/>
      <c r="U1571" s="988"/>
      <c r="V1571" s="988"/>
      <c r="W1571" s="988"/>
      <c r="X1571" s="988"/>
      <c r="Y1571" s="988"/>
    </row>
    <row r="1572" spans="1:25" x14ac:dyDescent="0.2">
      <c r="A1572" s="987"/>
      <c r="B1572" s="987"/>
      <c r="C1572" s="987"/>
      <c r="D1572" s="987"/>
      <c r="E1572" s="987"/>
      <c r="R1572" s="988"/>
      <c r="S1572" s="988"/>
      <c r="T1572" s="988"/>
      <c r="U1572" s="988"/>
      <c r="V1572" s="988"/>
      <c r="W1572" s="988"/>
      <c r="X1572" s="988"/>
      <c r="Y1572" s="988"/>
    </row>
    <row r="1573" spans="1:25" x14ac:dyDescent="0.2">
      <c r="A1573" s="987"/>
      <c r="B1573" s="987"/>
      <c r="C1573" s="987"/>
      <c r="D1573" s="987"/>
      <c r="E1573" s="987"/>
      <c r="R1573" s="988"/>
      <c r="S1573" s="988"/>
      <c r="T1573" s="988"/>
      <c r="U1573" s="988"/>
      <c r="V1573" s="988"/>
      <c r="W1573" s="988"/>
      <c r="X1573" s="988"/>
      <c r="Y1573" s="988"/>
    </row>
    <row r="1574" spans="1:25" x14ac:dyDescent="0.2">
      <c r="A1574" s="987"/>
      <c r="B1574" s="987"/>
      <c r="C1574" s="987"/>
      <c r="D1574" s="987"/>
      <c r="E1574" s="987"/>
      <c r="R1574" s="988"/>
      <c r="S1574" s="988"/>
      <c r="T1574" s="988"/>
      <c r="U1574" s="988"/>
      <c r="V1574" s="988"/>
      <c r="W1574" s="988"/>
      <c r="X1574" s="988"/>
      <c r="Y1574" s="988"/>
    </row>
    <row r="1575" spans="1:25" x14ac:dyDescent="0.2">
      <c r="A1575" s="987"/>
      <c r="B1575" s="987"/>
      <c r="C1575" s="987"/>
      <c r="D1575" s="987"/>
      <c r="E1575" s="987"/>
      <c r="R1575" s="988"/>
      <c r="S1575" s="988"/>
      <c r="T1575" s="988"/>
      <c r="U1575" s="988"/>
      <c r="V1575" s="988"/>
      <c r="W1575" s="988"/>
      <c r="X1575" s="988"/>
      <c r="Y1575" s="988"/>
    </row>
    <row r="1576" spans="1:25" x14ac:dyDescent="0.2">
      <c r="A1576" s="987"/>
      <c r="B1576" s="987"/>
      <c r="C1576" s="987"/>
      <c r="D1576" s="987"/>
      <c r="E1576" s="987"/>
      <c r="R1576" s="988"/>
      <c r="S1576" s="988"/>
      <c r="T1576" s="988"/>
      <c r="U1576" s="988"/>
      <c r="V1576" s="988"/>
      <c r="W1576" s="988"/>
      <c r="X1576" s="988"/>
      <c r="Y1576" s="988"/>
    </row>
    <row r="1577" spans="1:25" x14ac:dyDescent="0.2">
      <c r="A1577" s="987"/>
      <c r="B1577" s="987"/>
      <c r="C1577" s="987"/>
      <c r="D1577" s="987"/>
      <c r="E1577" s="987"/>
      <c r="R1577" s="988"/>
      <c r="S1577" s="988"/>
      <c r="T1577" s="988"/>
      <c r="U1577" s="988"/>
      <c r="V1577" s="988"/>
      <c r="W1577" s="988"/>
      <c r="X1577" s="988"/>
      <c r="Y1577" s="988"/>
    </row>
    <row r="1578" spans="1:25" x14ac:dyDescent="0.2">
      <c r="A1578" s="987"/>
      <c r="B1578" s="987"/>
      <c r="C1578" s="987"/>
      <c r="D1578" s="987"/>
      <c r="E1578" s="987"/>
      <c r="R1578" s="988"/>
      <c r="S1578" s="988"/>
      <c r="T1578" s="988"/>
      <c r="U1578" s="988"/>
      <c r="V1578" s="988"/>
      <c r="W1578" s="988"/>
      <c r="X1578" s="988"/>
      <c r="Y1578" s="988"/>
    </row>
    <row r="1579" spans="1:25" x14ac:dyDescent="0.2">
      <c r="A1579" s="987"/>
      <c r="B1579" s="987"/>
      <c r="C1579" s="987"/>
      <c r="D1579" s="987"/>
      <c r="E1579" s="987"/>
      <c r="R1579" s="988"/>
      <c r="S1579" s="988"/>
      <c r="T1579" s="988"/>
      <c r="U1579" s="988"/>
      <c r="V1579" s="988"/>
      <c r="W1579" s="988"/>
      <c r="X1579" s="988"/>
      <c r="Y1579" s="988"/>
    </row>
    <row r="1580" spans="1:25" x14ac:dyDescent="0.2">
      <c r="A1580" s="987"/>
      <c r="B1580" s="987"/>
      <c r="C1580" s="987"/>
      <c r="D1580" s="987"/>
      <c r="E1580" s="987"/>
      <c r="R1580" s="988"/>
      <c r="S1580" s="988"/>
      <c r="T1580" s="988"/>
      <c r="U1580" s="988"/>
      <c r="V1580" s="988"/>
      <c r="W1580" s="988"/>
      <c r="X1580" s="988"/>
      <c r="Y1580" s="988"/>
    </row>
    <row r="1581" spans="1:25" x14ac:dyDescent="0.2">
      <c r="A1581" s="987"/>
      <c r="B1581" s="987"/>
      <c r="C1581" s="987"/>
      <c r="D1581" s="987"/>
      <c r="E1581" s="987"/>
      <c r="R1581" s="988"/>
      <c r="S1581" s="988"/>
      <c r="T1581" s="988"/>
      <c r="U1581" s="988"/>
      <c r="V1581" s="988"/>
      <c r="W1581" s="988"/>
      <c r="X1581" s="988"/>
      <c r="Y1581" s="988"/>
    </row>
    <row r="1582" spans="1:25" x14ac:dyDescent="0.2">
      <c r="A1582" s="987"/>
      <c r="B1582" s="987"/>
      <c r="C1582" s="987"/>
      <c r="D1582" s="987"/>
      <c r="E1582" s="987"/>
      <c r="R1582" s="988"/>
      <c r="S1582" s="988"/>
      <c r="T1582" s="988"/>
      <c r="U1582" s="988"/>
      <c r="V1582" s="988"/>
      <c r="W1582" s="988"/>
      <c r="X1582" s="988"/>
      <c r="Y1582" s="988"/>
    </row>
    <row r="1583" spans="1:25" x14ac:dyDescent="0.2">
      <c r="E1583" s="987"/>
      <c r="R1583" s="988"/>
      <c r="S1583" s="988"/>
      <c r="T1583" s="988"/>
      <c r="U1583" s="988"/>
      <c r="V1583" s="988"/>
      <c r="W1583" s="988"/>
      <c r="X1583" s="988"/>
      <c r="Y1583" s="988"/>
    </row>
    <row r="1584" spans="1:25" x14ac:dyDescent="0.2">
      <c r="E1584" s="987"/>
      <c r="R1584" s="988"/>
      <c r="S1584" s="988"/>
      <c r="T1584" s="988"/>
      <c r="U1584" s="988"/>
      <c r="V1584" s="988"/>
      <c r="W1584" s="988"/>
      <c r="X1584" s="988"/>
      <c r="Y1584" s="988"/>
    </row>
  </sheetData>
  <dataConsolidate/>
  <mergeCells count="31">
    <mergeCell ref="C31:D31"/>
    <mergeCell ref="A40:B40"/>
    <mergeCell ref="C8:D8"/>
    <mergeCell ref="C11:D11"/>
    <mergeCell ref="C13:D13"/>
    <mergeCell ref="A14:B14"/>
    <mergeCell ref="A30:B30"/>
    <mergeCell ref="C30:D30"/>
    <mergeCell ref="C40:D40"/>
    <mergeCell ref="A49:B49"/>
    <mergeCell ref="C49:D49"/>
    <mergeCell ref="A58:B58"/>
    <mergeCell ref="C58:D58"/>
    <mergeCell ref="C59:D59"/>
    <mergeCell ref="C68:D68"/>
    <mergeCell ref="A77:B77"/>
    <mergeCell ref="C77:D77"/>
    <mergeCell ref="A85:B85"/>
    <mergeCell ref="C85:D85"/>
    <mergeCell ref="A93:B93"/>
    <mergeCell ref="C93:D93"/>
    <mergeCell ref="A125:B125"/>
    <mergeCell ref="C125:D125"/>
    <mergeCell ref="A133:B133"/>
    <mergeCell ref="C133:D133"/>
    <mergeCell ref="A101:B101"/>
    <mergeCell ref="C101:D101"/>
    <mergeCell ref="A109:B109"/>
    <mergeCell ref="C109:D109"/>
    <mergeCell ref="A117:B117"/>
    <mergeCell ref="C117:D117"/>
  </mergeCells>
  <dataValidations count="2">
    <dataValidation type="whole" allowBlank="1" showInputMessage="1" showErrorMessage="1" sqref="B24:B25 B18:B19">
      <formula1>0</formula1>
      <formula2>9999</formula2>
    </dataValidation>
    <dataValidation type="list" allowBlank="1" showInputMessage="1" showErrorMessage="1" sqref="B5">
      <formula1>$P$4:$P$394</formula1>
    </dataValidation>
  </dataValidations>
  <hyperlinks>
    <hyperlink ref="C6" location="_ftn1" display="¹  Grade in terms of the Remuneration of Public Office Bearers Act."/>
  </hyperlinks>
  <pageMargins left="0.75" right="0.27" top="1" bottom="1" header="0.5" footer="0.5"/>
  <pageSetup scale="67" orientation="portrait" r:id="rId1"/>
  <headerFooter alignWithMargins="0"/>
  <rowBreaks count="1" manualBreakCount="1">
    <brk id="76" max="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1">
    <tabColor indexed="44"/>
    <pageSetUpPr fitToPage="1"/>
  </sheetPr>
  <dimension ref="A1:P77"/>
  <sheetViews>
    <sheetView showGridLines="0" zoomScaleNormal="100" workbookViewId="0">
      <pane xSplit="1" ySplit="5" topLeftCell="B6" activePane="bottomRight" state="frozen"/>
      <selection activeCell="C6" sqref="C6"/>
      <selection pane="topRight" activeCell="C6" sqref="C6"/>
      <selection pane="bottomLeft" activeCell="C6" sqref="C6"/>
      <selection pane="bottomRight" activeCell="B7" sqref="B7:L67"/>
    </sheetView>
  </sheetViews>
  <sheetFormatPr defaultColWidth="9.140625" defaultRowHeight="12.75" x14ac:dyDescent="0.25"/>
  <cols>
    <col min="1" max="1" width="32.85546875" style="5" customWidth="1"/>
    <col min="2" max="13" width="8.7109375" style="5" customWidth="1"/>
    <col min="14" max="16" width="7.7109375" style="5" customWidth="1"/>
    <col min="17" max="16384" width="9.140625" style="5"/>
  </cols>
  <sheetData>
    <row r="1" spans="1:12" ht="13.5" x14ac:dyDescent="0.25">
      <c r="A1" s="3" t="str">
        <f>muni&amp;" - "&amp;adjsum&amp;" - "&amp;Date</f>
        <v>LIM354 Polokwane - Table B1 Adjustments Budget Summary - 2020</v>
      </c>
      <c r="B1" s="4"/>
      <c r="C1" s="4"/>
      <c r="D1" s="4"/>
      <c r="E1" s="4"/>
      <c r="F1" s="4"/>
      <c r="G1" s="4"/>
      <c r="H1" s="4"/>
      <c r="I1" s="4"/>
      <c r="J1" s="4"/>
      <c r="K1" s="4"/>
      <c r="L1" s="4"/>
    </row>
    <row r="2" spans="1:12" ht="38.25" customHeight="1" x14ac:dyDescent="0.25">
      <c r="A2" s="1406" t="str">
        <f>desc</f>
        <v>Description</v>
      </c>
      <c r="B2" s="1403" t="str">
        <f>Head2</f>
        <v>Budget Year 2020/21</v>
      </c>
      <c r="C2" s="1404"/>
      <c r="D2" s="1404"/>
      <c r="E2" s="1404"/>
      <c r="F2" s="1404"/>
      <c r="G2" s="1404"/>
      <c r="H2" s="1404"/>
      <c r="I2" s="1404"/>
      <c r="J2" s="1405"/>
      <c r="K2" s="6" t="str">
        <f>Head10</f>
        <v>Budget Year +1 2021/22</v>
      </c>
      <c r="L2" s="7" t="str">
        <f>Head11</f>
        <v>Budget Year +2 2022/23</v>
      </c>
    </row>
    <row r="3" spans="1:12" ht="25.5" x14ac:dyDescent="0.25">
      <c r="A3" s="1407"/>
      <c r="B3" s="9" t="str">
        <f>Head6</f>
        <v>Original Budget</v>
      </c>
      <c r="C3" s="10" t="str">
        <f>Head54</f>
        <v>Prior Adjusted</v>
      </c>
      <c r="D3" s="10" t="str">
        <f>Head51</f>
        <v>Accum. Funds</v>
      </c>
      <c r="E3" s="10" t="str">
        <f>Head52</f>
        <v>Multi-year capital</v>
      </c>
      <c r="F3" s="10" t="str">
        <f>Head53</f>
        <v>Unfore. Unavoid.</v>
      </c>
      <c r="G3" s="10" t="str">
        <f>Head55</f>
        <v>Nat. or Prov. Govt</v>
      </c>
      <c r="H3" s="11" t="str">
        <f>Head50</f>
        <v>Other Adjusts.</v>
      </c>
      <c r="I3" s="11" t="str">
        <f>Head56</f>
        <v>Total Adjusts.</v>
      </c>
      <c r="J3" s="10" t="str">
        <f>Head7</f>
        <v>Adjusted Budget</v>
      </c>
      <c r="K3" s="12" t="str">
        <f>Head7</f>
        <v>Adjusted Budget</v>
      </c>
      <c r="L3" s="13" t="str">
        <f>Head7</f>
        <v>Adjusted Budget</v>
      </c>
    </row>
    <row r="4" spans="1:12" x14ac:dyDescent="0.25">
      <c r="A4" s="1407"/>
      <c r="B4" s="14"/>
      <c r="C4" s="15">
        <v>1</v>
      </c>
      <c r="D4" s="15">
        <v>2</v>
      </c>
      <c r="E4" s="15">
        <v>3</v>
      </c>
      <c r="F4" s="15">
        <v>4</v>
      </c>
      <c r="G4" s="15">
        <v>5</v>
      </c>
      <c r="H4" s="15">
        <v>6</v>
      </c>
      <c r="I4" s="15">
        <v>7</v>
      </c>
      <c r="J4" s="15">
        <v>8</v>
      </c>
      <c r="K4" s="16"/>
      <c r="L4" s="17"/>
    </row>
    <row r="5" spans="1:12" x14ac:dyDescent="0.25">
      <c r="A5" s="18" t="s">
        <v>603</v>
      </c>
      <c r="B5" s="19" t="s">
        <v>547</v>
      </c>
      <c r="C5" s="20" t="s">
        <v>548</v>
      </c>
      <c r="D5" s="20" t="s">
        <v>549</v>
      </c>
      <c r="E5" s="21" t="s">
        <v>550</v>
      </c>
      <c r="F5" s="21" t="s">
        <v>551</v>
      </c>
      <c r="G5" s="21" t="s">
        <v>552</v>
      </c>
      <c r="H5" s="22" t="s">
        <v>553</v>
      </c>
      <c r="I5" s="22" t="s">
        <v>554</v>
      </c>
      <c r="J5" s="21" t="s">
        <v>555</v>
      </c>
      <c r="K5" s="23"/>
      <c r="L5" s="24"/>
    </row>
    <row r="6" spans="1:12" ht="12.75" customHeight="1" x14ac:dyDescent="0.25">
      <c r="A6" s="25" t="s">
        <v>556</v>
      </c>
      <c r="B6" s="26"/>
      <c r="C6" s="27"/>
      <c r="D6" s="27"/>
      <c r="E6" s="27"/>
      <c r="F6" s="27"/>
      <c r="G6" s="27"/>
      <c r="H6" s="27"/>
      <c r="I6" s="27"/>
      <c r="J6" s="27"/>
      <c r="K6" s="28"/>
      <c r="L6" s="29"/>
    </row>
    <row r="7" spans="1:12" ht="12.75" customHeight="1" x14ac:dyDescent="0.25">
      <c r="A7" s="30" t="s">
        <v>557</v>
      </c>
      <c r="B7" s="75">
        <f>SUM('B4-FinPerf RE'!C7:C7)</f>
        <v>526156799</v>
      </c>
      <c r="C7" s="75">
        <f>SUM('B4-FinPerf RE'!D7:D7)</f>
        <v>526156799</v>
      </c>
      <c r="D7" s="75">
        <f>SUM('B4-FinPerf RE'!E7:E7)</f>
        <v>0</v>
      </c>
      <c r="E7" s="75">
        <f>SUM('B4-FinPerf RE'!F7:F7)</f>
        <v>0</v>
      </c>
      <c r="F7" s="75">
        <f>SUM('B4-FinPerf RE'!G7:G7)</f>
        <v>0</v>
      </c>
      <c r="G7" s="75">
        <f>SUM('B4-FinPerf RE'!H7:H7)</f>
        <v>0</v>
      </c>
      <c r="H7" s="75">
        <f>SUM('B4-FinPerf RE'!I7:I7)</f>
        <v>0</v>
      </c>
      <c r="I7" s="75">
        <f t="shared" ref="I7:I12" si="0">SUM(D7:H7)</f>
        <v>0</v>
      </c>
      <c r="J7" s="75">
        <f t="shared" ref="J7:J12" si="1">IF(C7=0,B7+I7,C7+I7)</f>
        <v>526156799</v>
      </c>
      <c r="K7" s="75">
        <f>SUM('B4-FinPerf RE'!L7:L7)</f>
        <v>551412326.4000001</v>
      </c>
      <c r="L7" s="76">
        <f>SUM('B4-FinPerf RE'!M7:M7)</f>
        <v>577880118.06720018</v>
      </c>
    </row>
    <row r="8" spans="1:12" ht="12.75" customHeight="1" x14ac:dyDescent="0.25">
      <c r="A8" s="30" t="s">
        <v>558</v>
      </c>
      <c r="B8" s="75">
        <f>SUM('B4-FinPerf RE'!C8:C11)</f>
        <v>1780034500</v>
      </c>
      <c r="C8" s="75">
        <f>SUM('B4-FinPerf RE'!D8:D11)</f>
        <v>1780034500</v>
      </c>
      <c r="D8" s="75">
        <f>SUM('B4-FinPerf RE'!E8:E11)</f>
        <v>0</v>
      </c>
      <c r="E8" s="75">
        <f>SUM('B4-FinPerf RE'!F8:F11)</f>
        <v>0</v>
      </c>
      <c r="F8" s="75">
        <f>SUM('B4-FinPerf RE'!G8:G11)</f>
        <v>0</v>
      </c>
      <c r="G8" s="75">
        <f>SUM('B4-FinPerf RE'!H8:H11)</f>
        <v>0</v>
      </c>
      <c r="H8" s="75">
        <f>SUM('B4-FinPerf RE'!I8:I11)</f>
        <v>-43000000</v>
      </c>
      <c r="I8" s="75">
        <f>SUM('B4-FinPerf RE'!J8:J11)</f>
        <v>-43000000</v>
      </c>
      <c r="J8" s="75">
        <f>SUM('B4-FinPerf RE'!K8:K11)</f>
        <v>1737034500</v>
      </c>
      <c r="K8" s="75">
        <f>SUM('B4-FinPerf RE'!L8:L11)</f>
        <v>1942020056.8371313</v>
      </c>
      <c r="L8" s="76">
        <f>SUM('B4-FinPerf RE'!M8:M11)</f>
        <v>2120200750.6410582</v>
      </c>
    </row>
    <row r="9" spans="1:12" ht="12.75" customHeight="1" x14ac:dyDescent="0.25">
      <c r="A9" s="30" t="s">
        <v>559</v>
      </c>
      <c r="B9" s="75">
        <f>'B4-FinPerf RE'!C14</f>
        <v>13069489</v>
      </c>
      <c r="C9" s="75">
        <f>'B4-FinPerf RE'!D14</f>
        <v>13069489</v>
      </c>
      <c r="D9" s="75">
        <f>'B4-FinPerf RE'!E14</f>
        <v>0</v>
      </c>
      <c r="E9" s="75">
        <f>'B4-FinPerf RE'!F14</f>
        <v>0</v>
      </c>
      <c r="F9" s="75">
        <f>'B4-FinPerf RE'!G14</f>
        <v>0</v>
      </c>
      <c r="G9" s="75">
        <f>'B4-FinPerf RE'!H14</f>
        <v>0</v>
      </c>
      <c r="H9" s="75">
        <f>'B4-FinPerf RE'!I14</f>
        <v>0</v>
      </c>
      <c r="I9" s="75">
        <f t="shared" si="0"/>
        <v>0</v>
      </c>
      <c r="J9" s="75">
        <f t="shared" si="1"/>
        <v>13069489</v>
      </c>
      <c r="K9" s="75">
        <f>'B4-FinPerf RE'!L14</f>
        <v>13696824</v>
      </c>
      <c r="L9" s="76">
        <f>'B4-FinPerf RE'!M14</f>
        <v>14354272</v>
      </c>
    </row>
    <row r="10" spans="1:12" ht="12.75" customHeight="1" x14ac:dyDescent="0.25">
      <c r="A10" s="630" t="s">
        <v>1096</v>
      </c>
      <c r="B10" s="75">
        <f>'B4-FinPerf RE'!C20</f>
        <v>1187428150</v>
      </c>
      <c r="C10" s="75">
        <f>'B4-FinPerf RE'!D20</f>
        <v>1342428150</v>
      </c>
      <c r="D10" s="75">
        <f>'B4-FinPerf RE'!E20</f>
        <v>0</v>
      </c>
      <c r="E10" s="75">
        <f>'B4-FinPerf RE'!F20</f>
        <v>0</v>
      </c>
      <c r="F10" s="75">
        <f>'B4-FinPerf RE'!G20</f>
        <v>0</v>
      </c>
      <c r="G10" s="75">
        <f>'B4-FinPerf RE'!H20</f>
        <v>37920670</v>
      </c>
      <c r="H10" s="75">
        <f>'B4-FinPerf RE'!I20</f>
        <v>8282371</v>
      </c>
      <c r="I10" s="75">
        <f t="shared" si="0"/>
        <v>46203041</v>
      </c>
      <c r="J10" s="75">
        <f t="shared" si="1"/>
        <v>1388631191</v>
      </c>
      <c r="K10" s="75">
        <f>'B4-FinPerf RE'!L20</f>
        <v>1286156249.7880187</v>
      </c>
      <c r="L10" s="76">
        <f>'B4-FinPerf RE'!M20</f>
        <v>1396716549.9974196</v>
      </c>
    </row>
    <row r="11" spans="1:12" ht="12.75" customHeight="1" x14ac:dyDescent="0.25">
      <c r="A11" s="36" t="s">
        <v>560</v>
      </c>
      <c r="B11" s="75">
        <f>'B4-FinPerf RE'!C13+'B4-FinPerf RE'!C15+'B4-FinPerf RE'!C16+'B4-FinPerf RE'!C17+'B4-FinPerf RE'!C18+'B4-FinPerf RE'!C19+'B4-FinPerf RE'!C21+'B4-FinPerf RE'!C22</f>
        <v>300334139</v>
      </c>
      <c r="C11" s="75">
        <f>'B4-FinPerf RE'!D13+'B4-FinPerf RE'!D15+'B4-FinPerf RE'!D16+'B4-FinPerf RE'!D17+'B4-FinPerf RE'!D18+'B4-FinPerf RE'!D19+'B4-FinPerf RE'!D21+'B4-FinPerf RE'!D22</f>
        <v>300334139</v>
      </c>
      <c r="D11" s="75">
        <f>'B4-FinPerf RE'!E13+'B4-FinPerf RE'!E15+'B4-FinPerf RE'!E16+'B4-FinPerf RE'!E17+'B4-FinPerf RE'!E18+'B4-FinPerf RE'!E19+'B4-FinPerf RE'!E21+'B4-FinPerf RE'!E22</f>
        <v>0</v>
      </c>
      <c r="E11" s="75">
        <f>'B4-FinPerf RE'!F13+'B4-FinPerf RE'!F15+'B4-FinPerf RE'!F16+'B4-FinPerf RE'!F17+'B4-FinPerf RE'!F18+'B4-FinPerf RE'!F19+'B4-FinPerf RE'!F21+'B4-FinPerf RE'!F22</f>
        <v>0</v>
      </c>
      <c r="F11" s="75">
        <f>'B4-FinPerf RE'!G13+'B4-FinPerf RE'!G15+'B4-FinPerf RE'!G16+'B4-FinPerf RE'!G17+'B4-FinPerf RE'!G18+'B4-FinPerf RE'!G19+'B4-FinPerf RE'!G21+'B4-FinPerf RE'!G22</f>
        <v>0</v>
      </c>
      <c r="G11" s="75">
        <f>'B4-FinPerf RE'!H13+'B4-FinPerf RE'!H15+'B4-FinPerf RE'!H16+'B4-FinPerf RE'!H17+'B4-FinPerf RE'!H18+'B4-FinPerf RE'!H19+'B4-FinPerf RE'!H21+'B4-FinPerf RE'!H22</f>
        <v>0</v>
      </c>
      <c r="H11" s="75">
        <f>'B4-FinPerf RE'!I13+'B4-FinPerf RE'!I15+'B4-FinPerf RE'!I16+'B4-FinPerf RE'!I17+'B4-FinPerf RE'!I18+'B4-FinPerf RE'!I19+'B4-FinPerf RE'!I21+'B4-FinPerf RE'!I22</f>
        <v>-10786000</v>
      </c>
      <c r="I11" s="75">
        <f t="shared" si="0"/>
        <v>-10786000</v>
      </c>
      <c r="J11" s="75">
        <f t="shared" si="1"/>
        <v>289548139</v>
      </c>
      <c r="K11" s="75">
        <f>'B4-FinPerf RE'!L13+'B4-FinPerf RE'!L15+'B4-FinPerf RE'!L16+'B4-FinPerf RE'!L17+'B4-FinPerf RE'!L18+'B4-FinPerf RE'!L19+'B4-FinPerf RE'!L21+'B4-FinPerf RE'!L22</f>
        <v>318317548</v>
      </c>
      <c r="L11" s="76">
        <f>'B4-FinPerf RE'!M13+'B4-FinPerf RE'!M15+'B4-FinPerf RE'!M16+'B4-FinPerf RE'!M17+'B4-FinPerf RE'!M18+'B4-FinPerf RE'!M19+'B4-FinPerf RE'!M21+'B4-FinPerf RE'!M22</f>
        <v>333596790</v>
      </c>
    </row>
    <row r="12" spans="1:12" ht="23.25" customHeight="1" x14ac:dyDescent="0.25">
      <c r="A12" s="631" t="s">
        <v>561</v>
      </c>
      <c r="B12" s="676">
        <f t="shared" ref="B12:L12" si="2">SUM(B7:B11)</f>
        <v>3807023077</v>
      </c>
      <c r="C12" s="634">
        <f t="shared" si="2"/>
        <v>3962023077</v>
      </c>
      <c r="D12" s="634">
        <f t="shared" si="2"/>
        <v>0</v>
      </c>
      <c r="E12" s="634">
        <f t="shared" si="2"/>
        <v>0</v>
      </c>
      <c r="F12" s="634">
        <f t="shared" si="2"/>
        <v>0</v>
      </c>
      <c r="G12" s="634">
        <f t="shared" si="2"/>
        <v>37920670</v>
      </c>
      <c r="H12" s="634">
        <f t="shared" si="2"/>
        <v>-45503629</v>
      </c>
      <c r="I12" s="634">
        <f t="shared" si="0"/>
        <v>-7582959</v>
      </c>
      <c r="J12" s="634">
        <f t="shared" si="1"/>
        <v>3954440118</v>
      </c>
      <c r="K12" s="634">
        <f t="shared" si="2"/>
        <v>4111603005.0251498</v>
      </c>
      <c r="L12" s="635">
        <f t="shared" si="2"/>
        <v>4442748480.705678</v>
      </c>
    </row>
    <row r="13" spans="1:12" ht="12.75" customHeight="1" x14ac:dyDescent="0.25">
      <c r="A13" s="36" t="s">
        <v>562</v>
      </c>
      <c r="B13" s="75">
        <f>'B4-FinPerf RE'!C26</f>
        <v>990053017</v>
      </c>
      <c r="C13" s="75">
        <f>'B4-FinPerf RE'!D26</f>
        <v>990053017</v>
      </c>
      <c r="D13" s="75">
        <f>'B4-FinPerf RE'!E26</f>
        <v>0</v>
      </c>
      <c r="E13" s="75">
        <f>'B4-FinPerf RE'!F26</f>
        <v>0</v>
      </c>
      <c r="F13" s="75">
        <f>'B4-FinPerf RE'!G26</f>
        <v>0</v>
      </c>
      <c r="G13" s="75">
        <f>'B4-FinPerf RE'!H26</f>
        <v>0</v>
      </c>
      <c r="H13" s="75">
        <f>'B4-FinPerf RE'!I26</f>
        <v>42594900</v>
      </c>
      <c r="I13" s="75">
        <f t="shared" ref="I13:I19" si="3">SUM(D13:H13)</f>
        <v>42594900</v>
      </c>
      <c r="J13" s="75">
        <f t="shared" ref="J13:J19" si="4">IF(C13=0,B13+I13,C13+I13)</f>
        <v>1032647917</v>
      </c>
      <c r="K13" s="75">
        <f>'B4-FinPerf RE'!L26</f>
        <v>1045408398.6649141</v>
      </c>
      <c r="L13" s="76">
        <f>'B4-FinPerf RE'!M26</f>
        <v>1106042085.7874796</v>
      </c>
    </row>
    <row r="14" spans="1:12" ht="12.75" customHeight="1" x14ac:dyDescent="0.25">
      <c r="A14" s="36" t="s">
        <v>563</v>
      </c>
      <c r="B14" s="75">
        <f>'B4-FinPerf RE'!C27</f>
        <v>42510996</v>
      </c>
      <c r="C14" s="75">
        <f>'B4-FinPerf RE'!D27</f>
        <v>42510996</v>
      </c>
      <c r="D14" s="75">
        <f>'B4-FinPerf RE'!E27</f>
        <v>0</v>
      </c>
      <c r="E14" s="75">
        <f>'B4-FinPerf RE'!F27</f>
        <v>0</v>
      </c>
      <c r="F14" s="75">
        <f>'B4-FinPerf RE'!G27</f>
        <v>0</v>
      </c>
      <c r="G14" s="75">
        <f>'B4-FinPerf RE'!H27</f>
        <v>0</v>
      </c>
      <c r="H14" s="75">
        <f>'B4-FinPerf RE'!I27</f>
        <v>0</v>
      </c>
      <c r="I14" s="75">
        <f t="shared" si="3"/>
        <v>0</v>
      </c>
      <c r="J14" s="75">
        <f t="shared" si="4"/>
        <v>42510996</v>
      </c>
      <c r="K14" s="75">
        <f>'B4-FinPerf RE'!L27</f>
        <v>44976638</v>
      </c>
      <c r="L14" s="76">
        <f>'B4-FinPerf RE'!M27</f>
        <v>47585283.004000001</v>
      </c>
    </row>
    <row r="15" spans="1:12" ht="12.75" customHeight="1" x14ac:dyDescent="0.25">
      <c r="A15" s="36" t="s">
        <v>564</v>
      </c>
      <c r="B15" s="75">
        <f>'B4-FinPerf RE'!C29</f>
        <v>255000000</v>
      </c>
      <c r="C15" s="75">
        <f>'B4-FinPerf RE'!D29</f>
        <v>255000000</v>
      </c>
      <c r="D15" s="75">
        <f>'B4-FinPerf RE'!E29</f>
        <v>0</v>
      </c>
      <c r="E15" s="75">
        <f>'B4-FinPerf RE'!F29</f>
        <v>0</v>
      </c>
      <c r="F15" s="75">
        <f>'B4-FinPerf RE'!G29</f>
        <v>0</v>
      </c>
      <c r="G15" s="75">
        <f>'B4-FinPerf RE'!H29</f>
        <v>0</v>
      </c>
      <c r="H15" s="75">
        <f>'B4-FinPerf RE'!I29</f>
        <v>0</v>
      </c>
      <c r="I15" s="75">
        <f t="shared" si="3"/>
        <v>0</v>
      </c>
      <c r="J15" s="75">
        <f t="shared" si="4"/>
        <v>255000000</v>
      </c>
      <c r="K15" s="75">
        <f>'B4-FinPerf RE'!L29</f>
        <v>285000000</v>
      </c>
      <c r="L15" s="76">
        <f>'B4-FinPerf RE'!M29</f>
        <v>300000000</v>
      </c>
    </row>
    <row r="16" spans="1:12" ht="12.75" customHeight="1" x14ac:dyDescent="0.25">
      <c r="A16" s="36" t="s">
        <v>565</v>
      </c>
      <c r="B16" s="75">
        <f>'B4-FinPerf RE'!C30</f>
        <v>97987467</v>
      </c>
      <c r="C16" s="75">
        <f>'B4-FinPerf RE'!D30</f>
        <v>97987467</v>
      </c>
      <c r="D16" s="75">
        <f>'B4-FinPerf RE'!E30</f>
        <v>0</v>
      </c>
      <c r="E16" s="75">
        <f>'B4-FinPerf RE'!F30</f>
        <v>0</v>
      </c>
      <c r="F16" s="75">
        <f>'B4-FinPerf RE'!G30</f>
        <v>0</v>
      </c>
      <c r="G16" s="75">
        <f>'B4-FinPerf RE'!H30</f>
        <v>0</v>
      </c>
      <c r="H16" s="75">
        <f>'B4-FinPerf RE'!I30</f>
        <v>-15000000</v>
      </c>
      <c r="I16" s="75">
        <f t="shared" si="3"/>
        <v>-15000000</v>
      </c>
      <c r="J16" s="75">
        <f t="shared" si="4"/>
        <v>82987467</v>
      </c>
      <c r="K16" s="75">
        <f>'B4-FinPerf RE'!L30</f>
        <v>118064572</v>
      </c>
      <c r="L16" s="76">
        <f>'B4-FinPerf RE'!M30</f>
        <v>118064572</v>
      </c>
    </row>
    <row r="17" spans="1:13" ht="12.75" customHeight="1" x14ac:dyDescent="0.25">
      <c r="A17" s="36" t="s">
        <v>566</v>
      </c>
      <c r="B17" s="75">
        <f>SUM('B4-FinPerf RE'!C31:C32)</f>
        <v>1141408523</v>
      </c>
      <c r="C17" s="75">
        <f>SUM('B4-FinPerf RE'!D31:D32)</f>
        <v>1170408523</v>
      </c>
      <c r="D17" s="75">
        <f>SUM('B4-FinPerf RE'!E31:E32)</f>
        <v>0</v>
      </c>
      <c r="E17" s="75">
        <f>SUM('B4-FinPerf RE'!F31:F32)</f>
        <v>0</v>
      </c>
      <c r="F17" s="75">
        <f>SUM('B4-FinPerf RE'!G31:G32)</f>
        <v>0</v>
      </c>
      <c r="G17" s="75">
        <f>SUM('B4-FinPerf RE'!H31:H32)</f>
        <v>0</v>
      </c>
      <c r="H17" s="75">
        <f>SUM('B4-FinPerf RE'!I31:I32)</f>
        <v>-95353343</v>
      </c>
      <c r="I17" s="75">
        <f t="shared" si="3"/>
        <v>-95353343</v>
      </c>
      <c r="J17" s="75">
        <f t="shared" si="4"/>
        <v>1075055180</v>
      </c>
      <c r="K17" s="75">
        <f>SUM('B4-FinPerf RE'!L31:L32)</f>
        <v>1207568209.125</v>
      </c>
      <c r="L17" s="76">
        <f>SUM('B4-FinPerf RE'!M31:M32)</f>
        <v>1284574667.038125</v>
      </c>
      <c r="M17" s="128"/>
    </row>
    <row r="18" spans="1:13" ht="12.75" customHeight="1" x14ac:dyDescent="0.25">
      <c r="A18" s="36" t="s">
        <v>655</v>
      </c>
      <c r="B18" s="75">
        <f>'B4-FinPerf RE'!C34</f>
        <v>11500008</v>
      </c>
      <c r="C18" s="75">
        <f>'B4-FinPerf RE'!D34</f>
        <v>11500008</v>
      </c>
      <c r="D18" s="75">
        <f>'B4-FinPerf RE'!E34</f>
        <v>0</v>
      </c>
      <c r="E18" s="75">
        <f>'B4-FinPerf RE'!F34</f>
        <v>0</v>
      </c>
      <c r="F18" s="75">
        <f>'B4-FinPerf RE'!G34</f>
        <v>0</v>
      </c>
      <c r="G18" s="75">
        <f>'B4-FinPerf RE'!H34</f>
        <v>0</v>
      </c>
      <c r="H18" s="75">
        <f>'B4-FinPerf RE'!I34</f>
        <v>28000000</v>
      </c>
      <c r="I18" s="75">
        <f t="shared" si="3"/>
        <v>28000000</v>
      </c>
      <c r="J18" s="75">
        <f t="shared" si="4"/>
        <v>39500008</v>
      </c>
      <c r="K18" s="75">
        <f>'B4-FinPerf RE'!L34</f>
        <v>11500000</v>
      </c>
      <c r="L18" s="76">
        <f>'B4-FinPerf RE'!M34</f>
        <v>11500000</v>
      </c>
      <c r="M18" s="128"/>
    </row>
    <row r="19" spans="1:13" ht="12.75" customHeight="1" x14ac:dyDescent="0.25">
      <c r="A19" s="36" t="s">
        <v>567</v>
      </c>
      <c r="B19" s="75">
        <f>'B4-FinPerf RE'!C37-SUM('B1-Sum'!B13:B18)</f>
        <v>1141007125</v>
      </c>
      <c r="C19" s="75">
        <f>'B4-FinPerf RE'!D37-SUM('B1-Sum'!C13:C18)</f>
        <v>1136507125</v>
      </c>
      <c r="D19" s="75">
        <f>'B4-FinPerf RE'!E37-SUM('B1-Sum'!D13:D18)</f>
        <v>0</v>
      </c>
      <c r="E19" s="75">
        <f>'B4-FinPerf RE'!F37-SUM('B1-Sum'!E13:E18)</f>
        <v>0</v>
      </c>
      <c r="F19" s="75">
        <f>'B4-FinPerf RE'!G37-SUM('B1-Sum'!F13:F18)</f>
        <v>0</v>
      </c>
      <c r="G19" s="75">
        <f>'B4-FinPerf RE'!H37-SUM('B1-Sum'!G13:G18)</f>
        <v>37920670</v>
      </c>
      <c r="H19" s="75">
        <f>'B4-FinPerf RE'!I37-SUM('B1-Sum'!H13:H18)</f>
        <v>211638834</v>
      </c>
      <c r="I19" s="75">
        <f t="shared" si="3"/>
        <v>249559504</v>
      </c>
      <c r="J19" s="75">
        <f t="shared" si="4"/>
        <v>1386066629</v>
      </c>
      <c r="K19" s="75">
        <f>'B4-FinPerf RE'!L37-SUM('B1-Sum'!K13:K18)</f>
        <v>1218988980</v>
      </c>
      <c r="L19" s="76">
        <f>'B4-FinPerf RE'!M37-SUM('B1-Sum'!L13:L18)</f>
        <v>1313100605</v>
      </c>
      <c r="M19" s="128"/>
    </row>
    <row r="20" spans="1:13" ht="12.75" customHeight="1" x14ac:dyDescent="0.25">
      <c r="A20" s="37" t="s">
        <v>568</v>
      </c>
      <c r="B20" s="676">
        <f t="shared" ref="B20:L20" si="5">SUM(B13:B19)</f>
        <v>3679467136</v>
      </c>
      <c r="C20" s="634">
        <f t="shared" si="5"/>
        <v>3703967136</v>
      </c>
      <c r="D20" s="634">
        <f t="shared" si="5"/>
        <v>0</v>
      </c>
      <c r="E20" s="634">
        <f t="shared" si="5"/>
        <v>0</v>
      </c>
      <c r="F20" s="634">
        <f t="shared" si="5"/>
        <v>0</v>
      </c>
      <c r="G20" s="634">
        <f t="shared" si="5"/>
        <v>37920670</v>
      </c>
      <c r="H20" s="634">
        <f t="shared" si="5"/>
        <v>171880391</v>
      </c>
      <c r="I20" s="634">
        <f t="shared" si="5"/>
        <v>209801061</v>
      </c>
      <c r="J20" s="634">
        <f t="shared" si="5"/>
        <v>3913768197</v>
      </c>
      <c r="K20" s="634">
        <f t="shared" si="5"/>
        <v>3931506797.7899141</v>
      </c>
      <c r="L20" s="635">
        <f t="shared" si="5"/>
        <v>4180867212.8296046</v>
      </c>
      <c r="M20" s="128"/>
    </row>
    <row r="21" spans="1:13" ht="12.75" customHeight="1" x14ac:dyDescent="0.25">
      <c r="A21" s="38" t="s">
        <v>569</v>
      </c>
      <c r="B21" s="75">
        <f t="shared" ref="B21:L21" si="6">B12-B20</f>
        <v>127555941</v>
      </c>
      <c r="C21" s="75">
        <f t="shared" si="6"/>
        <v>258055941</v>
      </c>
      <c r="D21" s="75">
        <f t="shared" si="6"/>
        <v>0</v>
      </c>
      <c r="E21" s="75">
        <f t="shared" si="6"/>
        <v>0</v>
      </c>
      <c r="F21" s="75">
        <f t="shared" si="6"/>
        <v>0</v>
      </c>
      <c r="G21" s="75">
        <f t="shared" si="6"/>
        <v>0</v>
      </c>
      <c r="H21" s="75">
        <f t="shared" si="6"/>
        <v>-217384020</v>
      </c>
      <c r="I21" s="75">
        <f t="shared" si="6"/>
        <v>-217384020</v>
      </c>
      <c r="J21" s="75">
        <f t="shared" si="6"/>
        <v>40671921</v>
      </c>
      <c r="K21" s="75">
        <f t="shared" si="6"/>
        <v>180096207.23523569</v>
      </c>
      <c r="L21" s="76">
        <f t="shared" si="6"/>
        <v>261881267.87607336</v>
      </c>
      <c r="M21" s="128"/>
    </row>
    <row r="22" spans="1:13" ht="22.15" customHeight="1" x14ac:dyDescent="0.25">
      <c r="A22" s="1332" t="str">
        <f>'B4-FinPerf RE'!A40</f>
        <v>Transfers and subsidies - capital (monetary allocations) (National / Provincial and District)</v>
      </c>
      <c r="B22" s="75">
        <f>'B4-FinPerf RE'!C40</f>
        <v>874054850</v>
      </c>
      <c r="C22" s="75">
        <f>'B4-FinPerf RE'!D40</f>
        <v>773197850</v>
      </c>
      <c r="D22" s="75">
        <f>'B4-FinPerf RE'!E40</f>
        <v>0</v>
      </c>
      <c r="E22" s="75">
        <f>'B4-FinPerf RE'!F40</f>
        <v>0</v>
      </c>
      <c r="F22" s="75">
        <f>'B4-FinPerf RE'!G40</f>
        <v>0</v>
      </c>
      <c r="G22" s="75">
        <f>'B4-FinPerf RE'!H40</f>
        <v>62291861</v>
      </c>
      <c r="H22" s="75">
        <f>'B4-FinPerf RE'!I40</f>
        <v>-8282369</v>
      </c>
      <c r="I22" s="75">
        <f>SUM(D22:H22)</f>
        <v>54009492</v>
      </c>
      <c r="J22" s="75">
        <f>IF(C22=0,B22+I22,C22+I22)</f>
        <v>827207342</v>
      </c>
      <c r="K22" s="75">
        <f>'B4-FinPerf RE'!L40</f>
        <v>623401750</v>
      </c>
      <c r="L22" s="76">
        <f>'B4-FinPerf RE'!M40</f>
        <v>526841450</v>
      </c>
      <c r="M22" s="128"/>
    </row>
    <row r="23" spans="1:13" ht="53.45" customHeight="1" x14ac:dyDescent="0.25">
      <c r="A23" s="1332" t="str">
        <f>'B4-FinPerf RE'!A41&amp;" &amp; "&amp;'B4-FinPerf RE'!A42</f>
        <v xml:space="preserve">Transfers and subsidies - capital (monetary allocations) (National / Provincial Departmental Agencies, Households, Non-profit Institutions, Private Enterprises, Public Corporatons, Higher Educational Institutions) &amp; Transfers and subsidies - capital (in-kind - all) </v>
      </c>
      <c r="B23" s="75">
        <f>SUM('B4-FinPerf RE'!C41:C42)</f>
        <v>1500000</v>
      </c>
      <c r="C23" s="75">
        <f>SUM('B4-FinPerf RE'!D41:D42)</f>
        <v>1500000</v>
      </c>
      <c r="D23" s="75">
        <f>SUM('B4-FinPerf RE'!E41:E42)</f>
        <v>0</v>
      </c>
      <c r="E23" s="75">
        <f>SUM('B4-FinPerf RE'!F41:F42)</f>
        <v>0</v>
      </c>
      <c r="F23" s="75">
        <f>SUM('B4-FinPerf RE'!G41:G42)</f>
        <v>0</v>
      </c>
      <c r="G23" s="75">
        <f>SUM('B4-FinPerf RE'!H41:H42)</f>
        <v>0</v>
      </c>
      <c r="H23" s="75">
        <f>SUM('B4-FinPerf RE'!I41:I42)</f>
        <v>0</v>
      </c>
      <c r="I23" s="75">
        <f>SUM(D23:H23)</f>
        <v>0</v>
      </c>
      <c r="J23" s="75">
        <f>IF(C23=0,B23+I23,C23+I23)</f>
        <v>1500000</v>
      </c>
      <c r="K23" s="75">
        <f>SUM('B4-FinPerf RE'!L41:L42)</f>
        <v>4750000</v>
      </c>
      <c r="L23" s="76">
        <f>SUM('B4-FinPerf RE'!M41:M42)</f>
        <v>4750000</v>
      </c>
      <c r="M23" s="128"/>
    </row>
    <row r="24" spans="1:13" ht="25.5" x14ac:dyDescent="0.25">
      <c r="A24" s="40" t="s">
        <v>571</v>
      </c>
      <c r="B24" s="676">
        <f t="shared" ref="B24:L24" si="7">B21+SUM(B22:B23)</f>
        <v>1003110791</v>
      </c>
      <c r="C24" s="634">
        <f t="shared" si="7"/>
        <v>1032753791</v>
      </c>
      <c r="D24" s="634">
        <f t="shared" si="7"/>
        <v>0</v>
      </c>
      <c r="E24" s="634">
        <f t="shared" si="7"/>
        <v>0</v>
      </c>
      <c r="F24" s="634">
        <f t="shared" si="7"/>
        <v>0</v>
      </c>
      <c r="G24" s="634">
        <f t="shared" si="7"/>
        <v>62291861</v>
      </c>
      <c r="H24" s="634">
        <f t="shared" si="7"/>
        <v>-225666389</v>
      </c>
      <c r="I24" s="634">
        <f>SUM(D24:H24)</f>
        <v>-163374528</v>
      </c>
      <c r="J24" s="634">
        <f>IF(C24=0,B24+I24,C24+I24)</f>
        <v>869379263</v>
      </c>
      <c r="K24" s="634">
        <f t="shared" si="7"/>
        <v>808247957.23523569</v>
      </c>
      <c r="L24" s="635">
        <f t="shared" si="7"/>
        <v>793472717.87607336</v>
      </c>
      <c r="M24" s="128"/>
    </row>
    <row r="25" spans="1:13" ht="12.75" customHeight="1" x14ac:dyDescent="0.25">
      <c r="A25" s="41" t="s">
        <v>572</v>
      </c>
      <c r="B25" s="75">
        <f>'B4-FinPerf RE'!C48</f>
        <v>0</v>
      </c>
      <c r="C25" s="75">
        <f>'B4-FinPerf RE'!D48</f>
        <v>0</v>
      </c>
      <c r="D25" s="75">
        <f>'B4-FinPerf RE'!E48</f>
        <v>0</v>
      </c>
      <c r="E25" s="75">
        <f>'B4-FinPerf RE'!F48</f>
        <v>0</v>
      </c>
      <c r="F25" s="75">
        <f>'B4-FinPerf RE'!G48</f>
        <v>0</v>
      </c>
      <c r="G25" s="75">
        <f>'B4-FinPerf RE'!H48</f>
        <v>0</v>
      </c>
      <c r="H25" s="75">
        <f>'B4-FinPerf RE'!I48</f>
        <v>0</v>
      </c>
      <c r="I25" s="75">
        <f>SUM(D25:H25)</f>
        <v>0</v>
      </c>
      <c r="J25" s="75">
        <f>IF(C25=0,B25+I25,C25+I25)</f>
        <v>0</v>
      </c>
      <c r="K25" s="75">
        <f>'B4-FinPerf RE'!L48</f>
        <v>0</v>
      </c>
      <c r="L25" s="76">
        <f>'B4-FinPerf RE'!M48</f>
        <v>0</v>
      </c>
      <c r="M25" s="128"/>
    </row>
    <row r="26" spans="1:13" ht="12.75" customHeight="1" x14ac:dyDescent="0.25">
      <c r="A26" s="38" t="s">
        <v>573</v>
      </c>
      <c r="B26" s="1081">
        <f t="shared" ref="B26:L26" si="8">B24+B25</f>
        <v>1003110791</v>
      </c>
      <c r="C26" s="1082">
        <f t="shared" si="8"/>
        <v>1032753791</v>
      </c>
      <c r="D26" s="1082">
        <f t="shared" si="8"/>
        <v>0</v>
      </c>
      <c r="E26" s="1082">
        <f t="shared" si="8"/>
        <v>0</v>
      </c>
      <c r="F26" s="1082">
        <f t="shared" si="8"/>
        <v>0</v>
      </c>
      <c r="G26" s="1082">
        <f t="shared" si="8"/>
        <v>62291861</v>
      </c>
      <c r="H26" s="1082">
        <f t="shared" si="8"/>
        <v>-225666389</v>
      </c>
      <c r="I26" s="1082">
        <f t="shared" si="8"/>
        <v>-163374528</v>
      </c>
      <c r="J26" s="1082">
        <f t="shared" si="8"/>
        <v>869379263</v>
      </c>
      <c r="K26" s="1082">
        <f t="shared" si="8"/>
        <v>808247957.23523569</v>
      </c>
      <c r="L26" s="1083">
        <f t="shared" si="8"/>
        <v>793472717.87607336</v>
      </c>
      <c r="M26" s="128"/>
    </row>
    <row r="27" spans="1:13" ht="5.0999999999999996" customHeight="1" x14ac:dyDescent="0.25">
      <c r="A27" s="42"/>
      <c r="B27" s="43"/>
      <c r="C27" s="44"/>
      <c r="D27" s="44"/>
      <c r="E27" s="44"/>
      <c r="F27" s="44"/>
      <c r="G27" s="44"/>
      <c r="H27" s="44"/>
      <c r="I27" s="44"/>
      <c r="J27" s="44"/>
      <c r="K27" s="45"/>
      <c r="L27" s="46"/>
      <c r="M27" s="128"/>
    </row>
    <row r="28" spans="1:13" ht="12.75" customHeight="1" x14ac:dyDescent="0.25">
      <c r="A28" s="25" t="s">
        <v>574</v>
      </c>
      <c r="B28" s="47"/>
      <c r="C28" s="27"/>
      <c r="D28" s="27"/>
      <c r="E28" s="27"/>
      <c r="F28" s="27"/>
      <c r="G28" s="27"/>
      <c r="H28" s="27"/>
      <c r="I28" s="27"/>
      <c r="J28" s="27"/>
      <c r="K28" s="28"/>
      <c r="L28" s="29"/>
      <c r="M28" s="128"/>
    </row>
    <row r="29" spans="1:13" ht="12.75" customHeight="1" x14ac:dyDescent="0.25">
      <c r="A29" s="51" t="s">
        <v>575</v>
      </c>
      <c r="B29" s="75">
        <f>'B5-Capex'!C42</f>
        <v>1201498682</v>
      </c>
      <c r="C29" s="75">
        <f>'B5-Capex'!D42</f>
        <v>1231141682</v>
      </c>
      <c r="D29" s="75">
        <f>'B5-Capex'!E42</f>
        <v>0</v>
      </c>
      <c r="E29" s="75">
        <f>'B5-Capex'!F42</f>
        <v>0</v>
      </c>
      <c r="F29" s="75">
        <f>'B5-Capex'!G42</f>
        <v>0</v>
      </c>
      <c r="G29" s="75">
        <f>'B5-Capex'!H42</f>
        <v>62291861.859999999</v>
      </c>
      <c r="H29" s="75">
        <f>'B5-Capex'!I42</f>
        <v>-256402898.86000001</v>
      </c>
      <c r="I29" s="75">
        <f>SUM(D29:H29)</f>
        <v>-194111037</v>
      </c>
      <c r="J29" s="75">
        <f>IF(C29=0,B29+I29,C29+I29)</f>
        <v>1037030645</v>
      </c>
      <c r="K29" s="75">
        <f>'B5-Capex'!L42</f>
        <v>728151750</v>
      </c>
      <c r="L29" s="76">
        <f>'B5-Capex'!M42</f>
        <v>641813437</v>
      </c>
      <c r="M29" s="128"/>
    </row>
    <row r="30" spans="1:13" ht="12.75" customHeight="1" x14ac:dyDescent="0.25">
      <c r="A30" s="30" t="s">
        <v>570</v>
      </c>
      <c r="B30" s="75">
        <f>'B5-Capex'!C72</f>
        <v>875554850</v>
      </c>
      <c r="C30" s="75">
        <f>'B5-Capex'!D72</f>
        <v>774697850</v>
      </c>
      <c r="D30" s="75">
        <f>'B5-Capex'!E72</f>
        <v>0</v>
      </c>
      <c r="E30" s="75">
        <f>'B5-Capex'!F72</f>
        <v>0</v>
      </c>
      <c r="F30" s="75">
        <f>'B5-Capex'!G72</f>
        <v>0</v>
      </c>
      <c r="G30" s="75">
        <f>'B5-Capex'!H72</f>
        <v>62291861</v>
      </c>
      <c r="H30" s="75">
        <f>'B5-Capex'!I72</f>
        <v>-8282371</v>
      </c>
      <c r="I30" s="75">
        <f>SUM(D30:H30)</f>
        <v>54009490</v>
      </c>
      <c r="J30" s="75">
        <f>IF(C30=0,B30+I30,C30+I30)</f>
        <v>828707340</v>
      </c>
      <c r="K30" s="75">
        <f>'B5-Capex'!L72</f>
        <v>628151750</v>
      </c>
      <c r="L30" s="76">
        <f>'B5-Capex'!M72</f>
        <v>531591450</v>
      </c>
      <c r="M30" s="128"/>
    </row>
    <row r="31" spans="1:13" ht="0.95" customHeight="1" x14ac:dyDescent="0.25">
      <c r="A31" s="749"/>
      <c r="B31" s="138"/>
      <c r="C31" s="138"/>
      <c r="D31" s="138"/>
      <c r="E31" s="138"/>
      <c r="F31" s="138"/>
      <c r="G31" s="138"/>
      <c r="H31" s="138"/>
      <c r="I31" s="138"/>
      <c r="J31" s="138"/>
      <c r="K31" s="138"/>
      <c r="L31" s="205"/>
      <c r="M31" s="128"/>
    </row>
    <row r="32" spans="1:13" ht="12.75" customHeight="1" x14ac:dyDescent="0.25">
      <c r="A32" s="30" t="s">
        <v>576</v>
      </c>
      <c r="B32" s="75">
        <f>'B5-Capex'!C74</f>
        <v>234922529</v>
      </c>
      <c r="C32" s="75">
        <f>'B5-Capex'!D74</f>
        <v>234922529</v>
      </c>
      <c r="D32" s="75">
        <f>'B5-Capex'!E74</f>
        <v>0</v>
      </c>
      <c r="E32" s="75">
        <f>'B5-Capex'!F74</f>
        <v>0</v>
      </c>
      <c r="F32" s="75">
        <f>'B5-Capex'!G74</f>
        <v>0</v>
      </c>
      <c r="G32" s="75">
        <f>'B5-Capex'!H74</f>
        <v>0</v>
      </c>
      <c r="H32" s="75">
        <f>'B5-Capex'!I74</f>
        <v>-234922529</v>
      </c>
      <c r="I32" s="75">
        <f>SUM(D32:H32)</f>
        <v>-234922529</v>
      </c>
      <c r="J32" s="75">
        <f>IF(C32=0,B32+I32,C32+I32)</f>
        <v>0</v>
      </c>
      <c r="K32" s="75">
        <f>'B5-Capex'!L74</f>
        <v>0</v>
      </c>
      <c r="L32" s="76">
        <f>'B5-Capex'!M74</f>
        <v>0</v>
      </c>
      <c r="M32" s="128"/>
    </row>
    <row r="33" spans="1:13" ht="12.75" customHeight="1" x14ac:dyDescent="0.25">
      <c r="A33" s="30" t="s">
        <v>577</v>
      </c>
      <c r="B33" s="75">
        <f>'B5-Capex'!C75</f>
        <v>91021303</v>
      </c>
      <c r="C33" s="75">
        <f>'B5-Capex'!D75</f>
        <v>221521303</v>
      </c>
      <c r="D33" s="75">
        <f>'B5-Capex'!E75</f>
        <v>0</v>
      </c>
      <c r="E33" s="75">
        <f>'B5-Capex'!F75</f>
        <v>0</v>
      </c>
      <c r="F33" s="75">
        <f>'B5-Capex'!G75</f>
        <v>0</v>
      </c>
      <c r="G33" s="75">
        <f>'B5-Capex'!H75</f>
        <v>0</v>
      </c>
      <c r="H33" s="75">
        <f>'B5-Capex'!I75</f>
        <v>-13197998</v>
      </c>
      <c r="I33" s="75">
        <f>SUM(D33:H33)</f>
        <v>-13197998</v>
      </c>
      <c r="J33" s="75">
        <f>IF(C33=0,B33+I33,C33+I33)</f>
        <v>208323305</v>
      </c>
      <c r="K33" s="75">
        <f>'B5-Capex'!L75</f>
        <v>100000000.00000004</v>
      </c>
      <c r="L33" s="76">
        <f>'B5-Capex'!M75</f>
        <v>110221987</v>
      </c>
      <c r="M33" s="128"/>
    </row>
    <row r="34" spans="1:13" s="48" customFormat="1" ht="12.75" customHeight="1" x14ac:dyDescent="0.25">
      <c r="A34" s="51" t="s">
        <v>578</v>
      </c>
      <c r="B34" s="141">
        <f>+B30+B32+B33</f>
        <v>1201498682</v>
      </c>
      <c r="C34" s="141">
        <f t="shared" ref="C34:L34" si="9">+C30+C32+C33</f>
        <v>1231141682</v>
      </c>
      <c r="D34" s="141">
        <f t="shared" si="9"/>
        <v>0</v>
      </c>
      <c r="E34" s="141">
        <f t="shared" si="9"/>
        <v>0</v>
      </c>
      <c r="F34" s="141">
        <f t="shared" si="9"/>
        <v>0</v>
      </c>
      <c r="G34" s="141">
        <f t="shared" si="9"/>
        <v>62291861</v>
      </c>
      <c r="H34" s="141">
        <f t="shared" si="9"/>
        <v>-256402898</v>
      </c>
      <c r="I34" s="141">
        <f>SUM(D34:H34)</f>
        <v>-194111037</v>
      </c>
      <c r="J34" s="141">
        <f>IF(C34=0,B34+I34,C34+I34)</f>
        <v>1037030645</v>
      </c>
      <c r="K34" s="141">
        <f t="shared" si="9"/>
        <v>728151750</v>
      </c>
      <c r="L34" s="142">
        <f t="shared" si="9"/>
        <v>641813437</v>
      </c>
      <c r="M34" s="338"/>
    </row>
    <row r="35" spans="1:13" ht="5.0999999999999996" customHeight="1" x14ac:dyDescent="0.25">
      <c r="A35" s="49"/>
      <c r="B35" s="43"/>
      <c r="C35" s="44"/>
      <c r="D35" s="44"/>
      <c r="E35" s="44"/>
      <c r="F35" s="44"/>
      <c r="G35" s="44"/>
      <c r="H35" s="44"/>
      <c r="I35" s="44"/>
      <c r="J35" s="44"/>
      <c r="K35" s="45"/>
      <c r="L35" s="46"/>
      <c r="M35" s="128"/>
    </row>
    <row r="36" spans="1:13" ht="12.75" customHeight="1" x14ac:dyDescent="0.25">
      <c r="A36" s="25" t="s">
        <v>579</v>
      </c>
      <c r="B36" s="47"/>
      <c r="C36" s="27"/>
      <c r="D36" s="27"/>
      <c r="E36" s="27"/>
      <c r="F36" s="27"/>
      <c r="G36" s="27"/>
      <c r="H36" s="27"/>
      <c r="I36" s="27"/>
      <c r="J36" s="27"/>
      <c r="K36" s="28"/>
      <c r="L36" s="29"/>
      <c r="M36" s="128"/>
    </row>
    <row r="37" spans="1:13" ht="12.75" customHeight="1" x14ac:dyDescent="0.25">
      <c r="A37" s="30" t="s">
        <v>580</v>
      </c>
      <c r="B37" s="75">
        <f>'B6-FinPos'!C14</f>
        <v>839130937</v>
      </c>
      <c r="C37" s="75">
        <f>'B6-FinPos'!D14</f>
        <v>926532288.76999998</v>
      </c>
      <c r="D37" s="75">
        <f>'B6-FinPos'!E14</f>
        <v>0</v>
      </c>
      <c r="E37" s="75">
        <f>'B6-FinPos'!F14</f>
        <v>0</v>
      </c>
      <c r="F37" s="75">
        <f>'B6-FinPos'!G14</f>
        <v>0</v>
      </c>
      <c r="G37" s="75">
        <f>'B6-FinPos'!H14</f>
        <v>0</v>
      </c>
      <c r="H37" s="75">
        <f>'B6-FinPos'!I14</f>
        <v>-209884575.3000007</v>
      </c>
      <c r="I37" s="75">
        <f>SUM(D37:H37)</f>
        <v>-209884575.3000007</v>
      </c>
      <c r="J37" s="75">
        <f>IF(C37=0,B37+I37,C37+I37)</f>
        <v>716647713.46999931</v>
      </c>
      <c r="K37" s="75">
        <f>'B6-FinPos'!L14</f>
        <v>1055053028.397779</v>
      </c>
      <c r="L37" s="76">
        <f>'B6-FinPos'!M14</f>
        <v>1245952045.8321438</v>
      </c>
      <c r="M37" s="128"/>
    </row>
    <row r="38" spans="1:13" ht="12.75" customHeight="1" x14ac:dyDescent="0.25">
      <c r="A38" s="30" t="s">
        <v>581</v>
      </c>
      <c r="B38" s="75">
        <f>'B6-FinPos'!C26</f>
        <v>17297809914</v>
      </c>
      <c r="C38" s="75">
        <f>'B6-FinPos'!D26</f>
        <v>17327452914</v>
      </c>
      <c r="D38" s="75">
        <f>'B6-FinPos'!E26</f>
        <v>0</v>
      </c>
      <c r="E38" s="75">
        <f>'B6-FinPos'!F26</f>
        <v>0</v>
      </c>
      <c r="F38" s="75">
        <f>'B6-FinPos'!G26</f>
        <v>0</v>
      </c>
      <c r="G38" s="75">
        <f>'B6-FinPos'!H26</f>
        <v>62291861</v>
      </c>
      <c r="H38" s="75">
        <f>'B6-FinPos'!I26</f>
        <v>-256402894</v>
      </c>
      <c r="I38" s="75">
        <f>SUM(D38:H38)</f>
        <v>-194111033</v>
      </c>
      <c r="J38" s="75">
        <f>IF(C38=0,B38+I38,C38+I38)</f>
        <v>17133341881</v>
      </c>
      <c r="K38" s="75">
        <f>'B6-FinPos'!L26</f>
        <v>17740961664</v>
      </c>
      <c r="L38" s="76">
        <f>'B6-FinPos'!M26</f>
        <v>18082775101</v>
      </c>
      <c r="M38" s="128"/>
    </row>
    <row r="39" spans="1:13" ht="12.75" customHeight="1" x14ac:dyDescent="0.25">
      <c r="A39" s="30" t="s">
        <v>582</v>
      </c>
      <c r="B39" s="75">
        <f>'B6-FinPos'!C36</f>
        <v>672490167.5999999</v>
      </c>
      <c r="C39" s="75">
        <f>'B6-FinPos'!D36</f>
        <v>672490167.5999999</v>
      </c>
      <c r="D39" s="75">
        <f>'B6-FinPos'!E36</f>
        <v>0</v>
      </c>
      <c r="E39" s="75">
        <f>'B6-FinPos'!F36</f>
        <v>0</v>
      </c>
      <c r="F39" s="75">
        <f>'B6-FinPos'!G36</f>
        <v>0</v>
      </c>
      <c r="G39" s="75">
        <f>'B6-FinPos'!H36</f>
        <v>0</v>
      </c>
      <c r="H39" s="75">
        <f>'B6-FinPos'!I36</f>
        <v>0</v>
      </c>
      <c r="I39" s="75">
        <f>SUM(D39:H39)</f>
        <v>0</v>
      </c>
      <c r="J39" s="75">
        <f>IF(C39=0,B39+I39,C39+I39)</f>
        <v>672490167.5999999</v>
      </c>
      <c r="K39" s="75">
        <f>'B6-FinPos'!L36</f>
        <v>657087844</v>
      </c>
      <c r="L39" s="76">
        <f>'B6-FinPos'!M36</f>
        <v>673241515</v>
      </c>
      <c r="M39" s="128"/>
    </row>
    <row r="40" spans="1:13" ht="12.75" customHeight="1" x14ac:dyDescent="0.25">
      <c r="A40" s="30" t="s">
        <v>583</v>
      </c>
      <c r="B40" s="75">
        <f>'B6-FinPos'!C41</f>
        <v>1102862653</v>
      </c>
      <c r="C40" s="75">
        <f>'B6-FinPos'!D41</f>
        <v>1102862653</v>
      </c>
      <c r="D40" s="75">
        <f>'B6-FinPos'!E41</f>
        <v>0</v>
      </c>
      <c r="E40" s="75">
        <f>'B6-FinPos'!F41</f>
        <v>0</v>
      </c>
      <c r="F40" s="75">
        <f>'B6-FinPos'!G41</f>
        <v>0</v>
      </c>
      <c r="G40" s="75">
        <f>'B6-FinPos'!H41</f>
        <v>0</v>
      </c>
      <c r="H40" s="75">
        <f>'B6-FinPos'!I41</f>
        <v>-234922529</v>
      </c>
      <c r="I40" s="75">
        <f>SUM(D40:H40)</f>
        <v>-234922529</v>
      </c>
      <c r="J40" s="75">
        <f>IF(C40=0,B40+I40,C40+I40)</f>
        <v>867940124</v>
      </c>
      <c r="K40" s="75">
        <f>'B6-FinPos'!L41</f>
        <v>1161172739.2716</v>
      </c>
      <c r="L40" s="76">
        <f>'B6-FinPos'!M41</f>
        <v>1151402671.6478963</v>
      </c>
      <c r="M40" s="128"/>
    </row>
    <row r="41" spans="1:13" ht="12.75" customHeight="1" x14ac:dyDescent="0.25">
      <c r="A41" s="51" t="s">
        <v>1138</v>
      </c>
      <c r="B41" s="141">
        <f>'B6-FinPos'!C50</f>
        <v>16361588030.4</v>
      </c>
      <c r="C41" s="141">
        <f>'B6-FinPos'!D50</f>
        <v>16478632382.17</v>
      </c>
      <c r="D41" s="141">
        <f>'B6-FinPos'!E50</f>
        <v>0</v>
      </c>
      <c r="E41" s="141">
        <f>'B6-FinPos'!F50</f>
        <v>0</v>
      </c>
      <c r="F41" s="141">
        <f>'B6-FinPos'!G50</f>
        <v>0</v>
      </c>
      <c r="G41" s="141">
        <f>'B6-FinPos'!H50</f>
        <v>62291861</v>
      </c>
      <c r="H41" s="141">
        <f>'B6-FinPos'!I50</f>
        <v>-231364940.30000067</v>
      </c>
      <c r="I41" s="141">
        <f>SUM(D41:H41)</f>
        <v>-169073079.30000067</v>
      </c>
      <c r="J41" s="141">
        <f>IF(C41=0,B41+I41,C41+I41)</f>
        <v>16309559302.869999</v>
      </c>
      <c r="K41" s="141">
        <f>'B6-FinPos'!L50</f>
        <v>16977754109.126179</v>
      </c>
      <c r="L41" s="142">
        <f>'B6-FinPos'!M50</f>
        <v>17504082960.18425</v>
      </c>
      <c r="M41" s="128"/>
    </row>
    <row r="42" spans="1:13" ht="5.0999999999999996" customHeight="1" x14ac:dyDescent="0.25">
      <c r="A42" s="42"/>
      <c r="B42" s="43"/>
      <c r="C42" s="44"/>
      <c r="D42" s="44"/>
      <c r="E42" s="44"/>
      <c r="F42" s="44"/>
      <c r="G42" s="44"/>
      <c r="H42" s="44"/>
      <c r="I42" s="44"/>
      <c r="J42" s="44"/>
      <c r="K42" s="45"/>
      <c r="L42" s="46"/>
      <c r="M42" s="128"/>
    </row>
    <row r="43" spans="1:13" ht="12.75" customHeight="1" x14ac:dyDescent="0.25">
      <c r="A43" s="25" t="s">
        <v>584</v>
      </c>
      <c r="B43" s="47"/>
      <c r="C43" s="27"/>
      <c r="D43" s="27"/>
      <c r="E43" s="27"/>
      <c r="F43" s="27"/>
      <c r="G43" s="27"/>
      <c r="H43" s="27"/>
      <c r="I43" s="27"/>
      <c r="J43" s="27"/>
      <c r="K43" s="28"/>
      <c r="L43" s="29"/>
      <c r="M43" s="128"/>
    </row>
    <row r="44" spans="1:13" ht="12.75" customHeight="1" x14ac:dyDescent="0.25">
      <c r="A44" s="30" t="s">
        <v>585</v>
      </c>
      <c r="B44" s="75">
        <f>'B7-CFlow'!C19</f>
        <v>1084018651</v>
      </c>
      <c r="C44" s="75">
        <f>'B7-CFlow'!D19</f>
        <v>893035005</v>
      </c>
      <c r="D44" s="75">
        <f>'B7-CFlow'!E19</f>
        <v>0</v>
      </c>
      <c r="E44" s="75">
        <f>'B7-CFlow'!F19</f>
        <v>0</v>
      </c>
      <c r="F44" s="75">
        <f>'B7-CFlow'!G19</f>
        <v>0</v>
      </c>
      <c r="G44" s="75">
        <f>'B7-CFlow'!H19</f>
        <v>-37920670</v>
      </c>
      <c r="H44" s="75">
        <f>'B7-CFlow'!I19</f>
        <v>-126218353.99999991</v>
      </c>
      <c r="I44" s="75">
        <f>SUM(D44:H44)</f>
        <v>-164139023.99999991</v>
      </c>
      <c r="J44" s="75">
        <f>IF(C44=0,B44+I44,C44+I44)</f>
        <v>728895981.00000012</v>
      </c>
      <c r="K44" s="75">
        <f>'B7-CFlow'!L19</f>
        <v>957980862.61000109</v>
      </c>
      <c r="L44" s="76">
        <f>'B7-CFlow'!M19</f>
        <v>1076718641.8899999</v>
      </c>
      <c r="M44" s="128"/>
    </row>
    <row r="45" spans="1:13" ht="12.75" customHeight="1" x14ac:dyDescent="0.25">
      <c r="A45" s="30" t="s">
        <v>586</v>
      </c>
      <c r="B45" s="75">
        <f>'B7-CFlow'!C29</f>
        <v>-1165453720</v>
      </c>
      <c r="C45" s="75">
        <f>'B7-CFlow'!D29</f>
        <v>-1195096720</v>
      </c>
      <c r="D45" s="75">
        <f>'B7-CFlow'!E29</f>
        <v>0</v>
      </c>
      <c r="E45" s="75">
        <f>'B7-CFlow'!F29</f>
        <v>0</v>
      </c>
      <c r="F45" s="75">
        <f>'B7-CFlow'!G29</f>
        <v>0</v>
      </c>
      <c r="G45" s="75">
        <f>'B7-CFlow'!H29</f>
        <v>-62291861</v>
      </c>
      <c r="H45" s="75">
        <f>'B7-CFlow'!I29</f>
        <v>251468851</v>
      </c>
      <c r="I45" s="75">
        <f>SUM(D45:H45)</f>
        <v>189176990</v>
      </c>
      <c r="J45" s="75">
        <f>IF(C45=0,B45+I45,C45+I45)</f>
        <v>-1005919730</v>
      </c>
      <c r="K45" s="75">
        <f>'B7-CFlow'!L29</f>
        <v>-701557197.5</v>
      </c>
      <c r="L45" s="76">
        <f>'B7-CFlow'!M29</f>
        <v>-617809033.88999999</v>
      </c>
      <c r="M45" s="128"/>
    </row>
    <row r="46" spans="1:13" ht="12.75" customHeight="1" x14ac:dyDescent="0.25">
      <c r="A46" s="30" t="s">
        <v>587</v>
      </c>
      <c r="B46" s="75">
        <f>'B7-CFlow'!C38</f>
        <v>170717537</v>
      </c>
      <c r="C46" s="75">
        <f>'B7-CFlow'!D38</f>
        <v>170717537</v>
      </c>
      <c r="D46" s="75">
        <f>'B7-CFlow'!E38</f>
        <v>0</v>
      </c>
      <c r="E46" s="75">
        <f>'B7-CFlow'!F38</f>
        <v>0</v>
      </c>
      <c r="F46" s="75">
        <f>'B7-CFlow'!G38</f>
        <v>0</v>
      </c>
      <c r="G46" s="75">
        <f>'B7-CFlow'!H38</f>
        <v>0</v>
      </c>
      <c r="H46" s="75">
        <f>'B7-CFlow'!I38</f>
        <v>-234922537</v>
      </c>
      <c r="I46" s="75">
        <f>SUM(D46:H46)</f>
        <v>-234922537</v>
      </c>
      <c r="J46" s="75">
        <f>IF(C46=0,B46+I46,C46+I46)</f>
        <v>-64205000</v>
      </c>
      <c r="K46" s="75">
        <f>'B7-CFlow'!L38</f>
        <v>-62760000</v>
      </c>
      <c r="L46" s="76">
        <f>'B7-CFlow'!M38</f>
        <v>-162760000</v>
      </c>
      <c r="M46" s="128"/>
    </row>
    <row r="47" spans="1:13" ht="12.75" customHeight="1" x14ac:dyDescent="0.25">
      <c r="A47" s="51" t="s">
        <v>588</v>
      </c>
      <c r="B47" s="141">
        <f>'B7-CFlow'!C42</f>
        <v>195851553</v>
      </c>
      <c r="C47" s="141">
        <f>'B7-CFlow'!D42</f>
        <v>283252904.76999998</v>
      </c>
      <c r="D47" s="141">
        <f>'B7-CFlow'!E42</f>
        <v>0</v>
      </c>
      <c r="E47" s="141">
        <f>'B7-CFlow'!F42</f>
        <v>0</v>
      </c>
      <c r="F47" s="141">
        <f>'B7-CFlow'!G42</f>
        <v>0</v>
      </c>
      <c r="G47" s="141">
        <f>'B7-CFlow'!H42</f>
        <v>-100212531</v>
      </c>
      <c r="H47" s="141">
        <f>'B7-CFlow'!I42</f>
        <v>-109672039.99999991</v>
      </c>
      <c r="I47" s="141">
        <f>SUM(D47:H47)</f>
        <v>-209884570.99999991</v>
      </c>
      <c r="J47" s="141">
        <f>IF(C47=0,B47+I47,C47+I47)</f>
        <v>73368333.77000007</v>
      </c>
      <c r="K47" s="141">
        <f>'B7-CFlow'!L42</f>
        <v>267031998.88000107</v>
      </c>
      <c r="L47" s="142">
        <f>'B7-CFlow'!M42</f>
        <v>563181606.88000095</v>
      </c>
      <c r="M47" s="128"/>
    </row>
    <row r="48" spans="1:13" ht="5.0999999999999996" customHeight="1" x14ac:dyDescent="0.25">
      <c r="A48" s="42"/>
      <c r="B48" s="43"/>
      <c r="C48" s="44"/>
      <c r="D48" s="44"/>
      <c r="E48" s="44"/>
      <c r="F48" s="44"/>
      <c r="G48" s="44"/>
      <c r="H48" s="44"/>
      <c r="I48" s="44"/>
      <c r="J48" s="44"/>
      <c r="K48" s="45"/>
      <c r="L48" s="46"/>
      <c r="M48" s="128"/>
    </row>
    <row r="49" spans="1:16" ht="12.75" customHeight="1" x14ac:dyDescent="0.25">
      <c r="A49" s="52" t="s">
        <v>589</v>
      </c>
      <c r="B49" s="31"/>
      <c r="C49" s="32"/>
      <c r="D49" s="32"/>
      <c r="E49" s="32"/>
      <c r="F49" s="32"/>
      <c r="G49" s="32"/>
      <c r="H49" s="32"/>
      <c r="I49" s="32"/>
      <c r="J49" s="32"/>
      <c r="K49" s="33"/>
      <c r="L49" s="34"/>
      <c r="M49" s="128"/>
    </row>
    <row r="50" spans="1:16" ht="12.75" customHeight="1" x14ac:dyDescent="0.25">
      <c r="A50" s="30" t="s">
        <v>590</v>
      </c>
      <c r="B50" s="75">
        <f>'B8-ResRecon'!C10</f>
        <v>195851553</v>
      </c>
      <c r="C50" s="75">
        <f>'B8-ResRecon'!D10</f>
        <v>283252904.76999998</v>
      </c>
      <c r="D50" s="75">
        <f>'B8-ResRecon'!E10</f>
        <v>0</v>
      </c>
      <c r="E50" s="75">
        <f>'B8-ResRecon'!F10</f>
        <v>0</v>
      </c>
      <c r="F50" s="75">
        <f>'B8-ResRecon'!G10</f>
        <v>0</v>
      </c>
      <c r="G50" s="75">
        <f>'B8-ResRecon'!H10</f>
        <v>0</v>
      </c>
      <c r="H50" s="75">
        <f>'B8-ResRecon'!I10</f>
        <v>-209884575.3000007</v>
      </c>
      <c r="I50" s="75">
        <f>SUM(D50:H50)</f>
        <v>-209884575.3000007</v>
      </c>
      <c r="J50" s="75">
        <f>IF(C50=0,B50+I50,C50+I50)</f>
        <v>73368329.469999284</v>
      </c>
      <c r="K50" s="75">
        <f>'B8-ResRecon'!L10</f>
        <v>379252905.19777894</v>
      </c>
      <c r="L50" s="76">
        <f>'B8-ResRecon'!M10</f>
        <v>620151922.63214409</v>
      </c>
      <c r="M50" s="128"/>
    </row>
    <row r="51" spans="1:16" ht="12.75" customHeight="1" x14ac:dyDescent="0.25">
      <c r="A51" s="30" t="s">
        <v>591</v>
      </c>
      <c r="B51" s="75">
        <f>'B8-ResRecon'!C20</f>
        <v>128875147.59999996</v>
      </c>
      <c r="C51" s="75">
        <f>'B8-ResRecon'!D20</f>
        <v>128875147.59999996</v>
      </c>
      <c r="D51" s="75">
        <f>'B8-ResRecon'!E20</f>
        <v>0</v>
      </c>
      <c r="E51" s="75">
        <f>'B8-ResRecon'!F20</f>
        <v>0</v>
      </c>
      <c r="F51" s="75">
        <f>'B8-ResRecon'!G20</f>
        <v>0</v>
      </c>
      <c r="G51" s="75">
        <f>'B8-ResRecon'!H20</f>
        <v>0</v>
      </c>
      <c r="H51" s="75">
        <f>'B8-ResRecon'!I20</f>
        <v>-58797074</v>
      </c>
      <c r="I51" s="75">
        <f>SUM(D51:H51)</f>
        <v>-58797074</v>
      </c>
      <c r="J51" s="75">
        <f>IF(C51=0,B51+I51,C51+I51)</f>
        <v>70078073.599999964</v>
      </c>
      <c r="K51" s="75">
        <f>'B8-ResRecon'!L20</f>
        <v>95824108</v>
      </c>
      <c r="L51" s="76">
        <f>'B8-ResRecon'!M20</f>
        <v>147877901</v>
      </c>
      <c r="M51" s="128"/>
    </row>
    <row r="52" spans="1:16" ht="12.75" customHeight="1" x14ac:dyDescent="0.25">
      <c r="A52" s="51" t="s">
        <v>592</v>
      </c>
      <c r="B52" s="141">
        <f t="shared" ref="B52:L52" si="10">B50-B51</f>
        <v>66976405.400000036</v>
      </c>
      <c r="C52" s="141">
        <f t="shared" si="10"/>
        <v>154377757.17000002</v>
      </c>
      <c r="D52" s="141">
        <f t="shared" si="10"/>
        <v>0</v>
      </c>
      <c r="E52" s="141">
        <f t="shared" si="10"/>
        <v>0</v>
      </c>
      <c r="F52" s="141">
        <f t="shared" si="10"/>
        <v>0</v>
      </c>
      <c r="G52" s="141">
        <f t="shared" si="10"/>
        <v>0</v>
      </c>
      <c r="H52" s="141">
        <f t="shared" si="10"/>
        <v>-151087501.3000007</v>
      </c>
      <c r="I52" s="141">
        <f t="shared" si="10"/>
        <v>-151087501.3000007</v>
      </c>
      <c r="J52" s="141">
        <f t="shared" si="10"/>
        <v>3290255.8699993193</v>
      </c>
      <c r="K52" s="141">
        <f t="shared" si="10"/>
        <v>283428797.19777894</v>
      </c>
      <c r="L52" s="142">
        <f t="shared" si="10"/>
        <v>472274021.63214409</v>
      </c>
      <c r="M52" s="128"/>
    </row>
    <row r="53" spans="1:16" ht="5.0999999999999996" customHeight="1" x14ac:dyDescent="0.25">
      <c r="A53" s="42"/>
      <c r="B53" s="43"/>
      <c r="C53" s="44"/>
      <c r="D53" s="44"/>
      <c r="E53" s="44"/>
      <c r="F53" s="44"/>
      <c r="G53" s="44"/>
      <c r="H53" s="44"/>
      <c r="I53" s="44"/>
      <c r="J53" s="44"/>
      <c r="K53" s="45"/>
      <c r="L53" s="46"/>
      <c r="M53" s="128"/>
    </row>
    <row r="54" spans="1:16" ht="12.75" customHeight="1" x14ac:dyDescent="0.25">
      <c r="A54" s="52" t="s">
        <v>593</v>
      </c>
      <c r="B54" s="31"/>
      <c r="C54" s="32"/>
      <c r="D54" s="32"/>
      <c r="E54" s="32"/>
      <c r="F54" s="32"/>
      <c r="G54" s="32"/>
      <c r="H54" s="32"/>
      <c r="I54" s="32"/>
      <c r="J54" s="27"/>
      <c r="K54" s="33"/>
      <c r="L54" s="34"/>
      <c r="M54" s="128"/>
    </row>
    <row r="55" spans="1:16" ht="12.75" customHeight="1" x14ac:dyDescent="0.25">
      <c r="A55" s="30" t="s">
        <v>594</v>
      </c>
      <c r="B55" s="75">
        <f>'B9-Asset'!C167</f>
        <v>16565000526</v>
      </c>
      <c r="C55" s="75">
        <f>'B9-Asset'!D167</f>
        <v>16594643526</v>
      </c>
      <c r="D55" s="75">
        <f>'B9-Asset'!E167</f>
        <v>0</v>
      </c>
      <c r="E55" s="75">
        <f>'B9-Asset'!F167</f>
        <v>0</v>
      </c>
      <c r="F55" s="75">
        <f>'B9-Asset'!G167</f>
        <v>0</v>
      </c>
      <c r="G55" s="75">
        <f>'B9-Asset'!H167</f>
        <v>62291861</v>
      </c>
      <c r="H55" s="75">
        <f>'B9-Asset'!I167</f>
        <v>-1729913659</v>
      </c>
      <c r="I55" s="75">
        <f>SUM(D55:H55)</f>
        <v>-1667621798</v>
      </c>
      <c r="J55" s="75">
        <f>IF(C55=0,B55+I55,C55+I55)</f>
        <v>14927021728</v>
      </c>
      <c r="K55" s="75">
        <f>'B9-Asset'!L167</f>
        <v>17008152276</v>
      </c>
      <c r="L55" s="76">
        <f>'B9-Asset'!M167</f>
        <v>17349965713</v>
      </c>
      <c r="M55" s="128"/>
    </row>
    <row r="56" spans="1:16" ht="12.75" customHeight="1" x14ac:dyDescent="0.25">
      <c r="A56" s="30" t="s">
        <v>564</v>
      </c>
      <c r="B56" s="171">
        <f>'B9-Asset'!C170</f>
        <v>255000000</v>
      </c>
      <c r="C56" s="75">
        <f>'B9-Asset'!D170</f>
        <v>255000000</v>
      </c>
      <c r="D56" s="75">
        <f>'B9-Asset'!E170</f>
        <v>0</v>
      </c>
      <c r="E56" s="75">
        <f>'B9-Asset'!F170</f>
        <v>0</v>
      </c>
      <c r="F56" s="75">
        <f>'B9-Asset'!G170</f>
        <v>0</v>
      </c>
      <c r="G56" s="75">
        <f>'B9-Asset'!H170</f>
        <v>0</v>
      </c>
      <c r="H56" s="75">
        <f>'B9-Asset'!I170</f>
        <v>0</v>
      </c>
      <c r="I56" s="75">
        <f>SUM(D56:H56)</f>
        <v>0</v>
      </c>
      <c r="J56" s="75">
        <f>IF(C56=0,B56+I56,C56+I56)</f>
        <v>255000000</v>
      </c>
      <c r="K56" s="75">
        <f>'B9-Asset'!L170</f>
        <v>285000000</v>
      </c>
      <c r="L56" s="76">
        <f>'B9-Asset'!M170</f>
        <v>300000000</v>
      </c>
      <c r="M56" s="128"/>
    </row>
    <row r="57" spans="1:16" ht="12.75" customHeight="1" x14ac:dyDescent="0.25">
      <c r="A57" s="30" t="s">
        <v>1774</v>
      </c>
      <c r="B57" s="75">
        <f>'B9-Asset'!C39+'B9-Asset'!C71</f>
        <v>355585904</v>
      </c>
      <c r="C57" s="75">
        <f>'B9-Asset'!D39+'B9-Asset'!D71</f>
        <v>377570914</v>
      </c>
      <c r="D57" s="75">
        <f>'B9-Asset'!E39+'B9-Asset'!E71</f>
        <v>0</v>
      </c>
      <c r="E57" s="75">
        <f>'B9-Asset'!F39+'B9-Asset'!F71</f>
        <v>0</v>
      </c>
      <c r="F57" s="75">
        <f>'B9-Asset'!G39+'B9-Asset'!G71</f>
        <v>0</v>
      </c>
      <c r="G57" s="75">
        <f>'B9-Asset'!H39+'B9-Asset'!H71</f>
        <v>16071908</v>
      </c>
      <c r="H57" s="75">
        <f>'B9-Asset'!I39+'B9-Asset'!I71</f>
        <v>-67738985</v>
      </c>
      <c r="I57" s="75">
        <f>SUM(D57:H57)</f>
        <v>-51667077</v>
      </c>
      <c r="J57" s="75">
        <f>IF(C57=0,B57+I57,C57+I57)</f>
        <v>325903837</v>
      </c>
      <c r="K57" s="75">
        <f>'B9-Asset'!L39+'B9-Asset'!L71</f>
        <v>274756138</v>
      </c>
      <c r="L57" s="76">
        <f>'B9-Asset'!M39+'B9-Asset'!M71</f>
        <v>271955264</v>
      </c>
      <c r="M57" s="128"/>
    </row>
    <row r="58" spans="1:16" ht="12.75" customHeight="1" x14ac:dyDescent="0.25">
      <c r="A58" s="30" t="s">
        <v>595</v>
      </c>
      <c r="B58" s="75">
        <f>'B9-Asset'!C171</f>
        <v>552545618</v>
      </c>
      <c r="C58" s="75">
        <f>'B9-Asset'!D171</f>
        <v>552545618</v>
      </c>
      <c r="D58" s="75">
        <f>'B9-Asset'!E171</f>
        <v>0</v>
      </c>
      <c r="E58" s="75">
        <f>'B9-Asset'!F171</f>
        <v>0</v>
      </c>
      <c r="F58" s="75">
        <f>'B9-Asset'!G171</f>
        <v>0</v>
      </c>
      <c r="G58" s="75">
        <f>'B9-Asset'!H171</f>
        <v>0</v>
      </c>
      <c r="H58" s="75">
        <f>'B9-Asset'!I171</f>
        <v>144521766</v>
      </c>
      <c r="I58" s="75">
        <f>SUM(D58:H58)</f>
        <v>144521766</v>
      </c>
      <c r="J58" s="75">
        <f>IF(C58=0,B58+I58,C58+I58)</f>
        <v>697067384</v>
      </c>
      <c r="K58" s="75">
        <f>'B9-Asset'!L171</f>
        <v>590032269</v>
      </c>
      <c r="L58" s="76">
        <f>'B9-Asset'!M171</f>
        <v>601933079</v>
      </c>
      <c r="M58" s="128"/>
    </row>
    <row r="59" spans="1:16" ht="5.0999999999999996" customHeight="1" x14ac:dyDescent="0.25">
      <c r="A59" s="42"/>
      <c r="B59" s="43"/>
      <c r="C59" s="44"/>
      <c r="D59" s="44"/>
      <c r="E59" s="44"/>
      <c r="F59" s="44"/>
      <c r="G59" s="44"/>
      <c r="H59" s="44"/>
      <c r="I59" s="44"/>
      <c r="J59" s="44"/>
      <c r="K59" s="45"/>
      <c r="L59" s="46"/>
      <c r="M59" s="128"/>
    </row>
    <row r="60" spans="1:16" ht="12.75" customHeight="1" x14ac:dyDescent="0.25">
      <c r="A60" s="52" t="s">
        <v>1021</v>
      </c>
      <c r="B60" s="35"/>
      <c r="C60" s="32"/>
      <c r="D60" s="32"/>
      <c r="E60" s="32"/>
      <c r="F60" s="32"/>
      <c r="G60" s="32"/>
      <c r="H60" s="32"/>
      <c r="I60" s="32"/>
      <c r="J60" s="32"/>
      <c r="K60" s="33"/>
      <c r="L60" s="34"/>
      <c r="M60" s="545"/>
      <c r="N60" s="53"/>
      <c r="O60" s="53"/>
      <c r="P60" s="53"/>
    </row>
    <row r="61" spans="1:16" ht="12.75" customHeight="1" x14ac:dyDescent="0.25">
      <c r="A61" s="30" t="s">
        <v>596</v>
      </c>
      <c r="B61" s="75">
        <f>'B10-SerDel'!C62</f>
        <v>513373820</v>
      </c>
      <c r="C61" s="75">
        <f>'B10-SerDel'!D62</f>
        <v>513373820</v>
      </c>
      <c r="D61" s="75">
        <f>'B10-SerDel'!E62</f>
        <v>0</v>
      </c>
      <c r="E61" s="75">
        <f>'B10-SerDel'!F62</f>
        <v>0</v>
      </c>
      <c r="F61" s="75">
        <f>'B10-SerDel'!G62</f>
        <v>0</v>
      </c>
      <c r="G61" s="75">
        <f>'B10-SerDel'!H62</f>
        <v>0</v>
      </c>
      <c r="H61" s="75">
        <f>'B10-SerDel'!I62</f>
        <v>0</v>
      </c>
      <c r="I61" s="75">
        <f>'B10-SerDel'!J62</f>
        <v>0</v>
      </c>
      <c r="J61" s="75">
        <f>'B10-SerDel'!K62</f>
        <v>513373820</v>
      </c>
      <c r="K61" s="75">
        <f>'B10-SerDel'!L62</f>
        <v>540101285.04598427</v>
      </c>
      <c r="L61" s="76">
        <f>'B10-SerDel'!M62</f>
        <v>568341075.34899151</v>
      </c>
      <c r="M61" s="128"/>
      <c r="N61" s="54"/>
      <c r="O61" s="54"/>
      <c r="P61" s="54"/>
    </row>
    <row r="62" spans="1:16" ht="12.75" customHeight="1" x14ac:dyDescent="0.25">
      <c r="A62" s="36" t="s">
        <v>597</v>
      </c>
      <c r="B62" s="75">
        <f>'B10-SerDel'!C81</f>
        <v>124452525</v>
      </c>
      <c r="C62" s="75">
        <f>'B10-SerDel'!D81</f>
        <v>124452525</v>
      </c>
      <c r="D62" s="75">
        <f>'B10-SerDel'!E81</f>
        <v>0</v>
      </c>
      <c r="E62" s="75">
        <f>'B10-SerDel'!F81</f>
        <v>0</v>
      </c>
      <c r="F62" s="75">
        <f>'B10-SerDel'!G81</f>
        <v>0</v>
      </c>
      <c r="G62" s="75">
        <f>'B10-SerDel'!H81</f>
        <v>0</v>
      </c>
      <c r="H62" s="75">
        <f>'B10-SerDel'!I81</f>
        <v>0</v>
      </c>
      <c r="I62" s="75">
        <f>'B10-SerDel'!J81</f>
        <v>0</v>
      </c>
      <c r="J62" s="75">
        <f>'B10-SerDel'!K81</f>
        <v>124452525</v>
      </c>
      <c r="K62" s="75">
        <f>'B10-SerDel'!L81</f>
        <v>131105085.93181315</v>
      </c>
      <c r="L62" s="76">
        <f>'B10-SerDel'!M81</f>
        <v>138151642.98934019</v>
      </c>
      <c r="M62" s="838"/>
      <c r="N62" s="54"/>
      <c r="O62" s="54"/>
      <c r="P62" s="54"/>
    </row>
    <row r="63" spans="1:16" ht="12.75" customHeight="1" x14ac:dyDescent="0.25">
      <c r="A63" s="833" t="s">
        <v>1020</v>
      </c>
      <c r="B63" s="35"/>
      <c r="C63" s="32"/>
      <c r="D63" s="32"/>
      <c r="E63" s="32"/>
      <c r="F63" s="32"/>
      <c r="G63" s="32"/>
      <c r="H63" s="32"/>
      <c r="I63" s="32"/>
      <c r="J63" s="32"/>
      <c r="K63" s="33"/>
      <c r="L63" s="34"/>
      <c r="M63" s="838"/>
      <c r="N63" s="54"/>
      <c r="O63" s="54"/>
      <c r="P63" s="54"/>
    </row>
    <row r="64" spans="1:16" ht="12.75" customHeight="1" x14ac:dyDescent="0.25">
      <c r="A64" s="55" t="s">
        <v>598</v>
      </c>
      <c r="B64" s="75">
        <f>'B10-SerDel'!C16</f>
        <v>0</v>
      </c>
      <c r="C64" s="75">
        <f>'B10-SerDel'!D16</f>
        <v>0</v>
      </c>
      <c r="D64" s="75">
        <f>'B10-SerDel'!E16</f>
        <v>0</v>
      </c>
      <c r="E64" s="75">
        <f>'B10-SerDel'!F16</f>
        <v>0</v>
      </c>
      <c r="F64" s="75">
        <f>'B10-SerDel'!G16</f>
        <v>0</v>
      </c>
      <c r="G64" s="75">
        <f>'B10-SerDel'!H16</f>
        <v>0</v>
      </c>
      <c r="H64" s="75">
        <f>'B10-SerDel'!I16</f>
        <v>0</v>
      </c>
      <c r="I64" s="75">
        <f>SUM(D64:H64)</f>
        <v>0</v>
      </c>
      <c r="J64" s="75">
        <f>IF(C64=0,B64+I64,C64+I64)</f>
        <v>0</v>
      </c>
      <c r="K64" s="75">
        <f>'B10-SerDel'!L16</f>
        <v>0</v>
      </c>
      <c r="L64" s="76">
        <f>'B10-SerDel'!M16</f>
        <v>0</v>
      </c>
      <c r="M64" s="54"/>
      <c r="N64" s="54"/>
      <c r="O64" s="54"/>
      <c r="P64" s="54"/>
    </row>
    <row r="65" spans="1:16" ht="12.75" customHeight="1" x14ac:dyDescent="0.25">
      <c r="A65" s="55" t="s">
        <v>599</v>
      </c>
      <c r="B65" s="75">
        <f>'B10-SerDel'!C28</f>
        <v>102965</v>
      </c>
      <c r="C65" s="75">
        <f>'B10-SerDel'!D28</f>
        <v>102965</v>
      </c>
      <c r="D65" s="75">
        <f>'B10-SerDel'!E28</f>
        <v>0</v>
      </c>
      <c r="E65" s="75">
        <f>'B10-SerDel'!F28</f>
        <v>0</v>
      </c>
      <c r="F65" s="75">
        <f>'B10-SerDel'!G28</f>
        <v>0</v>
      </c>
      <c r="G65" s="75">
        <f>'B10-SerDel'!H28</f>
        <v>0</v>
      </c>
      <c r="H65" s="75">
        <f>'B10-SerDel'!I28</f>
        <v>0</v>
      </c>
      <c r="I65" s="75">
        <f>SUM(D65:H65)</f>
        <v>0</v>
      </c>
      <c r="J65" s="75">
        <f>IF(C65=0,B65+I65,C65+I65)</f>
        <v>102965</v>
      </c>
      <c r="K65" s="75">
        <f>'B10-SerDel'!L28</f>
        <v>105952</v>
      </c>
      <c r="L65" s="76">
        <f>'B10-SerDel'!M28</f>
        <v>109066</v>
      </c>
      <c r="M65" s="53"/>
      <c r="N65" s="53"/>
      <c r="O65" s="53"/>
      <c r="P65" s="53"/>
    </row>
    <row r="66" spans="1:16" ht="12.75" customHeight="1" x14ac:dyDescent="0.25">
      <c r="A66" s="55" t="s">
        <v>600</v>
      </c>
      <c r="B66" s="75">
        <f>'B10-SerDel'!C37</f>
        <v>5832</v>
      </c>
      <c r="C66" s="75">
        <f>'B10-SerDel'!D37</f>
        <v>5832</v>
      </c>
      <c r="D66" s="75">
        <f>'B10-SerDel'!E37</f>
        <v>0</v>
      </c>
      <c r="E66" s="75">
        <f>'B10-SerDel'!F37</f>
        <v>0</v>
      </c>
      <c r="F66" s="75">
        <f>'B10-SerDel'!G37</f>
        <v>0</v>
      </c>
      <c r="G66" s="75">
        <f>'B10-SerDel'!H37</f>
        <v>0</v>
      </c>
      <c r="H66" s="75">
        <f>'B10-SerDel'!I37</f>
        <v>0</v>
      </c>
      <c r="I66" s="75">
        <f>SUM(D66:H66)</f>
        <v>0</v>
      </c>
      <c r="J66" s="75">
        <f>IF(C66=0,B66+I66,C66+I66)</f>
        <v>5832</v>
      </c>
      <c r="K66" s="75">
        <f>'B10-SerDel'!L37</f>
        <v>6002</v>
      </c>
      <c r="L66" s="76">
        <f>'B10-SerDel'!M37</f>
        <v>6178</v>
      </c>
      <c r="M66" s="54"/>
      <c r="N66" s="54"/>
      <c r="O66" s="54"/>
      <c r="P66" s="53"/>
    </row>
    <row r="67" spans="1:16" ht="12.75" customHeight="1" x14ac:dyDescent="0.25">
      <c r="A67" s="55" t="s">
        <v>601</v>
      </c>
      <c r="B67" s="75">
        <f>'B10-SerDel'!C47</f>
        <v>0</v>
      </c>
      <c r="C67" s="75">
        <f>'B10-SerDel'!D47</f>
        <v>0</v>
      </c>
      <c r="D67" s="75">
        <f>'B10-SerDel'!E47</f>
        <v>0</v>
      </c>
      <c r="E67" s="75">
        <f>'B10-SerDel'!F47</f>
        <v>0</v>
      </c>
      <c r="F67" s="75">
        <f>'B10-SerDel'!G47</f>
        <v>0</v>
      </c>
      <c r="G67" s="75">
        <f>'B10-SerDel'!H47</f>
        <v>0</v>
      </c>
      <c r="H67" s="75">
        <f>'B10-SerDel'!I47</f>
        <v>0</v>
      </c>
      <c r="I67" s="75">
        <f>SUM(D67:H67)</f>
        <v>0</v>
      </c>
      <c r="J67" s="75">
        <f>IF(C67=0,B67+I67,C67+I67)</f>
        <v>0</v>
      </c>
      <c r="K67" s="75">
        <f>'B10-SerDel'!L47</f>
        <v>0</v>
      </c>
      <c r="L67" s="76">
        <f>'B10-SerDel'!M47</f>
        <v>0</v>
      </c>
      <c r="M67" s="53"/>
      <c r="N67" s="53"/>
      <c r="O67" s="53"/>
      <c r="P67" s="53"/>
    </row>
    <row r="68" spans="1:16" ht="5.0999999999999996" customHeight="1" x14ac:dyDescent="0.25">
      <c r="A68" s="42"/>
      <c r="B68" s="56"/>
      <c r="C68" s="44"/>
      <c r="D68" s="44"/>
      <c r="E68" s="44"/>
      <c r="F68" s="44"/>
      <c r="G68" s="44"/>
      <c r="H68" s="44"/>
      <c r="I68" s="44"/>
      <c r="J68" s="44"/>
      <c r="K68" s="45"/>
      <c r="L68" s="46"/>
    </row>
    <row r="69" spans="1:16" ht="12.75" customHeight="1" x14ac:dyDescent="0.25">
      <c r="A69" s="639" t="s">
        <v>519</v>
      </c>
    </row>
    <row r="70" spans="1:16" x14ac:dyDescent="0.25">
      <c r="A70" s="1408" t="s">
        <v>988</v>
      </c>
      <c r="B70" s="1408"/>
      <c r="C70" s="1408"/>
      <c r="D70" s="1408"/>
      <c r="E70" s="1408"/>
      <c r="F70" s="1408"/>
      <c r="G70" s="1408"/>
      <c r="H70" s="1408"/>
      <c r="I70" s="1408"/>
      <c r="J70" s="1408"/>
      <c r="K70" s="1408"/>
      <c r="L70" s="1408"/>
      <c r="M70" s="1408"/>
    </row>
    <row r="71" spans="1:16" x14ac:dyDescent="0.25">
      <c r="A71" s="1408" t="s">
        <v>6</v>
      </c>
      <c r="B71" s="1408"/>
      <c r="C71" s="1408"/>
      <c r="D71" s="1408"/>
      <c r="E71" s="1408"/>
      <c r="F71" s="1408"/>
      <c r="G71" s="1408"/>
      <c r="H71" s="1408"/>
      <c r="I71" s="1408"/>
      <c r="J71" s="1408"/>
      <c r="K71" s="1408"/>
      <c r="L71" s="1408"/>
      <c r="M71" s="1408"/>
    </row>
    <row r="72" spans="1:16" x14ac:dyDescent="0.25">
      <c r="A72" s="1402" t="s">
        <v>7</v>
      </c>
      <c r="B72" s="1402"/>
      <c r="C72" s="1402"/>
      <c r="D72" s="1402"/>
      <c r="E72" s="1402"/>
      <c r="F72" s="1402"/>
      <c r="G72" s="1402"/>
      <c r="H72" s="1402"/>
      <c r="I72" s="1402"/>
      <c r="J72" s="1402"/>
      <c r="K72" s="1402"/>
      <c r="L72" s="1402"/>
      <c r="M72" s="1402"/>
    </row>
    <row r="73" spans="1:16" x14ac:dyDescent="0.25">
      <c r="A73" s="1402" t="s">
        <v>8</v>
      </c>
      <c r="B73" s="1402"/>
      <c r="C73" s="1402"/>
      <c r="D73" s="1402"/>
      <c r="E73" s="1402"/>
      <c r="F73" s="1402"/>
      <c r="G73" s="1402"/>
      <c r="H73" s="1402"/>
      <c r="I73" s="1402"/>
      <c r="J73" s="1402"/>
      <c r="K73" s="1402"/>
      <c r="L73" s="1402"/>
      <c r="M73" s="1402"/>
    </row>
    <row r="74" spans="1:16" x14ac:dyDescent="0.25">
      <c r="A74" s="99" t="s">
        <v>9</v>
      </c>
      <c r="B74" s="93"/>
      <c r="C74" s="96"/>
      <c r="D74" s="96"/>
      <c r="E74" s="96"/>
      <c r="F74" s="96"/>
      <c r="G74" s="96"/>
      <c r="H74" s="96"/>
      <c r="I74" s="96"/>
      <c r="J74" s="96"/>
      <c r="K74" s="96"/>
      <c r="L74" s="96"/>
      <c r="M74" s="96"/>
    </row>
    <row r="75" spans="1:16" x14ac:dyDescent="0.25">
      <c r="A75" s="1402" t="s">
        <v>10</v>
      </c>
      <c r="B75" s="1402"/>
      <c r="C75" s="1402"/>
      <c r="D75" s="1402"/>
      <c r="E75" s="1402"/>
      <c r="F75" s="1402"/>
      <c r="G75" s="1402"/>
      <c r="H75" s="1402"/>
      <c r="I75" s="1402"/>
      <c r="J75" s="1402"/>
      <c r="K75" s="1402"/>
      <c r="L75" s="1402"/>
      <c r="M75" s="1402"/>
    </row>
    <row r="76" spans="1:16" x14ac:dyDescent="0.25">
      <c r="A76" s="99" t="s">
        <v>11</v>
      </c>
      <c r="B76" s="93"/>
      <c r="C76" s="96"/>
      <c r="D76" s="96"/>
      <c r="E76" s="96"/>
      <c r="F76" s="96"/>
      <c r="G76" s="96"/>
      <c r="H76" s="96"/>
      <c r="I76" s="96"/>
      <c r="J76" s="96"/>
      <c r="K76" s="96"/>
      <c r="L76" s="96"/>
      <c r="M76" s="96"/>
    </row>
    <row r="77" spans="1:16" x14ac:dyDescent="0.25">
      <c r="A77" s="1402" t="s">
        <v>12</v>
      </c>
      <c r="B77" s="1402"/>
      <c r="C77" s="1402"/>
      <c r="D77" s="1402"/>
      <c r="E77" s="1402"/>
      <c r="F77" s="1402"/>
      <c r="G77" s="1402"/>
      <c r="H77" s="1402"/>
      <c r="I77" s="1402"/>
      <c r="J77" s="1402"/>
      <c r="K77" s="1402"/>
      <c r="L77" s="1402"/>
      <c r="M77" s="1402"/>
    </row>
  </sheetData>
  <sheetProtection password="C646" sheet="1" objects="1" scenarios="1"/>
  <mergeCells count="8">
    <mergeCell ref="A75:M75"/>
    <mergeCell ref="A77:M77"/>
    <mergeCell ref="B2:J2"/>
    <mergeCell ref="A2:A4"/>
    <mergeCell ref="A70:M70"/>
    <mergeCell ref="A71:M71"/>
    <mergeCell ref="A72:M72"/>
    <mergeCell ref="A73:M73"/>
  </mergeCells>
  <phoneticPr fontId="4" type="noConversion"/>
  <printOptions horizontalCentered="1"/>
  <pageMargins left="0.35433070866141736" right="0.15748031496062992" top="0.78740157480314965" bottom="0.59055118110236227" header="0.51181102362204722" footer="0.39370078740157483"/>
  <pageSetup paperSize="9" scale="78"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3">
    <tabColor indexed="44"/>
    <pageSetUpPr fitToPage="1"/>
  </sheetPr>
  <dimension ref="A1:N101"/>
  <sheetViews>
    <sheetView showGridLines="0" zoomScaleNormal="100" workbookViewId="0">
      <pane xSplit="2" ySplit="5" topLeftCell="C32" activePane="bottomRight" state="frozen"/>
      <selection activeCell="C141" sqref="C141"/>
      <selection pane="topRight" activeCell="C141" sqref="C141"/>
      <selection pane="bottomLeft" activeCell="C141" sqref="C141"/>
      <selection pane="bottomRight" activeCell="C7" sqref="C7:M51"/>
    </sheetView>
  </sheetViews>
  <sheetFormatPr defaultColWidth="9.140625" defaultRowHeight="12.75" x14ac:dyDescent="0.25"/>
  <cols>
    <col min="1" max="1" width="32.7109375" style="5" customWidth="1"/>
    <col min="2" max="2" width="3.28515625" style="58" customWidth="1"/>
    <col min="3" max="13" width="8.7109375" style="5" customWidth="1"/>
    <col min="14" max="15" width="9.5703125" style="5" customWidth="1"/>
    <col min="16" max="16" width="9.85546875" style="5" customWidth="1"/>
    <col min="17" max="19" width="9.5703125" style="5" customWidth="1"/>
    <col min="20" max="20" width="9.85546875" style="5" customWidth="1"/>
    <col min="21" max="23" width="9.5703125" style="5" customWidth="1"/>
    <col min="24" max="25" width="9.85546875" style="5" customWidth="1"/>
    <col min="26" max="16384" width="9.140625" style="5"/>
  </cols>
  <sheetData>
    <row r="1" spans="1:14" ht="13.5" x14ac:dyDescent="0.25">
      <c r="A1" s="57" t="str">
        <f>muni&amp;" - "&amp;_ADJ3&amp;" - "&amp;Date</f>
        <v>LIM354 Polokwane - Table B2 Adjustments Budget Financial Performance (functional classification) - 2020</v>
      </c>
      <c r="B1" s="5"/>
      <c r="C1" s="58"/>
    </row>
    <row r="2" spans="1:14" ht="38.25" x14ac:dyDescent="0.25">
      <c r="A2" s="1409" t="str">
        <f>"Standard "&amp;desc</f>
        <v>Standard Description</v>
      </c>
      <c r="B2" s="1406" t="str">
        <f>head27</f>
        <v>Ref</v>
      </c>
      <c r="C2" s="1403" t="str">
        <f>Head2</f>
        <v>Budget Year 2020/21</v>
      </c>
      <c r="D2" s="1404"/>
      <c r="E2" s="1404"/>
      <c r="F2" s="1404"/>
      <c r="G2" s="1404"/>
      <c r="H2" s="1404"/>
      <c r="I2" s="1404"/>
      <c r="J2" s="1404"/>
      <c r="K2" s="1404"/>
      <c r="L2" s="103" t="str">
        <f>Head10</f>
        <v>Budget Year +1 2021/22</v>
      </c>
      <c r="M2" s="61" t="str">
        <f>Head11</f>
        <v>Budget Year +2 2022/23</v>
      </c>
    </row>
    <row r="3" spans="1:14" ht="25.5" x14ac:dyDescent="0.25">
      <c r="A3" s="1410"/>
      <c r="B3" s="1407"/>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x14ac:dyDescent="0.25">
      <c r="A4" s="64"/>
      <c r="B4" s="8"/>
      <c r="C4" s="65"/>
      <c r="D4" s="15">
        <v>5</v>
      </c>
      <c r="E4" s="15">
        <f t="shared" ref="E4:K4" si="0">D4+1</f>
        <v>6</v>
      </c>
      <c r="F4" s="15">
        <f t="shared" si="0"/>
        <v>7</v>
      </c>
      <c r="G4" s="15">
        <f t="shared" si="0"/>
        <v>8</v>
      </c>
      <c r="H4" s="15">
        <f t="shared" si="0"/>
        <v>9</v>
      </c>
      <c r="I4" s="15">
        <f t="shared" si="0"/>
        <v>10</v>
      </c>
      <c r="J4" s="15">
        <f t="shared" si="0"/>
        <v>11</v>
      </c>
      <c r="K4" s="15">
        <f t="shared" si="0"/>
        <v>12</v>
      </c>
      <c r="L4" s="15"/>
      <c r="M4" s="17"/>
    </row>
    <row r="5" spans="1:14" x14ac:dyDescent="0.25">
      <c r="A5" s="66" t="s">
        <v>603</v>
      </c>
      <c r="B5" s="104" t="s">
        <v>612</v>
      </c>
      <c r="C5" s="67" t="s">
        <v>547</v>
      </c>
      <c r="D5" s="68" t="s">
        <v>548</v>
      </c>
      <c r="E5" s="68" t="s">
        <v>549</v>
      </c>
      <c r="F5" s="69" t="s">
        <v>550</v>
      </c>
      <c r="G5" s="69" t="s">
        <v>551</v>
      </c>
      <c r="H5" s="69" t="s">
        <v>552</v>
      </c>
      <c r="I5" s="70" t="s">
        <v>553</v>
      </c>
      <c r="J5" s="70" t="s">
        <v>554</v>
      </c>
      <c r="K5" s="70" t="s">
        <v>555</v>
      </c>
      <c r="L5" s="70"/>
      <c r="M5" s="71"/>
    </row>
    <row r="6" spans="1:14" ht="12.75" customHeight="1" x14ac:dyDescent="0.25">
      <c r="A6" s="486" t="s">
        <v>1562</v>
      </c>
      <c r="B6" s="105"/>
      <c r="C6" s="106"/>
      <c r="D6" s="75"/>
      <c r="E6" s="75"/>
      <c r="F6" s="75"/>
      <c r="G6" s="75"/>
      <c r="H6" s="75"/>
      <c r="I6" s="75"/>
      <c r="J6" s="75"/>
      <c r="K6" s="75"/>
      <c r="L6" s="75"/>
      <c r="M6" s="76"/>
      <c r="N6" s="128"/>
    </row>
    <row r="7" spans="1:14" ht="12.75" customHeight="1" x14ac:dyDescent="0.25">
      <c r="A7" s="107" t="s">
        <v>613</v>
      </c>
      <c r="B7" s="73"/>
      <c r="C7" s="257">
        <f>SUM(C8:C10)</f>
        <v>2742972440</v>
      </c>
      <c r="D7" s="257">
        <f t="shared" ref="D7:I7" si="1">SUM(D8:D10)</f>
        <v>2797115440</v>
      </c>
      <c r="E7" s="257">
        <f t="shared" si="1"/>
        <v>0</v>
      </c>
      <c r="F7" s="257">
        <f t="shared" si="1"/>
        <v>0</v>
      </c>
      <c r="G7" s="257">
        <f t="shared" si="1"/>
        <v>0</v>
      </c>
      <c r="H7" s="257">
        <f t="shared" si="1"/>
        <v>100212533</v>
      </c>
      <c r="I7" s="257">
        <f t="shared" si="1"/>
        <v>0</v>
      </c>
      <c r="J7" s="257">
        <f>SUM(J8:J10)</f>
        <v>100212533</v>
      </c>
      <c r="K7" s="257">
        <f>SUM(K8:K10)</f>
        <v>2897327973</v>
      </c>
      <c r="L7" s="257">
        <f>SUM(L8:L10)</f>
        <v>2626935832.0251508</v>
      </c>
      <c r="M7" s="699">
        <f>SUM(M8:M10)</f>
        <v>2675141998.7056775</v>
      </c>
      <c r="N7" s="128"/>
    </row>
    <row r="8" spans="1:14" ht="12.75" customHeight="1" x14ac:dyDescent="0.25">
      <c r="A8" s="108" t="s">
        <v>614</v>
      </c>
      <c r="B8" s="73"/>
      <c r="C8" s="132">
        <f>B2B!C8</f>
        <v>1504180</v>
      </c>
      <c r="D8" s="132">
        <f>B2B!D8</f>
        <v>1504180</v>
      </c>
      <c r="E8" s="132">
        <f>B2B!E8</f>
        <v>0</v>
      </c>
      <c r="F8" s="132">
        <f>B2B!F8</f>
        <v>0</v>
      </c>
      <c r="G8" s="132">
        <f>B2B!G8</f>
        <v>0</v>
      </c>
      <c r="H8" s="132">
        <f>B2B!H8</f>
        <v>0</v>
      </c>
      <c r="I8" s="132">
        <f>B2B!I8</f>
        <v>0</v>
      </c>
      <c r="J8" s="171">
        <f>SUM(E8:I8)</f>
        <v>0</v>
      </c>
      <c r="K8" s="171">
        <f>IF(D8=0,C8+J8,D8+J8)</f>
        <v>1504180</v>
      </c>
      <c r="L8" s="132">
        <f>B2B!L8</f>
        <v>1576380</v>
      </c>
      <c r="M8" s="133">
        <f>B2B!M8</f>
        <v>1652044</v>
      </c>
      <c r="N8" s="128"/>
    </row>
    <row r="9" spans="1:14" ht="12.75" customHeight="1" x14ac:dyDescent="0.25">
      <c r="A9" s="108" t="s">
        <v>1481</v>
      </c>
      <c r="B9" s="73"/>
      <c r="C9" s="780">
        <f>B2B!C11</f>
        <v>2741467215</v>
      </c>
      <c r="D9" s="780">
        <f>B2B!D11</f>
        <v>2795610215</v>
      </c>
      <c r="E9" s="780">
        <f>B2B!E11</f>
        <v>0</v>
      </c>
      <c r="F9" s="780">
        <f>B2B!F11</f>
        <v>0</v>
      </c>
      <c r="G9" s="780">
        <f>B2B!G11</f>
        <v>0</v>
      </c>
      <c r="H9" s="780">
        <f>B2B!H11</f>
        <v>100212533</v>
      </c>
      <c r="I9" s="780">
        <f>B2B!I11</f>
        <v>0</v>
      </c>
      <c r="J9" s="171">
        <f>SUM(E9:I9)</f>
        <v>100212533</v>
      </c>
      <c r="K9" s="171">
        <f>IF(D9=0,C9+J9,D9+J9)</f>
        <v>2895822748</v>
      </c>
      <c r="L9" s="780">
        <f>B2B!L11</f>
        <v>2625359452.0251508</v>
      </c>
      <c r="M9" s="781">
        <f>B2B!M11</f>
        <v>2673489954.7056775</v>
      </c>
      <c r="N9" s="128"/>
    </row>
    <row r="10" spans="1:14" ht="12.75" customHeight="1" x14ac:dyDescent="0.25">
      <c r="A10" s="108" t="s">
        <v>1482</v>
      </c>
      <c r="B10" s="73"/>
      <c r="C10" s="132">
        <f>B2B!C25</f>
        <v>1045</v>
      </c>
      <c r="D10" s="132">
        <f>B2B!D25</f>
        <v>1045</v>
      </c>
      <c r="E10" s="132">
        <f>B2B!E25</f>
        <v>0</v>
      </c>
      <c r="F10" s="132">
        <f>B2B!F25</f>
        <v>0</v>
      </c>
      <c r="G10" s="132">
        <f>B2B!G25</f>
        <v>0</v>
      </c>
      <c r="H10" s="132">
        <f>B2B!H25</f>
        <v>0</v>
      </c>
      <c r="I10" s="132">
        <f>B2B!I25</f>
        <v>0</v>
      </c>
      <c r="J10" s="171">
        <f>SUM(E10:I10)</f>
        <v>0</v>
      </c>
      <c r="K10" s="171">
        <f>IF(D10=0,C10+J10,D10+J10)</f>
        <v>1045</v>
      </c>
      <c r="L10" s="132">
        <f>B2B!L25</f>
        <v>0</v>
      </c>
      <c r="M10" s="133">
        <f>B2B!M25</f>
        <v>0</v>
      </c>
      <c r="N10" s="128"/>
    </row>
    <row r="11" spans="1:14" ht="12.75" customHeight="1" x14ac:dyDescent="0.25">
      <c r="A11" s="107" t="s">
        <v>615</v>
      </c>
      <c r="B11" s="73"/>
      <c r="C11" s="257">
        <f>SUM(C12:C16)</f>
        <v>16214345</v>
      </c>
      <c r="D11" s="257">
        <f t="shared" ref="D11:I11" si="2">SUM(D12:D16)</f>
        <v>16214345</v>
      </c>
      <c r="E11" s="257">
        <f t="shared" si="2"/>
        <v>0</v>
      </c>
      <c r="F11" s="257">
        <f t="shared" si="2"/>
        <v>0</v>
      </c>
      <c r="G11" s="257">
        <f t="shared" si="2"/>
        <v>0</v>
      </c>
      <c r="H11" s="257">
        <f t="shared" si="2"/>
        <v>0</v>
      </c>
      <c r="I11" s="257">
        <f t="shared" si="2"/>
        <v>-3500000</v>
      </c>
      <c r="J11" s="257">
        <f>SUM(J12:J16)</f>
        <v>-3500000</v>
      </c>
      <c r="K11" s="257">
        <f>SUM(K12:K16)</f>
        <v>12714345</v>
      </c>
      <c r="L11" s="257">
        <f>SUM(L12:L16)</f>
        <v>19512020</v>
      </c>
      <c r="M11" s="699">
        <f>SUM(M12:M16)</f>
        <v>20448587</v>
      </c>
      <c r="N11" s="128"/>
    </row>
    <row r="12" spans="1:14" ht="12.75" customHeight="1" x14ac:dyDescent="0.25">
      <c r="A12" s="108" t="s">
        <v>616</v>
      </c>
      <c r="B12" s="73"/>
      <c r="C12" s="132">
        <f>B2B!C28</f>
        <v>4201298</v>
      </c>
      <c r="D12" s="132">
        <f>B2B!D28</f>
        <v>4201298</v>
      </c>
      <c r="E12" s="132">
        <f>B2B!E28</f>
        <v>0</v>
      </c>
      <c r="F12" s="132">
        <f>B2B!F28</f>
        <v>0</v>
      </c>
      <c r="G12" s="132">
        <f>B2B!G28</f>
        <v>0</v>
      </c>
      <c r="H12" s="132">
        <f>B2B!H28</f>
        <v>0</v>
      </c>
      <c r="I12" s="132">
        <f>B2B!I28</f>
        <v>0</v>
      </c>
      <c r="J12" s="171">
        <f>SUM(E12:I12)</f>
        <v>0</v>
      </c>
      <c r="K12" s="171">
        <f>IF(D12=0,C12+J12,D12+J12)</f>
        <v>4201298</v>
      </c>
      <c r="L12" s="132">
        <f>B2B!L28</f>
        <v>3778350</v>
      </c>
      <c r="M12" s="133">
        <f>B2B!M28</f>
        <v>3959708</v>
      </c>
      <c r="N12" s="128"/>
    </row>
    <row r="13" spans="1:14" ht="12.75" customHeight="1" x14ac:dyDescent="0.25">
      <c r="A13" s="108" t="s">
        <v>617</v>
      </c>
      <c r="B13" s="73"/>
      <c r="C13" s="132">
        <f>B2B!C50</f>
        <v>11149486</v>
      </c>
      <c r="D13" s="132">
        <f>B2B!D50</f>
        <v>11149486</v>
      </c>
      <c r="E13" s="132">
        <f>B2B!E50</f>
        <v>0</v>
      </c>
      <c r="F13" s="132">
        <f>B2B!F50</f>
        <v>0</v>
      </c>
      <c r="G13" s="132">
        <f>B2B!G50</f>
        <v>0</v>
      </c>
      <c r="H13" s="132">
        <f>B2B!H50</f>
        <v>0</v>
      </c>
      <c r="I13" s="132">
        <f>B2B!I50</f>
        <v>-3500000</v>
      </c>
      <c r="J13" s="171">
        <f>SUM(E13:I13)</f>
        <v>-3500000</v>
      </c>
      <c r="K13" s="171">
        <f>IF(D13=0,C13+J13,D13+J13)</f>
        <v>7649486</v>
      </c>
      <c r="L13" s="132">
        <f>B2B!L50</f>
        <v>14828659</v>
      </c>
      <c r="M13" s="133">
        <f>B2B!M50</f>
        <v>15540432</v>
      </c>
      <c r="N13" s="128"/>
    </row>
    <row r="14" spans="1:14" ht="12.75" customHeight="1" x14ac:dyDescent="0.25">
      <c r="A14" s="108" t="s">
        <v>618</v>
      </c>
      <c r="B14" s="73"/>
      <c r="C14" s="132">
        <f>B2B!C56</f>
        <v>340511</v>
      </c>
      <c r="D14" s="132">
        <f>B2B!D56</f>
        <v>340511</v>
      </c>
      <c r="E14" s="132">
        <f>B2B!E56</f>
        <v>0</v>
      </c>
      <c r="F14" s="132">
        <f>B2B!F56</f>
        <v>0</v>
      </c>
      <c r="G14" s="132">
        <f>B2B!G56</f>
        <v>0</v>
      </c>
      <c r="H14" s="132">
        <f>B2B!H56</f>
        <v>0</v>
      </c>
      <c r="I14" s="132">
        <f>B2B!I56</f>
        <v>0</v>
      </c>
      <c r="J14" s="171">
        <f>SUM(E14:I14)</f>
        <v>0</v>
      </c>
      <c r="K14" s="171">
        <f>IF(D14=0,C14+J14,D14+J14)</f>
        <v>340511</v>
      </c>
      <c r="L14" s="132">
        <f>B2B!L56</f>
        <v>356856</v>
      </c>
      <c r="M14" s="133">
        <f>B2B!M56</f>
        <v>373984</v>
      </c>
      <c r="N14" s="128"/>
    </row>
    <row r="15" spans="1:14" ht="12.75" customHeight="1" x14ac:dyDescent="0.25">
      <c r="A15" s="108" t="s">
        <v>619</v>
      </c>
      <c r="B15" s="73"/>
      <c r="C15" s="132">
        <f>B2B!C65</f>
        <v>519915</v>
      </c>
      <c r="D15" s="132">
        <f>B2B!D65</f>
        <v>519915</v>
      </c>
      <c r="E15" s="132">
        <f>B2B!E65</f>
        <v>0</v>
      </c>
      <c r="F15" s="132">
        <f>B2B!F65</f>
        <v>0</v>
      </c>
      <c r="G15" s="132">
        <f>B2B!G65</f>
        <v>0</v>
      </c>
      <c r="H15" s="132">
        <f>B2B!H65</f>
        <v>0</v>
      </c>
      <c r="I15" s="132">
        <f>B2B!I65</f>
        <v>0</v>
      </c>
      <c r="J15" s="171">
        <f>SUM(E15:I15)</f>
        <v>0</v>
      </c>
      <c r="K15" s="171">
        <f>IF(D15=0,C15+J15,D15+J15)</f>
        <v>519915</v>
      </c>
      <c r="L15" s="132">
        <f>B2B!L65</f>
        <v>544870</v>
      </c>
      <c r="M15" s="133">
        <f>B2B!M65</f>
        <v>571022</v>
      </c>
      <c r="N15" s="128"/>
    </row>
    <row r="16" spans="1:14" ht="12.75" customHeight="1" x14ac:dyDescent="0.25">
      <c r="A16" s="108" t="s">
        <v>620</v>
      </c>
      <c r="B16" s="73"/>
      <c r="C16" s="780">
        <f>B2B!C68</f>
        <v>3135</v>
      </c>
      <c r="D16" s="780">
        <f>B2B!D68</f>
        <v>3135</v>
      </c>
      <c r="E16" s="780">
        <f>B2B!E68</f>
        <v>0</v>
      </c>
      <c r="F16" s="780">
        <f>B2B!F68</f>
        <v>0</v>
      </c>
      <c r="G16" s="780">
        <f>B2B!G68</f>
        <v>0</v>
      </c>
      <c r="H16" s="780">
        <f>B2B!H68</f>
        <v>0</v>
      </c>
      <c r="I16" s="780">
        <f>B2B!I68</f>
        <v>0</v>
      </c>
      <c r="J16" s="171">
        <f>SUM(E16:I16)</f>
        <v>0</v>
      </c>
      <c r="K16" s="171">
        <f>IF(D16=0,C16+J16,D16+J16)</f>
        <v>3135</v>
      </c>
      <c r="L16" s="780">
        <f>B2B!L68</f>
        <v>3285</v>
      </c>
      <c r="M16" s="781">
        <f>B2B!M68</f>
        <v>3441</v>
      </c>
      <c r="N16" s="128"/>
    </row>
    <row r="17" spans="1:14" ht="12.75" customHeight="1" x14ac:dyDescent="0.25">
      <c r="A17" s="107" t="s">
        <v>621</v>
      </c>
      <c r="B17" s="73"/>
      <c r="C17" s="257">
        <f>SUM(C18:C20)</f>
        <v>143188134</v>
      </c>
      <c r="D17" s="257">
        <f t="shared" ref="D17:I17" si="3">SUM(D18:D20)</f>
        <v>143188134</v>
      </c>
      <c r="E17" s="257">
        <f t="shared" si="3"/>
        <v>0</v>
      </c>
      <c r="F17" s="257">
        <f t="shared" si="3"/>
        <v>0</v>
      </c>
      <c r="G17" s="257">
        <f t="shared" si="3"/>
        <v>0</v>
      </c>
      <c r="H17" s="257">
        <f t="shared" si="3"/>
        <v>0</v>
      </c>
      <c r="I17" s="257">
        <f t="shared" si="3"/>
        <v>-7286000</v>
      </c>
      <c r="J17" s="257">
        <f>SUM(J18:J20)</f>
        <v>-7286000</v>
      </c>
      <c r="K17" s="257">
        <f>SUM(K18:K20)</f>
        <v>135902134</v>
      </c>
      <c r="L17" s="257">
        <f>SUM(L18:L20)</f>
        <v>151109157</v>
      </c>
      <c r="M17" s="699">
        <f>SUM(M18:M20)</f>
        <v>158362386</v>
      </c>
      <c r="N17" s="128"/>
    </row>
    <row r="18" spans="1:14" ht="12.75" customHeight="1" x14ac:dyDescent="0.25">
      <c r="A18" s="108" t="s">
        <v>622</v>
      </c>
      <c r="B18" s="73"/>
      <c r="C18" s="132">
        <f>B2B!C77</f>
        <v>53905406</v>
      </c>
      <c r="D18" s="132">
        <f>B2B!D77</f>
        <v>53905406</v>
      </c>
      <c r="E18" s="132">
        <f>B2B!E77</f>
        <v>0</v>
      </c>
      <c r="F18" s="132">
        <f>B2B!F77</f>
        <v>0</v>
      </c>
      <c r="G18" s="132">
        <f>B2B!G77</f>
        <v>0</v>
      </c>
      <c r="H18" s="132">
        <f>B2B!H77</f>
        <v>0</v>
      </c>
      <c r="I18" s="132">
        <f>B2B!I77</f>
        <v>-3500000</v>
      </c>
      <c r="J18" s="171">
        <f>SUM(E18:I18)</f>
        <v>-3500000</v>
      </c>
      <c r="K18" s="171">
        <f>IF(D18=0,C18+J18,D18+J18)</f>
        <v>50405406</v>
      </c>
      <c r="L18" s="132">
        <f>B2B!L77</f>
        <v>57540861</v>
      </c>
      <c r="M18" s="133">
        <f>B2B!M77</f>
        <v>60302818</v>
      </c>
      <c r="N18" s="128"/>
    </row>
    <row r="19" spans="1:14" ht="12.75" customHeight="1" x14ac:dyDescent="0.25">
      <c r="A19" s="108" t="s">
        <v>623</v>
      </c>
      <c r="B19" s="73"/>
      <c r="C19" s="132">
        <f>B2B!C88</f>
        <v>87293975</v>
      </c>
      <c r="D19" s="132">
        <f>B2B!D88</f>
        <v>87293975</v>
      </c>
      <c r="E19" s="132">
        <f>B2B!E88</f>
        <v>0</v>
      </c>
      <c r="F19" s="132">
        <f>B2B!F88</f>
        <v>0</v>
      </c>
      <c r="G19" s="132">
        <f>B2B!G88</f>
        <v>0</v>
      </c>
      <c r="H19" s="132">
        <f>B2B!H88</f>
        <v>0</v>
      </c>
      <c r="I19" s="132">
        <f>B2B!I88</f>
        <v>-3786000</v>
      </c>
      <c r="J19" s="171">
        <f>SUM(E19:I19)</f>
        <v>-3786000</v>
      </c>
      <c r="K19" s="171">
        <f>IF(D19=0,C19+J19,D19+J19)</f>
        <v>83507975</v>
      </c>
      <c r="L19" s="132">
        <f>B2B!L88</f>
        <v>91484084</v>
      </c>
      <c r="M19" s="133">
        <f>B2B!M88</f>
        <v>95875314</v>
      </c>
      <c r="N19" s="128"/>
    </row>
    <row r="20" spans="1:14" ht="12.75" customHeight="1" x14ac:dyDescent="0.25">
      <c r="A20" s="108" t="s">
        <v>624</v>
      </c>
      <c r="B20" s="73"/>
      <c r="C20" s="132">
        <f>B2B!C93</f>
        <v>1988753</v>
      </c>
      <c r="D20" s="132">
        <f>B2B!D93</f>
        <v>1988753</v>
      </c>
      <c r="E20" s="132">
        <f>B2B!E93</f>
        <v>0</v>
      </c>
      <c r="F20" s="132">
        <f>B2B!F93</f>
        <v>0</v>
      </c>
      <c r="G20" s="132">
        <f>B2B!G93</f>
        <v>0</v>
      </c>
      <c r="H20" s="132">
        <f>B2B!H93</f>
        <v>0</v>
      </c>
      <c r="I20" s="132">
        <f>B2B!I93</f>
        <v>0</v>
      </c>
      <c r="J20" s="171">
        <f>SUM(E20:I20)</f>
        <v>0</v>
      </c>
      <c r="K20" s="171">
        <f>IF(D20=0,C20+J20,D20+J20)</f>
        <v>1988753</v>
      </c>
      <c r="L20" s="132">
        <f>B2B!L93</f>
        <v>2084212</v>
      </c>
      <c r="M20" s="133">
        <f>B2B!M93</f>
        <v>2184254</v>
      </c>
      <c r="N20" s="128"/>
    </row>
    <row r="21" spans="1:14" ht="12.75" customHeight="1" x14ac:dyDescent="0.25">
      <c r="A21" s="107" t="s">
        <v>625</v>
      </c>
      <c r="B21" s="73"/>
      <c r="C21" s="257">
        <f>SUM(C22:C25)</f>
        <v>1780203008</v>
      </c>
      <c r="D21" s="257">
        <f t="shared" ref="D21:M21" si="4">SUM(D22:D25)</f>
        <v>1780203008</v>
      </c>
      <c r="E21" s="257">
        <f t="shared" si="4"/>
        <v>0</v>
      </c>
      <c r="F21" s="257">
        <f t="shared" si="4"/>
        <v>0</v>
      </c>
      <c r="G21" s="257">
        <f t="shared" si="4"/>
        <v>0</v>
      </c>
      <c r="H21" s="257">
        <f t="shared" si="4"/>
        <v>0</v>
      </c>
      <c r="I21" s="257">
        <f t="shared" si="4"/>
        <v>-43000000</v>
      </c>
      <c r="J21" s="257">
        <f t="shared" si="4"/>
        <v>-43000000</v>
      </c>
      <c r="K21" s="257">
        <f t="shared" si="4"/>
        <v>1737203008</v>
      </c>
      <c r="L21" s="257">
        <f t="shared" si="4"/>
        <v>1942196651</v>
      </c>
      <c r="M21" s="699">
        <f t="shared" si="4"/>
        <v>2120385812</v>
      </c>
      <c r="N21" s="128"/>
    </row>
    <row r="22" spans="1:14" ht="12.75" customHeight="1" x14ac:dyDescent="0.25">
      <c r="A22" s="108" t="s">
        <v>1483</v>
      </c>
      <c r="B22" s="73"/>
      <c r="C22" s="132">
        <f>B2B!C101</f>
        <v>1234593773</v>
      </c>
      <c r="D22" s="132">
        <f>B2B!D101</f>
        <v>1234593773</v>
      </c>
      <c r="E22" s="132">
        <f>B2B!E101</f>
        <v>0</v>
      </c>
      <c r="F22" s="132">
        <f>B2B!F101</f>
        <v>0</v>
      </c>
      <c r="G22" s="132">
        <f>B2B!G101</f>
        <v>0</v>
      </c>
      <c r="H22" s="132">
        <f>B2B!H101</f>
        <v>0</v>
      </c>
      <c r="I22" s="132">
        <f>B2B!I101</f>
        <v>0</v>
      </c>
      <c r="J22" s="171">
        <f>SUM(E22:I22)</f>
        <v>0</v>
      </c>
      <c r="K22" s="171">
        <f>IF(D22=0,C22+J22,D22+J22)</f>
        <v>1234593773</v>
      </c>
      <c r="L22" s="132">
        <f>B2B!L101</f>
        <v>1370398176</v>
      </c>
      <c r="M22" s="133">
        <f>B2B!M101</f>
        <v>1521141016</v>
      </c>
      <c r="N22" s="128"/>
    </row>
    <row r="23" spans="1:14" ht="12.75" customHeight="1" x14ac:dyDescent="0.25">
      <c r="A23" s="108" t="s">
        <v>1484</v>
      </c>
      <c r="B23" s="73"/>
      <c r="C23" s="132">
        <f>B2B!C105</f>
        <v>296691354</v>
      </c>
      <c r="D23" s="132">
        <f>B2B!D105</f>
        <v>296691354</v>
      </c>
      <c r="E23" s="132">
        <f>B2B!E105</f>
        <v>0</v>
      </c>
      <c r="F23" s="132">
        <f>B2B!F105</f>
        <v>0</v>
      </c>
      <c r="G23" s="132">
        <f>B2B!G105</f>
        <v>0</v>
      </c>
      <c r="H23" s="132">
        <f>B2B!H105</f>
        <v>0</v>
      </c>
      <c r="I23" s="132">
        <f>B2B!I105</f>
        <v>-43000000</v>
      </c>
      <c r="J23" s="171">
        <f>SUM(E23:I23)</f>
        <v>-43000000</v>
      </c>
      <c r="K23" s="171">
        <f>IF(D23=0,C23+J23,D23+J23)</f>
        <v>253691354</v>
      </c>
      <c r="L23" s="132">
        <f>B2B!L105</f>
        <v>310932536</v>
      </c>
      <c r="M23" s="133">
        <f>B2B!M105</f>
        <v>325857295</v>
      </c>
      <c r="N23" s="128"/>
    </row>
    <row r="24" spans="1:14" ht="12.75" customHeight="1" x14ac:dyDescent="0.25">
      <c r="A24" s="108" t="s">
        <v>628</v>
      </c>
      <c r="B24" s="73"/>
      <c r="C24" s="780">
        <f>B2B!C109</f>
        <v>126898124</v>
      </c>
      <c r="D24" s="780">
        <f>B2B!D109</f>
        <v>126898124</v>
      </c>
      <c r="E24" s="132">
        <f>B2B!E109</f>
        <v>0</v>
      </c>
      <c r="F24" s="132">
        <f>B2B!F109</f>
        <v>0</v>
      </c>
      <c r="G24" s="132">
        <f>B2B!G109</f>
        <v>0</v>
      </c>
      <c r="H24" s="780">
        <f>B2B!H109</f>
        <v>0</v>
      </c>
      <c r="I24" s="780">
        <f>B2B!I109</f>
        <v>0</v>
      </c>
      <c r="J24" s="171">
        <f>SUM(E24:I24)</f>
        <v>0</v>
      </c>
      <c r="K24" s="171">
        <f>IF(D24=0,C24+J24,D24+J24)</f>
        <v>126898124</v>
      </c>
      <c r="L24" s="780">
        <f>B2B!L109</f>
        <v>132989234</v>
      </c>
      <c r="M24" s="781">
        <f>B2B!M109</f>
        <v>139372716</v>
      </c>
      <c r="N24" s="128"/>
    </row>
    <row r="25" spans="1:14" ht="12.75" customHeight="1" x14ac:dyDescent="0.25">
      <c r="A25" s="108" t="s">
        <v>629</v>
      </c>
      <c r="B25" s="73"/>
      <c r="C25" s="132">
        <f>B2B!C114</f>
        <v>122019757</v>
      </c>
      <c r="D25" s="132">
        <f>B2B!D114</f>
        <v>122019757</v>
      </c>
      <c r="E25" s="132">
        <f>B2B!E114</f>
        <v>0</v>
      </c>
      <c r="F25" s="132">
        <f>B2B!F114</f>
        <v>0</v>
      </c>
      <c r="G25" s="132">
        <f>B2B!G114</f>
        <v>0</v>
      </c>
      <c r="H25" s="132">
        <f>B2B!H114</f>
        <v>0</v>
      </c>
      <c r="I25" s="132">
        <f>B2B!I114</f>
        <v>0</v>
      </c>
      <c r="J25" s="171">
        <f>SUM(E25:I25)</f>
        <v>0</v>
      </c>
      <c r="K25" s="171">
        <f>IF(D25=0,C25+J25,D25+J25)</f>
        <v>122019757</v>
      </c>
      <c r="L25" s="132">
        <f>B2B!L114</f>
        <v>127876705</v>
      </c>
      <c r="M25" s="133">
        <f>B2B!M114</f>
        <v>134014785</v>
      </c>
      <c r="N25" s="128"/>
    </row>
    <row r="26" spans="1:14" ht="12.75" customHeight="1" x14ac:dyDescent="0.25">
      <c r="A26" s="107" t="s">
        <v>630</v>
      </c>
      <c r="B26" s="73"/>
      <c r="C26" s="257">
        <f>B2B!C119</f>
        <v>0</v>
      </c>
      <c r="D26" s="257">
        <f>B2B!D119</f>
        <v>0</v>
      </c>
      <c r="E26" s="257">
        <f>B2B!E119</f>
        <v>0</v>
      </c>
      <c r="F26" s="257">
        <f>B2B!F119</f>
        <v>0</v>
      </c>
      <c r="G26" s="257">
        <f>B2B!G119</f>
        <v>0</v>
      </c>
      <c r="H26" s="257">
        <f>B2B!H119</f>
        <v>0</v>
      </c>
      <c r="I26" s="257">
        <f>B2B!I119</f>
        <v>0</v>
      </c>
      <c r="J26" s="171">
        <f>SUM(E26:I26)</f>
        <v>0</v>
      </c>
      <c r="K26" s="693">
        <f>IF(D26=0,C26+J26,D26+J26)</f>
        <v>0</v>
      </c>
      <c r="L26" s="257">
        <f>B2B!L119</f>
        <v>0</v>
      </c>
      <c r="M26" s="699">
        <f>B2B!M119</f>
        <v>0</v>
      </c>
      <c r="N26" s="128"/>
    </row>
    <row r="27" spans="1:14" ht="12.75" customHeight="1" x14ac:dyDescent="0.25">
      <c r="A27" s="1225" t="str">
        <f>"Total "&amp;A6</f>
        <v>Total Revenue - Functional</v>
      </c>
      <c r="B27" s="79">
        <v>2</v>
      </c>
      <c r="C27" s="677">
        <f>C7+C11+C17+C21+C26</f>
        <v>4682577927</v>
      </c>
      <c r="D27" s="678">
        <f t="shared" ref="D27:M27" si="5">D7+D11+D17+D21+D26</f>
        <v>4736720927</v>
      </c>
      <c r="E27" s="678">
        <f t="shared" si="5"/>
        <v>0</v>
      </c>
      <c r="F27" s="678">
        <f t="shared" si="5"/>
        <v>0</v>
      </c>
      <c r="G27" s="678">
        <f t="shared" si="5"/>
        <v>0</v>
      </c>
      <c r="H27" s="678">
        <f t="shared" si="5"/>
        <v>100212533</v>
      </c>
      <c r="I27" s="678">
        <f t="shared" si="5"/>
        <v>-53786000</v>
      </c>
      <c r="J27" s="678">
        <f t="shared" si="5"/>
        <v>46426533</v>
      </c>
      <c r="K27" s="678">
        <f t="shared" si="5"/>
        <v>4783147460</v>
      </c>
      <c r="L27" s="678">
        <f t="shared" si="5"/>
        <v>4739753660.0251503</v>
      </c>
      <c r="M27" s="679">
        <f t="shared" si="5"/>
        <v>4974338783.705677</v>
      </c>
      <c r="N27" s="128"/>
    </row>
    <row r="28" spans="1:14" ht="5.0999999999999996" customHeight="1" x14ac:dyDescent="0.25">
      <c r="A28" s="277"/>
      <c r="B28" s="73"/>
      <c r="C28" s="74"/>
      <c r="D28" s="75"/>
      <c r="E28" s="75"/>
      <c r="F28" s="75"/>
      <c r="G28" s="75"/>
      <c r="H28" s="75"/>
      <c r="I28" s="75"/>
      <c r="J28" s="75"/>
      <c r="K28" s="75"/>
      <c r="L28" s="75"/>
      <c r="M28" s="76"/>
      <c r="N28" s="128"/>
    </row>
    <row r="29" spans="1:14" ht="12.75" customHeight="1" x14ac:dyDescent="0.25">
      <c r="A29" s="255" t="s">
        <v>1563</v>
      </c>
      <c r="B29" s="115"/>
      <c r="C29" s="74"/>
      <c r="D29" s="75"/>
      <c r="E29" s="75"/>
      <c r="F29" s="75"/>
      <c r="G29" s="75"/>
      <c r="H29" s="75"/>
      <c r="I29" s="75"/>
      <c r="J29" s="75"/>
      <c r="K29" s="75"/>
      <c r="L29" s="75"/>
      <c r="M29" s="76"/>
      <c r="N29" s="128"/>
    </row>
    <row r="30" spans="1:14" ht="12.75" customHeight="1" x14ac:dyDescent="0.25">
      <c r="A30" s="107" t="s">
        <v>613</v>
      </c>
      <c r="B30" s="73"/>
      <c r="C30" s="257">
        <f>SUM(C31:C33)</f>
        <v>1205471630</v>
      </c>
      <c r="D30" s="257">
        <f t="shared" ref="D30:I30" si="6">SUM(D31:D33)</f>
        <v>1222471630</v>
      </c>
      <c r="E30" s="257">
        <f t="shared" si="6"/>
        <v>0</v>
      </c>
      <c r="F30" s="257">
        <f t="shared" si="6"/>
        <v>0</v>
      </c>
      <c r="G30" s="257">
        <f t="shared" si="6"/>
        <v>0</v>
      </c>
      <c r="H30" s="257">
        <f t="shared" si="6"/>
        <v>37920670</v>
      </c>
      <c r="I30" s="257">
        <f t="shared" si="6"/>
        <v>51067391</v>
      </c>
      <c r="J30" s="257">
        <f>SUM(J31:J33)</f>
        <v>88988061</v>
      </c>
      <c r="K30" s="257">
        <f>SUM(K31:K33)</f>
        <v>1311459691</v>
      </c>
      <c r="L30" s="257">
        <f>SUM(L31:L33)</f>
        <v>1310525193.6649141</v>
      </c>
      <c r="M30" s="699">
        <f>SUM(M31:M33)</f>
        <v>1395722205.7914796</v>
      </c>
      <c r="N30" s="128"/>
    </row>
    <row r="31" spans="1:14" ht="12.75" customHeight="1" x14ac:dyDescent="0.25">
      <c r="A31" s="108" t="s">
        <v>614</v>
      </c>
      <c r="B31" s="73"/>
      <c r="C31" s="132">
        <f>B2B!C130</f>
        <v>383191111</v>
      </c>
      <c r="D31" s="132">
        <f>B2B!D130</f>
        <v>383191111</v>
      </c>
      <c r="E31" s="132">
        <f>B2B!E130</f>
        <v>0</v>
      </c>
      <c r="F31" s="132">
        <f>B2B!F130</f>
        <v>0</v>
      </c>
      <c r="G31" s="132">
        <f>B2B!G130</f>
        <v>0</v>
      </c>
      <c r="H31" s="132">
        <f>B2B!H130</f>
        <v>0</v>
      </c>
      <c r="I31" s="132">
        <f>B2B!I130</f>
        <v>23920000</v>
      </c>
      <c r="J31" s="171">
        <f>SUM(E31:I31)</f>
        <v>23920000</v>
      </c>
      <c r="K31" s="171">
        <f>IF(D31=0,C31+J31,D31+J31)</f>
        <v>407111111</v>
      </c>
      <c r="L31" s="132">
        <f>B2B!L130</f>
        <v>443744090</v>
      </c>
      <c r="M31" s="133">
        <f>B2B!M130</f>
        <v>501025376</v>
      </c>
      <c r="N31" s="128"/>
    </row>
    <row r="32" spans="1:14" ht="12.75" customHeight="1" x14ac:dyDescent="0.25">
      <c r="A32" s="108" t="s">
        <v>1481</v>
      </c>
      <c r="B32" s="73"/>
      <c r="C32" s="780">
        <f>B2B!C133</f>
        <v>810532652</v>
      </c>
      <c r="D32" s="780">
        <f>B2B!D133</f>
        <v>827532652</v>
      </c>
      <c r="E32" s="780">
        <f>B2B!E133</f>
        <v>0</v>
      </c>
      <c r="F32" s="780">
        <f>B2B!F133</f>
        <v>0</v>
      </c>
      <c r="G32" s="780">
        <f>B2B!G133</f>
        <v>0</v>
      </c>
      <c r="H32" s="780">
        <f>B2B!H133</f>
        <v>37920670</v>
      </c>
      <c r="I32" s="780">
        <f>B2B!I133</f>
        <v>27147395</v>
      </c>
      <c r="J32" s="171">
        <f>SUM(E32:I32)</f>
        <v>65068065</v>
      </c>
      <c r="K32" s="171">
        <f>IF(D32=0,C32+J32,D32+J32)</f>
        <v>892600717</v>
      </c>
      <c r="L32" s="780">
        <f>B2B!L133</f>
        <v>854353140.66491413</v>
      </c>
      <c r="M32" s="781">
        <f>B2B!M133</f>
        <v>881590835.79147959</v>
      </c>
      <c r="N32" s="128"/>
    </row>
    <row r="33" spans="1:14" ht="12.75" customHeight="1" x14ac:dyDescent="0.25">
      <c r="A33" s="108" t="s">
        <v>1482</v>
      </c>
      <c r="B33" s="73"/>
      <c r="C33" s="132">
        <f>B2B!C147</f>
        <v>11747867</v>
      </c>
      <c r="D33" s="132">
        <f>B2B!D147</f>
        <v>11747867</v>
      </c>
      <c r="E33" s="132">
        <f>B2B!E147</f>
        <v>0</v>
      </c>
      <c r="F33" s="132">
        <f>B2B!F147</f>
        <v>0</v>
      </c>
      <c r="G33" s="132">
        <f>B2B!G147</f>
        <v>0</v>
      </c>
      <c r="H33" s="132">
        <f>B2B!H147</f>
        <v>0</v>
      </c>
      <c r="I33" s="132">
        <f>B2B!I147</f>
        <v>-4</v>
      </c>
      <c r="J33" s="171">
        <f>SUM(E33:I33)</f>
        <v>-4</v>
      </c>
      <c r="K33" s="171">
        <f>IF(D33=0,C33+J33,D33+J33)</f>
        <v>11747863</v>
      </c>
      <c r="L33" s="132">
        <f>B2B!L147</f>
        <v>12427963</v>
      </c>
      <c r="M33" s="133">
        <f>B2B!M147</f>
        <v>13105994</v>
      </c>
      <c r="N33" s="128"/>
    </row>
    <row r="34" spans="1:14" ht="12.75" customHeight="1" x14ac:dyDescent="0.25">
      <c r="A34" s="107" t="s">
        <v>615</v>
      </c>
      <c r="B34" s="73"/>
      <c r="C34" s="257">
        <f>SUM(C35:C39)</f>
        <v>290602015</v>
      </c>
      <c r="D34" s="257">
        <f t="shared" ref="D34:I34" si="7">SUM(D35:D39)</f>
        <v>290602015</v>
      </c>
      <c r="E34" s="257">
        <f t="shared" si="7"/>
        <v>0</v>
      </c>
      <c r="F34" s="257">
        <f t="shared" si="7"/>
        <v>0</v>
      </c>
      <c r="G34" s="257">
        <f t="shared" si="7"/>
        <v>0</v>
      </c>
      <c r="H34" s="257">
        <f t="shared" si="7"/>
        <v>0</v>
      </c>
      <c r="I34" s="257">
        <f t="shared" si="7"/>
        <v>4354503</v>
      </c>
      <c r="J34" s="257">
        <f>SUM(J35:J39)</f>
        <v>4354503</v>
      </c>
      <c r="K34" s="257">
        <f>SUM(K35:K39)</f>
        <v>294956518</v>
      </c>
      <c r="L34" s="257">
        <f>SUM(L35:L39)</f>
        <v>298225734</v>
      </c>
      <c r="M34" s="699">
        <f>SUM(M35:M39)</f>
        <v>314843642</v>
      </c>
      <c r="N34" s="128"/>
    </row>
    <row r="35" spans="1:14" ht="12.75" customHeight="1" x14ac:dyDescent="0.25">
      <c r="A35" s="108" t="s">
        <v>616</v>
      </c>
      <c r="B35" s="73"/>
      <c r="C35" s="132">
        <f>B2B!C150</f>
        <v>77523564</v>
      </c>
      <c r="D35" s="132">
        <f>B2B!D150</f>
        <v>77523564</v>
      </c>
      <c r="E35" s="132">
        <f>B2B!E150</f>
        <v>0</v>
      </c>
      <c r="F35" s="132">
        <f>B2B!F150</f>
        <v>0</v>
      </c>
      <c r="G35" s="132">
        <f>B2B!G150</f>
        <v>0</v>
      </c>
      <c r="H35" s="132">
        <f>B2B!H150</f>
        <v>0</v>
      </c>
      <c r="I35" s="132">
        <f>B2B!I150</f>
        <v>2508803</v>
      </c>
      <c r="J35" s="171">
        <f>SUM(E35:I35)</f>
        <v>2508803</v>
      </c>
      <c r="K35" s="171">
        <f>IF(D35=0,C35+J35,D35+J35)</f>
        <v>80032367</v>
      </c>
      <c r="L35" s="132">
        <f>B2B!L150</f>
        <v>74302861</v>
      </c>
      <c r="M35" s="133">
        <f>B2B!M150</f>
        <v>78507478</v>
      </c>
      <c r="N35" s="128"/>
    </row>
    <row r="36" spans="1:14" ht="12.75" customHeight="1" x14ac:dyDescent="0.25">
      <c r="A36" s="108" t="s">
        <v>617</v>
      </c>
      <c r="B36" s="73"/>
      <c r="C36" s="132">
        <f>B2B!C172</f>
        <v>139720177</v>
      </c>
      <c r="D36" s="132">
        <f>B2B!D172</f>
        <v>139720177</v>
      </c>
      <c r="E36" s="132">
        <f>B2B!E172</f>
        <v>0</v>
      </c>
      <c r="F36" s="132">
        <f>B2B!F172</f>
        <v>0</v>
      </c>
      <c r="G36" s="132">
        <f>B2B!G172</f>
        <v>0</v>
      </c>
      <c r="H36" s="132">
        <f>B2B!H172</f>
        <v>0</v>
      </c>
      <c r="I36" s="132">
        <f>B2B!I172</f>
        <v>1003700</v>
      </c>
      <c r="J36" s="171">
        <f>SUM(E36:I36)</f>
        <v>1003700</v>
      </c>
      <c r="K36" s="171">
        <f>IF(D36=0,C36+J36,D36+J36)</f>
        <v>140723877</v>
      </c>
      <c r="L36" s="132">
        <f>B2B!L172</f>
        <v>146284904</v>
      </c>
      <c r="M36" s="133">
        <f>B2B!M172</f>
        <v>154288416</v>
      </c>
      <c r="N36" s="128"/>
    </row>
    <row r="37" spans="1:14" ht="12.75" customHeight="1" x14ac:dyDescent="0.25">
      <c r="A37" s="108" t="s">
        <v>618</v>
      </c>
      <c r="B37" s="73"/>
      <c r="C37" s="132">
        <f>B2B!C178</f>
        <v>54804168</v>
      </c>
      <c r="D37" s="132">
        <f>B2B!D178</f>
        <v>54804168</v>
      </c>
      <c r="E37" s="132">
        <f>B2B!E178</f>
        <v>0</v>
      </c>
      <c r="F37" s="132">
        <f>B2B!F178</f>
        <v>0</v>
      </c>
      <c r="G37" s="132">
        <f>B2B!G178</f>
        <v>0</v>
      </c>
      <c r="H37" s="132">
        <f>B2B!H178</f>
        <v>0</v>
      </c>
      <c r="I37" s="132">
        <f>B2B!I178</f>
        <v>700000</v>
      </c>
      <c r="J37" s="171">
        <f>SUM(E37:I37)</f>
        <v>700000</v>
      </c>
      <c r="K37" s="171">
        <f>IF(D37=0,C37+J37,D37+J37)</f>
        <v>55504168</v>
      </c>
      <c r="L37" s="132">
        <f>B2B!L178</f>
        <v>57998411</v>
      </c>
      <c r="M37" s="133">
        <f>B2B!M178</f>
        <v>61295389</v>
      </c>
      <c r="N37" s="128"/>
    </row>
    <row r="38" spans="1:14" ht="12.75" customHeight="1" x14ac:dyDescent="0.25">
      <c r="A38" s="108" t="s">
        <v>619</v>
      </c>
      <c r="B38" s="73"/>
      <c r="C38" s="132">
        <f>B2B!C187</f>
        <v>11549248</v>
      </c>
      <c r="D38" s="132">
        <f>B2B!D187</f>
        <v>11549248</v>
      </c>
      <c r="E38" s="132">
        <f>B2B!E187</f>
        <v>0</v>
      </c>
      <c r="F38" s="132">
        <f>B2B!F187</f>
        <v>0</v>
      </c>
      <c r="G38" s="132">
        <f>B2B!G187</f>
        <v>0</v>
      </c>
      <c r="H38" s="132">
        <f>B2B!H187</f>
        <v>0</v>
      </c>
      <c r="I38" s="132">
        <f>B2B!I187</f>
        <v>122000</v>
      </c>
      <c r="J38" s="171">
        <f>SUM(E38:I38)</f>
        <v>122000</v>
      </c>
      <c r="K38" s="171">
        <f>IF(D38=0,C38+J38,D38+J38)</f>
        <v>11671248</v>
      </c>
      <c r="L38" s="132">
        <f>B2B!L187</f>
        <v>12230382</v>
      </c>
      <c r="M38" s="133">
        <f>B2B!M187</f>
        <v>12921829</v>
      </c>
      <c r="N38" s="128"/>
    </row>
    <row r="39" spans="1:14" ht="12.75" customHeight="1" x14ac:dyDescent="0.25">
      <c r="A39" s="108" t="s">
        <v>620</v>
      </c>
      <c r="B39" s="73"/>
      <c r="C39" s="780">
        <f>B2B!C190</f>
        <v>7004858</v>
      </c>
      <c r="D39" s="780">
        <f>B2B!D190</f>
        <v>7004858</v>
      </c>
      <c r="E39" s="780">
        <f>B2B!E190</f>
        <v>0</v>
      </c>
      <c r="F39" s="780">
        <f>B2B!F190</f>
        <v>0</v>
      </c>
      <c r="G39" s="780">
        <f>B2B!G190</f>
        <v>0</v>
      </c>
      <c r="H39" s="780">
        <f>B2B!H190</f>
        <v>0</v>
      </c>
      <c r="I39" s="780">
        <f>B2B!I190</f>
        <v>20000</v>
      </c>
      <c r="J39" s="171">
        <f>SUM(E39:I39)</f>
        <v>20000</v>
      </c>
      <c r="K39" s="171">
        <f>IF(D39=0,C39+J39,D39+J39)</f>
        <v>7024858</v>
      </c>
      <c r="L39" s="780">
        <f>B2B!L190</f>
        <v>7409176</v>
      </c>
      <c r="M39" s="781">
        <f>B2B!M190</f>
        <v>7830530</v>
      </c>
      <c r="N39" s="128"/>
    </row>
    <row r="40" spans="1:14" ht="12.75" customHeight="1" x14ac:dyDescent="0.25">
      <c r="A40" s="107" t="s">
        <v>621</v>
      </c>
      <c r="B40" s="73"/>
      <c r="C40" s="257">
        <f>SUM(C41:C43)</f>
        <v>509516640</v>
      </c>
      <c r="D40" s="257">
        <f t="shared" ref="D40:I40" si="8">SUM(D41:D43)</f>
        <v>514016640</v>
      </c>
      <c r="E40" s="257">
        <f t="shared" si="8"/>
        <v>0</v>
      </c>
      <c r="F40" s="257">
        <f t="shared" si="8"/>
        <v>0</v>
      </c>
      <c r="G40" s="257">
        <f t="shared" si="8"/>
        <v>0</v>
      </c>
      <c r="H40" s="257">
        <f t="shared" si="8"/>
        <v>0</v>
      </c>
      <c r="I40" s="257">
        <f t="shared" si="8"/>
        <v>69097680</v>
      </c>
      <c r="J40" s="257">
        <f>SUM(J41:J43)</f>
        <v>69097680</v>
      </c>
      <c r="K40" s="257">
        <f>SUM(K41:K43)</f>
        <v>583114320</v>
      </c>
      <c r="L40" s="257">
        <f>SUM(L41:L43)</f>
        <v>531224413</v>
      </c>
      <c r="M40" s="699">
        <f>SUM(M41:M43)</f>
        <v>559303466</v>
      </c>
      <c r="N40" s="128"/>
    </row>
    <row r="41" spans="1:14" ht="12.75" customHeight="1" x14ac:dyDescent="0.25">
      <c r="A41" s="108" t="s">
        <v>622</v>
      </c>
      <c r="B41" s="73"/>
      <c r="C41" s="132">
        <f>B2B!C199</f>
        <v>115117318</v>
      </c>
      <c r="D41" s="132">
        <f>B2B!D199</f>
        <v>118617318</v>
      </c>
      <c r="E41" s="132">
        <f>B2B!E199</f>
        <v>0</v>
      </c>
      <c r="F41" s="132">
        <f>B2B!F199</f>
        <v>0</v>
      </c>
      <c r="G41" s="132">
        <f>B2B!G199</f>
        <v>0</v>
      </c>
      <c r="H41" s="132">
        <f>B2B!H199</f>
        <v>0</v>
      </c>
      <c r="I41" s="132">
        <f>B2B!I199</f>
        <v>-6380191</v>
      </c>
      <c r="J41" s="171">
        <f>SUM(E41:I41)</f>
        <v>-6380191</v>
      </c>
      <c r="K41" s="171">
        <f>IF(D41=0,C41+J41,D41+J41)</f>
        <v>112237127</v>
      </c>
      <c r="L41" s="132">
        <f>B2B!L199</f>
        <v>121725928</v>
      </c>
      <c r="M41" s="133">
        <f>B2B!M199</f>
        <v>128272547</v>
      </c>
      <c r="N41" s="128"/>
    </row>
    <row r="42" spans="1:14" ht="12.75" customHeight="1" x14ac:dyDescent="0.25">
      <c r="A42" s="108" t="s">
        <v>623</v>
      </c>
      <c r="B42" s="73"/>
      <c r="C42" s="132">
        <f>B2B!C210</f>
        <v>371330938</v>
      </c>
      <c r="D42" s="132">
        <f>B2B!D210</f>
        <v>372330938</v>
      </c>
      <c r="E42" s="132">
        <f>B2B!E210</f>
        <v>0</v>
      </c>
      <c r="F42" s="132">
        <f>B2B!F210</f>
        <v>0</v>
      </c>
      <c r="G42" s="132">
        <f>B2B!G210</f>
        <v>0</v>
      </c>
      <c r="H42" s="132">
        <f>B2B!H210</f>
        <v>0</v>
      </c>
      <c r="I42" s="132">
        <f>B2B!I210</f>
        <v>73967871</v>
      </c>
      <c r="J42" s="171">
        <f>SUM(E42:I42)</f>
        <v>73967871</v>
      </c>
      <c r="K42" s="171">
        <f>IF(D42=0,C42+J42,D42+J42)</f>
        <v>446298809</v>
      </c>
      <c r="L42" s="132">
        <f>B2B!L210</f>
        <v>385551618</v>
      </c>
      <c r="M42" s="133">
        <f>B2B!M210</f>
        <v>405768830</v>
      </c>
      <c r="N42" s="128"/>
    </row>
    <row r="43" spans="1:14" ht="12.75" customHeight="1" x14ac:dyDescent="0.25">
      <c r="A43" s="108" t="s">
        <v>624</v>
      </c>
      <c r="B43" s="73"/>
      <c r="C43" s="132">
        <f>B2B!C215</f>
        <v>23068384</v>
      </c>
      <c r="D43" s="132">
        <f>B2B!D215</f>
        <v>23068384</v>
      </c>
      <c r="E43" s="132">
        <f>B2B!E215</f>
        <v>0</v>
      </c>
      <c r="F43" s="132">
        <f>B2B!F215</f>
        <v>0</v>
      </c>
      <c r="G43" s="132">
        <f>B2B!G215</f>
        <v>0</v>
      </c>
      <c r="H43" s="132">
        <f>B2B!H215</f>
        <v>0</v>
      </c>
      <c r="I43" s="132">
        <f>B2B!I215</f>
        <v>1510000</v>
      </c>
      <c r="J43" s="171">
        <f>SUM(E43:I43)</f>
        <v>1510000</v>
      </c>
      <c r="K43" s="171">
        <f>IF(D43=0,C43+J43,D43+J43)</f>
        <v>24578384</v>
      </c>
      <c r="L43" s="132">
        <f>B2B!L215</f>
        <v>23946867</v>
      </c>
      <c r="M43" s="133">
        <f>B2B!M215</f>
        <v>25262089</v>
      </c>
      <c r="N43" s="128"/>
    </row>
    <row r="44" spans="1:14" ht="12.75" customHeight="1" x14ac:dyDescent="0.25">
      <c r="A44" s="107" t="s">
        <v>625</v>
      </c>
      <c r="B44" s="73"/>
      <c r="C44" s="257">
        <f>SUM(C45:C48)</f>
        <v>1673876853</v>
      </c>
      <c r="D44" s="257">
        <f t="shared" ref="D44:M44" si="9">SUM(D45:D48)</f>
        <v>1676876851</v>
      </c>
      <c r="E44" s="257">
        <f t="shared" si="9"/>
        <v>0</v>
      </c>
      <c r="F44" s="257">
        <f t="shared" si="9"/>
        <v>0</v>
      </c>
      <c r="G44" s="257">
        <f t="shared" si="9"/>
        <v>0</v>
      </c>
      <c r="H44" s="257">
        <f t="shared" si="9"/>
        <v>0</v>
      </c>
      <c r="I44" s="257">
        <f t="shared" si="9"/>
        <v>47360817</v>
      </c>
      <c r="J44" s="257">
        <f t="shared" si="9"/>
        <v>47360817</v>
      </c>
      <c r="K44" s="257">
        <f t="shared" si="9"/>
        <v>1724237668</v>
      </c>
      <c r="L44" s="257">
        <f t="shared" si="9"/>
        <v>1791531457.125</v>
      </c>
      <c r="M44" s="699">
        <f t="shared" si="9"/>
        <v>1910997899.038125</v>
      </c>
      <c r="N44" s="128"/>
    </row>
    <row r="45" spans="1:14" ht="12.75" customHeight="1" x14ac:dyDescent="0.25">
      <c r="A45" s="108" t="s">
        <v>1483</v>
      </c>
      <c r="B45" s="73"/>
      <c r="C45" s="132">
        <f>B2B!C223</f>
        <v>1020858225</v>
      </c>
      <c r="D45" s="132">
        <f>B2B!D223</f>
        <v>1000858223</v>
      </c>
      <c r="E45" s="132">
        <f>B2B!E223</f>
        <v>0</v>
      </c>
      <c r="F45" s="132">
        <f>B2B!F223</f>
        <v>0</v>
      </c>
      <c r="G45" s="132">
        <f>B2B!G223</f>
        <v>0</v>
      </c>
      <c r="H45" s="132">
        <f>B2B!H223</f>
        <v>0</v>
      </c>
      <c r="I45" s="132">
        <f>B2B!I223</f>
        <v>-35416109</v>
      </c>
      <c r="J45" s="171">
        <f>SUM(E45:I45)</f>
        <v>-35416109</v>
      </c>
      <c r="K45" s="171">
        <f>IF(D45=0,C45+J45,D45+J45)</f>
        <v>965442114</v>
      </c>
      <c r="L45" s="132">
        <f>B2B!L223</f>
        <v>1071910646.65</v>
      </c>
      <c r="M45" s="133">
        <f>B2B!M223</f>
        <v>1129760176.2472501</v>
      </c>
      <c r="N45" s="128"/>
    </row>
    <row r="46" spans="1:14" ht="12.75" customHeight="1" x14ac:dyDescent="0.25">
      <c r="A46" s="108" t="s">
        <v>1484</v>
      </c>
      <c r="B46" s="73"/>
      <c r="C46" s="132">
        <f>B2B!C227</f>
        <v>488595720</v>
      </c>
      <c r="D46" s="132">
        <f>B2B!D227</f>
        <v>511595720</v>
      </c>
      <c r="E46" s="132">
        <f>B2B!E227</f>
        <v>0</v>
      </c>
      <c r="F46" s="132">
        <f>B2B!F227</f>
        <v>0</v>
      </c>
      <c r="G46" s="132">
        <f>B2B!G227</f>
        <v>0</v>
      </c>
      <c r="H46" s="132">
        <f>B2B!H227</f>
        <v>0</v>
      </c>
      <c r="I46" s="132">
        <f>B2B!I227</f>
        <v>53335732</v>
      </c>
      <c r="J46" s="171">
        <f>SUM(E46:I46)</f>
        <v>53335732</v>
      </c>
      <c r="K46" s="171">
        <f>IF(D46=0,C46+J46,D46+J46)</f>
        <v>564931452</v>
      </c>
      <c r="L46" s="132">
        <f>B2B!L227</f>
        <v>532778248.47500002</v>
      </c>
      <c r="M46" s="133">
        <f>B2B!M227</f>
        <v>564272918.79087496</v>
      </c>
      <c r="N46" s="128"/>
    </row>
    <row r="47" spans="1:14" ht="12.75" customHeight="1" x14ac:dyDescent="0.25">
      <c r="A47" s="108" t="s">
        <v>628</v>
      </c>
      <c r="B47" s="73"/>
      <c r="C47" s="780">
        <f>B2B!C231</f>
        <v>50741273</v>
      </c>
      <c r="D47" s="780">
        <f>B2B!D231</f>
        <v>50741273</v>
      </c>
      <c r="E47" s="132">
        <f>B2B!E231</f>
        <v>0</v>
      </c>
      <c r="F47" s="132">
        <f>B2B!F231</f>
        <v>0</v>
      </c>
      <c r="G47" s="132">
        <f>B2B!G231</f>
        <v>0</v>
      </c>
      <c r="H47" s="780">
        <f>B2B!H231</f>
        <v>0</v>
      </c>
      <c r="I47" s="780">
        <f>B2B!I231</f>
        <v>5299994</v>
      </c>
      <c r="J47" s="171">
        <f>SUM(E47:I47)</f>
        <v>5299994</v>
      </c>
      <c r="K47" s="171">
        <f>IF(D47=0,C47+J47,D47+J47)</f>
        <v>56041267</v>
      </c>
      <c r="L47" s="780">
        <f>B2B!L231</f>
        <v>71487949</v>
      </c>
      <c r="M47" s="781">
        <f>B2B!M231</f>
        <v>95563173</v>
      </c>
      <c r="N47" s="128"/>
    </row>
    <row r="48" spans="1:14" ht="12.75" customHeight="1" x14ac:dyDescent="0.25">
      <c r="A48" s="108" t="s">
        <v>629</v>
      </c>
      <c r="B48" s="73"/>
      <c r="C48" s="132">
        <f>B2B!C236</f>
        <v>113681635</v>
      </c>
      <c r="D48" s="132">
        <f>B2B!D236</f>
        <v>113681635</v>
      </c>
      <c r="E48" s="132">
        <f>B2B!E236</f>
        <v>0</v>
      </c>
      <c r="F48" s="132">
        <f>B2B!F236</f>
        <v>0</v>
      </c>
      <c r="G48" s="132">
        <f>B2B!G236</f>
        <v>0</v>
      </c>
      <c r="H48" s="132">
        <f>B2B!H236</f>
        <v>0</v>
      </c>
      <c r="I48" s="132">
        <f>B2B!I236</f>
        <v>24141200</v>
      </c>
      <c r="J48" s="171">
        <f>SUM(E48:I48)</f>
        <v>24141200</v>
      </c>
      <c r="K48" s="171">
        <f>IF(D48=0,C48+J48,D48+J48)</f>
        <v>137822835</v>
      </c>
      <c r="L48" s="132">
        <f>B2B!L236</f>
        <v>115354613</v>
      </c>
      <c r="M48" s="133">
        <f>B2B!M236</f>
        <v>121401631</v>
      </c>
      <c r="N48" s="128"/>
    </row>
    <row r="49" spans="1:14" ht="12.75" customHeight="1" x14ac:dyDescent="0.25">
      <c r="A49" s="107" t="s">
        <v>630</v>
      </c>
      <c r="B49" s="73"/>
      <c r="C49" s="257">
        <f>B2B!C241</f>
        <v>0</v>
      </c>
      <c r="D49" s="257">
        <f>B2B!D241</f>
        <v>0</v>
      </c>
      <c r="E49" s="257">
        <f>B2B!E241</f>
        <v>0</v>
      </c>
      <c r="F49" s="257">
        <f>B2B!F241</f>
        <v>0</v>
      </c>
      <c r="G49" s="257">
        <f>B2B!G241</f>
        <v>0</v>
      </c>
      <c r="H49" s="257">
        <f>B2B!H241</f>
        <v>0</v>
      </c>
      <c r="I49" s="257">
        <f>B2B!I241</f>
        <v>0</v>
      </c>
      <c r="J49" s="171">
        <f>SUM(E49:I49)</f>
        <v>0</v>
      </c>
      <c r="K49" s="693">
        <f>IF(D49=0,C49+J49,D49+J49)</f>
        <v>0</v>
      </c>
      <c r="L49" s="257">
        <f>B2B!L241</f>
        <v>0</v>
      </c>
      <c r="M49" s="874">
        <f>B2B!M241</f>
        <v>0</v>
      </c>
      <c r="N49" s="128"/>
    </row>
    <row r="50" spans="1:14" ht="12.75" customHeight="1" x14ac:dyDescent="0.25">
      <c r="A50" s="1225" t="str">
        <f>"Total "&amp;A29</f>
        <v>Total Expenditure - Functional</v>
      </c>
      <c r="B50" s="79">
        <v>3</v>
      </c>
      <c r="C50" s="680">
        <f>C30+C34+C40+C44+C49</f>
        <v>3679467138</v>
      </c>
      <c r="D50" s="678">
        <f t="shared" ref="D50:M50" si="10">D30+D34+D40+D44+D49</f>
        <v>3703967136</v>
      </c>
      <c r="E50" s="678">
        <f t="shared" si="10"/>
        <v>0</v>
      </c>
      <c r="F50" s="678">
        <f t="shared" si="10"/>
        <v>0</v>
      </c>
      <c r="G50" s="678">
        <f t="shared" si="10"/>
        <v>0</v>
      </c>
      <c r="H50" s="678">
        <f t="shared" si="10"/>
        <v>37920670</v>
      </c>
      <c r="I50" s="678">
        <f t="shared" si="10"/>
        <v>171880391</v>
      </c>
      <c r="J50" s="678">
        <f t="shared" si="10"/>
        <v>209801061</v>
      </c>
      <c r="K50" s="678">
        <f t="shared" si="10"/>
        <v>3913768197</v>
      </c>
      <c r="L50" s="678">
        <f t="shared" si="10"/>
        <v>3931506797.7899141</v>
      </c>
      <c r="M50" s="679">
        <f t="shared" si="10"/>
        <v>4180867212.8296046</v>
      </c>
      <c r="N50" s="128"/>
    </row>
    <row r="51" spans="1:14" ht="12.75" customHeight="1" x14ac:dyDescent="0.25">
      <c r="A51" s="87" t="s">
        <v>573</v>
      </c>
      <c r="B51" s="88"/>
      <c r="C51" s="116">
        <f t="shared" ref="C51:M51" si="11">C27-C50</f>
        <v>1003110789</v>
      </c>
      <c r="D51" s="117">
        <f t="shared" si="11"/>
        <v>1032753791</v>
      </c>
      <c r="E51" s="117">
        <f t="shared" si="11"/>
        <v>0</v>
      </c>
      <c r="F51" s="117">
        <f t="shared" si="11"/>
        <v>0</v>
      </c>
      <c r="G51" s="117">
        <f t="shared" si="11"/>
        <v>0</v>
      </c>
      <c r="H51" s="117">
        <f t="shared" si="11"/>
        <v>62291863</v>
      </c>
      <c r="I51" s="117">
        <f t="shared" si="11"/>
        <v>-225666391</v>
      </c>
      <c r="J51" s="117">
        <f t="shared" si="11"/>
        <v>-163374528</v>
      </c>
      <c r="K51" s="117">
        <f t="shared" si="11"/>
        <v>869379263</v>
      </c>
      <c r="L51" s="117">
        <f t="shared" si="11"/>
        <v>808246862.23523617</v>
      </c>
      <c r="M51" s="118">
        <f t="shared" si="11"/>
        <v>793471570.87607241</v>
      </c>
      <c r="N51" s="128"/>
    </row>
    <row r="52" spans="1:14" ht="12.75" customHeight="1" x14ac:dyDescent="0.25">
      <c r="A52" s="119" t="str">
        <f>head27a</f>
        <v>References</v>
      </c>
      <c r="B52" s="93"/>
      <c r="C52" s="96"/>
      <c r="D52" s="96"/>
      <c r="E52" s="96"/>
      <c r="F52" s="96"/>
      <c r="G52" s="96"/>
      <c r="H52" s="96"/>
      <c r="I52" s="96"/>
      <c r="J52" s="96"/>
      <c r="K52" s="96"/>
      <c r="L52" s="96"/>
      <c r="M52" s="96"/>
    </row>
    <row r="53" spans="1:14" ht="12.75" customHeight="1" x14ac:dyDescent="0.25">
      <c r="A53" s="120" t="s">
        <v>631</v>
      </c>
      <c r="B53" s="93"/>
      <c r="C53" s="96"/>
      <c r="D53" s="96"/>
      <c r="E53" s="96"/>
      <c r="F53" s="96"/>
      <c r="G53" s="96"/>
      <c r="H53" s="96"/>
      <c r="I53" s="96"/>
      <c r="J53" s="96"/>
      <c r="K53" s="96"/>
      <c r="L53" s="96"/>
      <c r="M53" s="96"/>
    </row>
    <row r="54" spans="1:14" ht="12.75" customHeight="1" x14ac:dyDescent="0.25">
      <c r="A54" s="95" t="s">
        <v>1022</v>
      </c>
      <c r="B54" s="93"/>
      <c r="C54" s="96"/>
      <c r="D54" s="96"/>
      <c r="E54" s="96"/>
      <c r="F54" s="96"/>
      <c r="G54" s="94"/>
      <c r="H54" s="96"/>
      <c r="I54" s="96"/>
      <c r="J54" s="96"/>
      <c r="K54" s="96"/>
      <c r="L54" s="96"/>
      <c r="M54" s="96"/>
    </row>
    <row r="55" spans="1:14" ht="12.75" customHeight="1" x14ac:dyDescent="0.25">
      <c r="A55" s="1411" t="s">
        <v>1023</v>
      </c>
      <c r="B55" s="1411"/>
      <c r="C55" s="1411"/>
      <c r="D55" s="1412"/>
      <c r="E55" s="1412"/>
      <c r="F55" s="1412"/>
      <c r="G55" s="1412"/>
      <c r="H55" s="1412"/>
      <c r="I55" s="1412"/>
      <c r="J55" s="1412"/>
      <c r="K55" s="1412"/>
      <c r="L55" s="1412"/>
      <c r="M55" s="1412"/>
    </row>
    <row r="56" spans="1:14" ht="24" customHeight="1" x14ac:dyDescent="0.25">
      <c r="A56" s="1413" t="s">
        <v>1024</v>
      </c>
      <c r="B56" s="1413"/>
      <c r="C56" s="1413"/>
      <c r="D56" s="1414"/>
      <c r="E56" s="1414"/>
      <c r="F56" s="1414"/>
      <c r="G56" s="1414"/>
      <c r="H56" s="1414"/>
      <c r="I56" s="1414"/>
      <c r="J56" s="1414"/>
      <c r="K56" s="1414"/>
      <c r="L56" s="681"/>
      <c r="M56" s="681"/>
    </row>
    <row r="57" spans="1:14" ht="12.75" customHeight="1" x14ac:dyDescent="0.25">
      <c r="A57" s="1408" t="s">
        <v>987</v>
      </c>
      <c r="B57" s="1408"/>
      <c r="C57" s="1408"/>
      <c r="D57" s="1408"/>
      <c r="E57" s="1408"/>
      <c r="F57" s="1408"/>
      <c r="G57" s="1408"/>
      <c r="H57" s="1408"/>
      <c r="I57" s="1408"/>
      <c r="J57" s="1408"/>
      <c r="K57" s="1408"/>
      <c r="L57" s="1408"/>
      <c r="M57" s="1408"/>
    </row>
    <row r="58" spans="1:14" ht="26.25" customHeight="1" x14ac:dyDescent="0.25">
      <c r="A58" s="1408" t="s">
        <v>1027</v>
      </c>
      <c r="B58" s="1408"/>
      <c r="C58" s="1408"/>
      <c r="D58" s="1408"/>
      <c r="E58" s="1408"/>
      <c r="F58" s="1408"/>
      <c r="G58" s="1408"/>
      <c r="H58" s="1408"/>
      <c r="I58" s="1408"/>
      <c r="J58" s="1408"/>
      <c r="K58" s="1408"/>
      <c r="L58" s="1408"/>
      <c r="M58" s="1408"/>
    </row>
    <row r="59" spans="1:14" ht="12.75" customHeight="1" x14ac:dyDescent="0.25">
      <c r="A59" s="1402" t="s">
        <v>1028</v>
      </c>
      <c r="B59" s="1402"/>
      <c r="C59" s="1402"/>
      <c r="D59" s="1402"/>
      <c r="E59" s="1402"/>
      <c r="F59" s="1402"/>
      <c r="G59" s="1402"/>
      <c r="H59" s="1402"/>
      <c r="I59" s="1402"/>
      <c r="J59" s="1402"/>
      <c r="K59" s="1402"/>
      <c r="L59" s="1402"/>
      <c r="M59" s="1402"/>
    </row>
    <row r="60" spans="1:14" ht="12.75" customHeight="1" x14ac:dyDescent="0.25">
      <c r="A60" s="1402" t="s">
        <v>1029</v>
      </c>
      <c r="B60" s="1402"/>
      <c r="C60" s="1402"/>
      <c r="D60" s="1402"/>
      <c r="E60" s="1402"/>
      <c r="F60" s="1402"/>
      <c r="G60" s="1402"/>
      <c r="H60" s="1402"/>
      <c r="I60" s="1402"/>
      <c r="J60" s="1402"/>
      <c r="K60" s="1402"/>
      <c r="L60" s="1402"/>
      <c r="M60" s="1402"/>
    </row>
    <row r="61" spans="1:14" ht="12.75" customHeight="1" x14ac:dyDescent="0.25">
      <c r="A61" s="99" t="s">
        <v>1025</v>
      </c>
      <c r="B61" s="93"/>
      <c r="C61" s="96"/>
      <c r="D61" s="96"/>
      <c r="E61" s="96"/>
      <c r="F61" s="96"/>
      <c r="G61" s="96"/>
      <c r="H61" s="96"/>
      <c r="I61" s="96"/>
      <c r="J61" s="96"/>
      <c r="K61" s="96"/>
      <c r="L61" s="96"/>
      <c r="M61" s="96"/>
    </row>
    <row r="62" spans="1:14" ht="25.5" customHeight="1" x14ac:dyDescent="0.25">
      <c r="A62" s="1402" t="s">
        <v>1026</v>
      </c>
      <c r="B62" s="1402"/>
      <c r="C62" s="1402"/>
      <c r="D62" s="1402"/>
      <c r="E62" s="1402"/>
      <c r="F62" s="1402"/>
      <c r="G62" s="1402"/>
      <c r="H62" s="1402"/>
      <c r="I62" s="1402"/>
      <c r="J62" s="1402"/>
      <c r="K62" s="1402"/>
      <c r="L62" s="1402"/>
      <c r="M62" s="1402"/>
    </row>
    <row r="63" spans="1:14" ht="12.75" customHeight="1" x14ac:dyDescent="0.25">
      <c r="A63" s="99" t="s">
        <v>636</v>
      </c>
      <c r="B63" s="93"/>
      <c r="C63" s="96"/>
      <c r="D63" s="96"/>
      <c r="E63" s="96"/>
      <c r="F63" s="96"/>
      <c r="G63" s="96"/>
      <c r="H63" s="96"/>
      <c r="I63" s="96"/>
      <c r="J63" s="96"/>
      <c r="K63" s="96"/>
      <c r="L63" s="96"/>
      <c r="M63" s="96"/>
    </row>
    <row r="64" spans="1:14" ht="12.75" customHeight="1" x14ac:dyDescent="0.25">
      <c r="A64" s="1402" t="s">
        <v>637</v>
      </c>
      <c r="B64" s="1402"/>
      <c r="C64" s="1402"/>
      <c r="D64" s="1402"/>
      <c r="E64" s="1402"/>
      <c r="F64" s="1402"/>
      <c r="G64" s="1402"/>
      <c r="H64" s="1402"/>
      <c r="I64" s="1402"/>
      <c r="J64" s="1402"/>
      <c r="K64" s="1402"/>
      <c r="L64" s="1402"/>
      <c r="M64" s="1402"/>
    </row>
    <row r="65" spans="1:13" ht="12.75" customHeight="1" x14ac:dyDescent="0.25">
      <c r="A65" s="48"/>
      <c r="B65" s="121"/>
      <c r="C65" s="53"/>
      <c r="D65" s="53"/>
      <c r="E65" s="53"/>
      <c r="F65" s="53"/>
      <c r="G65" s="53"/>
      <c r="H65" s="53"/>
      <c r="I65" s="53"/>
      <c r="J65" s="53"/>
      <c r="K65" s="53"/>
      <c r="L65" s="53"/>
      <c r="M65" s="53"/>
    </row>
    <row r="66" spans="1:13" ht="12.75" customHeight="1" x14ac:dyDescent="0.25">
      <c r="A66" s="122"/>
      <c r="B66" s="93"/>
      <c r="C66" s="123"/>
      <c r="D66" s="123"/>
      <c r="E66" s="123"/>
      <c r="F66" s="123"/>
      <c r="G66" s="123"/>
      <c r="H66" s="123"/>
      <c r="I66" s="123"/>
      <c r="J66" s="123"/>
      <c r="K66" s="123"/>
      <c r="L66" s="123"/>
      <c r="M66" s="123"/>
    </row>
    <row r="67" spans="1:13" ht="12.75" customHeight="1" x14ac:dyDescent="0.25">
      <c r="A67" s="122"/>
      <c r="B67" s="93"/>
      <c r="C67" s="123"/>
      <c r="D67" s="123"/>
      <c r="E67" s="123"/>
      <c r="F67" s="123"/>
      <c r="G67" s="123"/>
      <c r="H67" s="123"/>
      <c r="I67" s="123"/>
      <c r="J67" s="123"/>
      <c r="K67" s="123"/>
      <c r="L67" s="123"/>
      <c r="M67" s="123"/>
    </row>
    <row r="68" spans="1:13" ht="11.25" customHeight="1" x14ac:dyDescent="0.25"/>
    <row r="69" spans="1:13" ht="11.25" customHeight="1" x14ac:dyDescent="0.25"/>
    <row r="70" spans="1:13" ht="11.25" customHeight="1" x14ac:dyDescent="0.25"/>
    <row r="71" spans="1:13" ht="11.25" customHeight="1" x14ac:dyDescent="0.25"/>
    <row r="72" spans="1:13" ht="11.25" customHeight="1" x14ac:dyDescent="0.25"/>
    <row r="73" spans="1:13" ht="11.25" customHeight="1" x14ac:dyDescent="0.25"/>
    <row r="74" spans="1:13" ht="11.25" customHeight="1" x14ac:dyDescent="0.25"/>
    <row r="75" spans="1:13" ht="11.25" customHeight="1" x14ac:dyDescent="0.25"/>
    <row r="76" spans="1:13" ht="11.25" customHeight="1" x14ac:dyDescent="0.25"/>
    <row r="77" spans="1:13" ht="11.25" customHeight="1" x14ac:dyDescent="0.25"/>
    <row r="78" spans="1:13" ht="11.25" customHeight="1" x14ac:dyDescent="0.25"/>
    <row r="79" spans="1:13" ht="11.25" customHeight="1" x14ac:dyDescent="0.25"/>
    <row r="80" spans="1:13" ht="11.25" customHeight="1" x14ac:dyDescent="0.25"/>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row r="87" ht="11.25" customHeight="1" x14ac:dyDescent="0.25"/>
    <row r="88" ht="11.25" customHeight="1" x14ac:dyDescent="0.25"/>
    <row r="89" ht="11.25" customHeight="1" x14ac:dyDescent="0.25"/>
    <row r="90" ht="11.25" customHeight="1" x14ac:dyDescent="0.25"/>
    <row r="91" ht="11.25" customHeight="1" x14ac:dyDescent="0.25"/>
    <row r="92" ht="11.25" customHeight="1" x14ac:dyDescent="0.25"/>
    <row r="93" ht="11.25" customHeight="1" x14ac:dyDescent="0.25"/>
    <row r="94" ht="11.25" customHeight="1" x14ac:dyDescent="0.25"/>
    <row r="95" ht="11.25" customHeight="1" x14ac:dyDescent="0.25"/>
    <row r="96" ht="11.25" customHeight="1" x14ac:dyDescent="0.25"/>
    <row r="97" ht="11.25" customHeight="1" x14ac:dyDescent="0.25"/>
    <row r="98" ht="11.25" customHeight="1" x14ac:dyDescent="0.25"/>
    <row r="99" ht="11.25" customHeight="1" x14ac:dyDescent="0.25"/>
    <row r="100" ht="11.25" customHeight="1" x14ac:dyDescent="0.25"/>
    <row r="101" ht="11.25" customHeight="1" x14ac:dyDescent="0.25"/>
  </sheetData>
  <sheetProtection password="C646" sheet="1" objects="1" scenarios="1"/>
  <mergeCells count="11">
    <mergeCell ref="A64:M64"/>
    <mergeCell ref="A59:M59"/>
    <mergeCell ref="A60:M60"/>
    <mergeCell ref="A62:M62"/>
    <mergeCell ref="A2:A3"/>
    <mergeCell ref="B2:B3"/>
    <mergeCell ref="A57:M57"/>
    <mergeCell ref="A58:M58"/>
    <mergeCell ref="A55:M55"/>
    <mergeCell ref="C2:K2"/>
    <mergeCell ref="A56:K56"/>
  </mergeCells>
  <phoneticPr fontId="4" type="noConversion"/>
  <printOptions horizontalCentered="1"/>
  <pageMargins left="0.4" right="0.16" top="0.75" bottom="0.77" header="0.51181102362204722" footer="0.51181102362204722"/>
  <pageSetup paperSize="9" scale="76" orientation="portrait" r:id="rId1"/>
  <headerFooter alignWithMargins="0"/>
  <ignoredErrors>
    <ignoredError sqref="J34 J40 J28:J30 J11 K11:K21 K22:K26 K28:K44 J17 J21 J44"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44"/>
  </sheetPr>
  <dimension ref="A1:N273"/>
  <sheetViews>
    <sheetView showGridLines="0" workbookViewId="0">
      <pane xSplit="2" ySplit="5" topLeftCell="C183" activePane="bottomRight" state="frozen"/>
      <selection activeCell="C6" sqref="C6"/>
      <selection pane="topRight" activeCell="C6" sqref="C6"/>
      <selection pane="bottomLeft" activeCell="C6" sqref="C6"/>
      <selection pane="bottomRight" activeCell="S199" sqref="S199"/>
    </sheetView>
  </sheetViews>
  <sheetFormatPr defaultRowHeight="12.75" x14ac:dyDescent="0.2"/>
  <cols>
    <col min="1" max="1" width="43.140625" customWidth="1"/>
    <col min="2" max="2" width="3.85546875" customWidth="1"/>
    <col min="4" max="9" width="8.85546875" customWidth="1"/>
    <col min="10" max="11" width="9.140625" style="815" customWidth="1"/>
  </cols>
  <sheetData>
    <row r="1" spans="1:14" x14ac:dyDescent="0.2">
      <c r="A1" s="57" t="str">
        <f>muni&amp;" - "&amp;_ADJ3&amp;" - B"&amp;" - "&amp;Date</f>
        <v>LIM354 Polokwane - Table B2 Adjustments Budget Financial Performance (functional classification) - B - 2020</v>
      </c>
      <c r="B1" s="830"/>
      <c r="C1" s="830"/>
    </row>
    <row r="2" spans="1:14" ht="35.25" customHeight="1" x14ac:dyDescent="0.2">
      <c r="A2" s="705" t="str">
        <f>"Standard Classification "&amp;desc</f>
        <v>Standard Classification Description</v>
      </c>
      <c r="B2" s="718" t="str">
        <f>head27</f>
        <v>Ref</v>
      </c>
      <c r="C2" s="1404" t="str">
        <f>Head2</f>
        <v>Budget Year 2020/21</v>
      </c>
      <c r="D2" s="1404"/>
      <c r="E2" s="1404"/>
      <c r="F2" s="1404"/>
      <c r="G2" s="1404"/>
      <c r="H2" s="1404"/>
      <c r="I2" s="1404"/>
      <c r="J2" s="1404"/>
      <c r="K2" s="1404"/>
      <c r="L2" s="103" t="str">
        <f>Head10</f>
        <v>Budget Year +1 2021/22</v>
      </c>
      <c r="M2" s="61" t="str">
        <f>Head11</f>
        <v>Budget Year +2 2022/23</v>
      </c>
    </row>
    <row r="3" spans="1:14" ht="25.5" x14ac:dyDescent="0.2">
      <c r="A3" s="830"/>
      <c r="B3" s="831"/>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x14ac:dyDescent="0.2">
      <c r="A4" s="296"/>
      <c r="B4" s="719"/>
      <c r="C4" s="65"/>
      <c r="D4" s="15">
        <v>5</v>
      </c>
      <c r="E4" s="15">
        <f t="shared" ref="E4:K4" si="0">D4+1</f>
        <v>6</v>
      </c>
      <c r="F4" s="15">
        <f t="shared" si="0"/>
        <v>7</v>
      </c>
      <c r="G4" s="15">
        <f t="shared" si="0"/>
        <v>8</v>
      </c>
      <c r="H4" s="15">
        <f t="shared" si="0"/>
        <v>9</v>
      </c>
      <c r="I4" s="15">
        <f t="shared" si="0"/>
        <v>10</v>
      </c>
      <c r="J4" s="15">
        <f t="shared" si="0"/>
        <v>11</v>
      </c>
      <c r="K4" s="15">
        <f t="shared" si="0"/>
        <v>12</v>
      </c>
      <c r="L4" s="15"/>
      <c r="M4" s="17"/>
    </row>
    <row r="5" spans="1:14" ht="13.5" x14ac:dyDescent="0.25">
      <c r="A5" s="18" t="s">
        <v>514</v>
      </c>
      <c r="B5" s="720">
        <v>1</v>
      </c>
      <c r="C5" s="67" t="s">
        <v>547</v>
      </c>
      <c r="D5" s="68" t="s">
        <v>548</v>
      </c>
      <c r="E5" s="68" t="s">
        <v>549</v>
      </c>
      <c r="F5" s="69" t="s">
        <v>550</v>
      </c>
      <c r="G5" s="69" t="s">
        <v>551</v>
      </c>
      <c r="H5" s="69" t="s">
        <v>552</v>
      </c>
      <c r="I5" s="70" t="s">
        <v>553</v>
      </c>
      <c r="J5" s="70" t="s">
        <v>554</v>
      </c>
      <c r="K5" s="70" t="s">
        <v>555</v>
      </c>
      <c r="L5" s="70"/>
      <c r="M5" s="71"/>
    </row>
    <row r="6" spans="1:14" ht="13.5" x14ac:dyDescent="0.25">
      <c r="A6" s="486" t="s">
        <v>1562</v>
      </c>
      <c r="B6" s="721"/>
      <c r="C6" s="726"/>
      <c r="D6" s="706"/>
      <c r="E6" s="706"/>
      <c r="F6" s="706"/>
      <c r="G6" s="706"/>
      <c r="H6" s="706"/>
      <c r="I6" s="706"/>
      <c r="J6" s="875"/>
      <c r="K6" s="875"/>
      <c r="L6" s="706"/>
      <c r="M6" s="728"/>
      <c r="N6" s="815"/>
    </row>
    <row r="7" spans="1:14" ht="13.5" x14ac:dyDescent="0.25">
      <c r="A7" s="107" t="s">
        <v>992</v>
      </c>
      <c r="B7" s="722"/>
      <c r="C7" s="708">
        <f t="shared" ref="C7:I7" si="1">C8+C11+C25</f>
        <v>2742972440</v>
      </c>
      <c r="D7" s="707">
        <f t="shared" si="1"/>
        <v>2797115440</v>
      </c>
      <c r="E7" s="707">
        <f t="shared" si="1"/>
        <v>0</v>
      </c>
      <c r="F7" s="707">
        <f t="shared" si="1"/>
        <v>0</v>
      </c>
      <c r="G7" s="707">
        <f t="shared" si="1"/>
        <v>0</v>
      </c>
      <c r="H7" s="707">
        <f t="shared" si="1"/>
        <v>100212533</v>
      </c>
      <c r="I7" s="707">
        <f t="shared" si="1"/>
        <v>0</v>
      </c>
      <c r="J7" s="707">
        <f>SUM(E7:I7)</f>
        <v>100212533</v>
      </c>
      <c r="K7" s="707">
        <f>IF(D7=0,C7+J7,D7+J7)</f>
        <v>2897327973</v>
      </c>
      <c r="L7" s="707">
        <f>L8+L11+L25</f>
        <v>2626935832.0251508</v>
      </c>
      <c r="M7" s="709">
        <f>M8+M11+M25</f>
        <v>2675141998.7056775</v>
      </c>
      <c r="N7" s="128"/>
    </row>
    <row r="8" spans="1:14" ht="13.5" x14ac:dyDescent="0.25">
      <c r="A8" s="710" t="s">
        <v>614</v>
      </c>
      <c r="B8" s="722"/>
      <c r="C8" s="700">
        <f>SUM(C9:C10)</f>
        <v>1504180</v>
      </c>
      <c r="D8" s="265">
        <f t="shared" ref="D8:I8" si="2">SUM(D9:D10)</f>
        <v>1504180</v>
      </c>
      <c r="E8" s="265">
        <f t="shared" si="2"/>
        <v>0</v>
      </c>
      <c r="F8" s="265">
        <f t="shared" si="2"/>
        <v>0</v>
      </c>
      <c r="G8" s="265">
        <f t="shared" si="2"/>
        <v>0</v>
      </c>
      <c r="H8" s="265">
        <f t="shared" si="2"/>
        <v>0</v>
      </c>
      <c r="I8" s="265">
        <f t="shared" si="2"/>
        <v>0</v>
      </c>
      <c r="J8" s="265">
        <f>SUM(E8:I8)</f>
        <v>0</v>
      </c>
      <c r="K8" s="265">
        <f>IF(D8=0,C8+J8,D8+J8)</f>
        <v>1504180</v>
      </c>
      <c r="L8" s="265">
        <f>SUM(L9:L10)</f>
        <v>1576380</v>
      </c>
      <c r="M8" s="266">
        <f>SUM(M9:M10)</f>
        <v>1652044</v>
      </c>
      <c r="N8" s="128"/>
    </row>
    <row r="9" spans="1:14" ht="13.5" customHeight="1" x14ac:dyDescent="0.25">
      <c r="A9" s="832" t="s">
        <v>993</v>
      </c>
      <c r="B9" s="722"/>
      <c r="C9" s="382">
        <v>1503135</v>
      </c>
      <c r="D9" s="109">
        <v>1503135</v>
      </c>
      <c r="E9" s="109">
        <v>0</v>
      </c>
      <c r="F9" s="109">
        <v>0</v>
      </c>
      <c r="G9" s="109">
        <v>0</v>
      </c>
      <c r="H9" s="109">
        <v>0</v>
      </c>
      <c r="I9" s="109">
        <v>0</v>
      </c>
      <c r="J9" s="173">
        <f>SUM(E9:I9)</f>
        <v>0</v>
      </c>
      <c r="K9" s="173">
        <f>IF(D9=0,C9+J9,D9+J9)</f>
        <v>1503135</v>
      </c>
      <c r="L9" s="109">
        <v>1576380</v>
      </c>
      <c r="M9" s="110">
        <v>1652044</v>
      </c>
      <c r="N9" s="128"/>
    </row>
    <row r="10" spans="1:14" ht="13.5" customHeight="1" x14ac:dyDescent="0.25">
      <c r="A10" s="832" t="s">
        <v>1486</v>
      </c>
      <c r="B10" s="722"/>
      <c r="C10" s="382">
        <v>1045</v>
      </c>
      <c r="D10" s="109">
        <v>1045</v>
      </c>
      <c r="E10" s="109"/>
      <c r="F10" s="109"/>
      <c r="G10" s="109"/>
      <c r="H10" s="109"/>
      <c r="I10" s="109"/>
      <c r="J10" s="173">
        <f t="shared" ref="J10:J74" si="3">SUM(E10:I10)</f>
        <v>0</v>
      </c>
      <c r="K10" s="173">
        <f t="shared" ref="K10:K74" si="4">IF(D10=0,C10+J10,D10+J10)</f>
        <v>1045</v>
      </c>
      <c r="L10" s="109"/>
      <c r="M10" s="110"/>
      <c r="N10" s="128"/>
    </row>
    <row r="11" spans="1:14" ht="13.5" customHeight="1" x14ac:dyDescent="0.25">
      <c r="A11" s="710" t="s">
        <v>1481</v>
      </c>
      <c r="B11" s="722"/>
      <c r="C11" s="700">
        <f t="shared" ref="C11:I11" si="5">SUM(C12:C24)</f>
        <v>2741467215</v>
      </c>
      <c r="D11" s="265">
        <f t="shared" si="5"/>
        <v>2795610215</v>
      </c>
      <c r="E11" s="265">
        <f t="shared" si="5"/>
        <v>0</v>
      </c>
      <c r="F11" s="265">
        <f t="shared" si="5"/>
        <v>0</v>
      </c>
      <c r="G11" s="265">
        <f t="shared" si="5"/>
        <v>0</v>
      </c>
      <c r="H11" s="265">
        <f t="shared" si="5"/>
        <v>100212533</v>
      </c>
      <c r="I11" s="265">
        <f t="shared" si="5"/>
        <v>0</v>
      </c>
      <c r="J11" s="265">
        <f t="shared" si="3"/>
        <v>100212533</v>
      </c>
      <c r="K11" s="265">
        <f t="shared" si="4"/>
        <v>2895822748</v>
      </c>
      <c r="L11" s="265">
        <f>SUM(L12:L24)</f>
        <v>2625359452.0251508</v>
      </c>
      <c r="M11" s="266">
        <f>SUM(M12:M24)</f>
        <v>2673489954.7056775</v>
      </c>
      <c r="N11" s="128"/>
    </row>
    <row r="12" spans="1:14" ht="13.5" customHeight="1" x14ac:dyDescent="0.25">
      <c r="A12" s="832" t="s">
        <v>1487</v>
      </c>
      <c r="B12" s="722"/>
      <c r="C12" s="382">
        <v>6282</v>
      </c>
      <c r="D12" s="109">
        <v>6282</v>
      </c>
      <c r="E12" s="109">
        <v>0</v>
      </c>
      <c r="F12" s="109">
        <v>0</v>
      </c>
      <c r="G12" s="109">
        <v>0</v>
      </c>
      <c r="H12" s="109">
        <v>0</v>
      </c>
      <c r="I12" s="109">
        <v>0</v>
      </c>
      <c r="J12" s="173">
        <f t="shared" si="3"/>
        <v>0</v>
      </c>
      <c r="K12" s="173">
        <f t="shared" si="4"/>
        <v>6282</v>
      </c>
      <c r="L12" s="109"/>
      <c r="M12" s="110"/>
      <c r="N12" s="128"/>
    </row>
    <row r="13" spans="1:14" ht="13.5" customHeight="1" x14ac:dyDescent="0.25">
      <c r="A13" s="832" t="s">
        <v>593</v>
      </c>
      <c r="B13" s="722"/>
      <c r="C13" s="382">
        <v>1045</v>
      </c>
      <c r="D13" s="109">
        <v>1045</v>
      </c>
      <c r="E13" s="109">
        <v>0</v>
      </c>
      <c r="F13" s="109">
        <v>0</v>
      </c>
      <c r="G13" s="109">
        <v>0</v>
      </c>
      <c r="H13" s="109">
        <v>0</v>
      </c>
      <c r="I13" s="109">
        <v>0</v>
      </c>
      <c r="J13" s="173">
        <f t="shared" si="3"/>
        <v>0</v>
      </c>
      <c r="K13" s="173">
        <f t="shared" si="4"/>
        <v>1045</v>
      </c>
      <c r="L13" s="109"/>
      <c r="M13" s="110"/>
      <c r="N13" s="128"/>
    </row>
    <row r="14" spans="1:14" ht="13.5" customHeight="1" x14ac:dyDescent="0.25">
      <c r="A14" s="832" t="s">
        <v>1488</v>
      </c>
      <c r="B14" s="722"/>
      <c r="C14" s="382">
        <v>2363468581</v>
      </c>
      <c r="D14" s="109">
        <v>2417611581</v>
      </c>
      <c r="E14" s="109">
        <v>0</v>
      </c>
      <c r="F14" s="109">
        <v>0</v>
      </c>
      <c r="G14" s="109">
        <v>0</v>
      </c>
      <c r="H14" s="109">
        <v>100212533</v>
      </c>
      <c r="I14" s="109">
        <f>54143000-54143000</f>
        <v>0</v>
      </c>
      <c r="J14" s="173">
        <f t="shared" si="3"/>
        <v>100212533</v>
      </c>
      <c r="K14" s="173">
        <f t="shared" si="4"/>
        <v>2517824114</v>
      </c>
      <c r="L14" s="109">
        <v>2620609453.4870801</v>
      </c>
      <c r="M14" s="110">
        <v>2668739956.09378</v>
      </c>
      <c r="N14" s="128"/>
    </row>
    <row r="15" spans="1:14" ht="13.5" customHeight="1" x14ac:dyDescent="0.25">
      <c r="A15" s="832" t="s">
        <v>1489</v>
      </c>
      <c r="B15" s="722"/>
      <c r="C15" s="382">
        <v>2090</v>
      </c>
      <c r="D15" s="109">
        <v>2090</v>
      </c>
      <c r="E15" s="109">
        <v>0</v>
      </c>
      <c r="F15" s="109">
        <v>0</v>
      </c>
      <c r="G15" s="109">
        <v>0</v>
      </c>
      <c r="H15" s="109">
        <v>0</v>
      </c>
      <c r="I15" s="109">
        <v>0</v>
      </c>
      <c r="J15" s="173">
        <f t="shared" si="3"/>
        <v>0</v>
      </c>
      <c r="K15" s="173">
        <f t="shared" si="4"/>
        <v>2090</v>
      </c>
      <c r="L15" s="109">
        <v>4749998.5380706796</v>
      </c>
      <c r="M15" s="110">
        <v>4749998.6118974704</v>
      </c>
      <c r="N15" s="128"/>
    </row>
    <row r="16" spans="1:14" ht="13.5" customHeight="1" x14ac:dyDescent="0.25">
      <c r="A16" s="832" t="s">
        <v>994</v>
      </c>
      <c r="B16" s="722"/>
      <c r="C16" s="382">
        <v>4107405</v>
      </c>
      <c r="D16" s="109">
        <v>4107405</v>
      </c>
      <c r="E16" s="109">
        <v>0</v>
      </c>
      <c r="F16" s="109">
        <v>0</v>
      </c>
      <c r="G16" s="109">
        <v>0</v>
      </c>
      <c r="H16" s="109">
        <v>0</v>
      </c>
      <c r="I16" s="109">
        <v>0</v>
      </c>
      <c r="J16" s="173">
        <f t="shared" si="3"/>
        <v>0</v>
      </c>
      <c r="K16" s="173">
        <f t="shared" si="4"/>
        <v>4107405</v>
      </c>
      <c r="L16" s="109"/>
      <c r="M16" s="110"/>
      <c r="N16" s="128"/>
    </row>
    <row r="17" spans="1:14" ht="13.5" customHeight="1" x14ac:dyDescent="0.25">
      <c r="A17" s="832" t="s">
        <v>995</v>
      </c>
      <c r="B17" s="722"/>
      <c r="C17" s="382">
        <v>13633</v>
      </c>
      <c r="D17" s="109">
        <v>13633</v>
      </c>
      <c r="E17" s="109">
        <v>0</v>
      </c>
      <c r="F17" s="109">
        <v>0</v>
      </c>
      <c r="G17" s="109">
        <v>0</v>
      </c>
      <c r="H17" s="109">
        <v>0</v>
      </c>
      <c r="I17" s="109">
        <v>0</v>
      </c>
      <c r="J17" s="173">
        <f t="shared" si="3"/>
        <v>0</v>
      </c>
      <c r="K17" s="173">
        <f t="shared" si="4"/>
        <v>13633</v>
      </c>
      <c r="L17" s="109"/>
      <c r="M17" s="110"/>
      <c r="N17" s="128"/>
    </row>
    <row r="18" spans="1:14" ht="13.5" customHeight="1" x14ac:dyDescent="0.25">
      <c r="A18" s="832" t="s">
        <v>1490</v>
      </c>
      <c r="B18" s="722"/>
      <c r="C18" s="382">
        <v>1045</v>
      </c>
      <c r="D18" s="109">
        <v>1045</v>
      </c>
      <c r="E18" s="109">
        <v>0</v>
      </c>
      <c r="F18" s="109">
        <v>0</v>
      </c>
      <c r="G18" s="109">
        <v>0</v>
      </c>
      <c r="H18" s="109">
        <v>0</v>
      </c>
      <c r="I18" s="109">
        <v>0</v>
      </c>
      <c r="J18" s="173">
        <f t="shared" si="3"/>
        <v>0</v>
      </c>
      <c r="K18" s="173">
        <f t="shared" si="4"/>
        <v>1045</v>
      </c>
      <c r="L18" s="109"/>
      <c r="M18" s="110"/>
      <c r="N18" s="128"/>
    </row>
    <row r="19" spans="1:14" ht="13.5" customHeight="1" x14ac:dyDescent="0.25">
      <c r="A19" s="832" t="s">
        <v>1491</v>
      </c>
      <c r="B19" s="722"/>
      <c r="C19" s="382">
        <v>1045</v>
      </c>
      <c r="D19" s="109">
        <v>1045</v>
      </c>
      <c r="E19" s="109">
        <v>0</v>
      </c>
      <c r="F19" s="109">
        <v>0</v>
      </c>
      <c r="G19" s="109">
        <v>0</v>
      </c>
      <c r="H19" s="109">
        <v>0</v>
      </c>
      <c r="I19" s="109">
        <v>0</v>
      </c>
      <c r="J19" s="173">
        <f t="shared" si="3"/>
        <v>0</v>
      </c>
      <c r="K19" s="173">
        <f t="shared" si="4"/>
        <v>1045</v>
      </c>
      <c r="L19" s="109"/>
      <c r="M19" s="110"/>
      <c r="N19" s="128"/>
    </row>
    <row r="20" spans="1:14" ht="13.5" customHeight="1" x14ac:dyDescent="0.25">
      <c r="A20" s="832" t="s">
        <v>996</v>
      </c>
      <c r="B20" s="722"/>
      <c r="C20" s="382">
        <v>2090</v>
      </c>
      <c r="D20" s="109">
        <v>2090</v>
      </c>
      <c r="E20" s="109">
        <v>0</v>
      </c>
      <c r="F20" s="109">
        <v>0</v>
      </c>
      <c r="G20" s="109">
        <v>0</v>
      </c>
      <c r="H20" s="109">
        <v>0</v>
      </c>
      <c r="I20" s="109">
        <v>0</v>
      </c>
      <c r="J20" s="173">
        <f t="shared" si="3"/>
        <v>0</v>
      </c>
      <c r="K20" s="173">
        <f t="shared" si="4"/>
        <v>2090</v>
      </c>
      <c r="L20" s="109"/>
      <c r="M20" s="110"/>
      <c r="N20" s="128"/>
    </row>
    <row r="21" spans="1:14" ht="13.5" customHeight="1" x14ac:dyDescent="0.25">
      <c r="A21" s="832" t="s">
        <v>1492</v>
      </c>
      <c r="B21" s="722"/>
      <c r="C21" s="382">
        <v>1045</v>
      </c>
      <c r="D21" s="109">
        <v>1045</v>
      </c>
      <c r="E21" s="109">
        <v>0</v>
      </c>
      <c r="F21" s="109">
        <v>0</v>
      </c>
      <c r="G21" s="109">
        <v>0</v>
      </c>
      <c r="H21" s="109">
        <v>0</v>
      </c>
      <c r="I21" s="109">
        <v>0</v>
      </c>
      <c r="J21" s="173">
        <f t="shared" si="3"/>
        <v>0</v>
      </c>
      <c r="K21" s="173">
        <f t="shared" si="4"/>
        <v>1045</v>
      </c>
      <c r="L21" s="109"/>
      <c r="M21" s="110"/>
      <c r="N21" s="128"/>
    </row>
    <row r="22" spans="1:14" ht="13.5" customHeight="1" x14ac:dyDescent="0.25">
      <c r="A22" s="832" t="s">
        <v>1493</v>
      </c>
      <c r="B22" s="722"/>
      <c r="C22" s="382">
        <v>350895</v>
      </c>
      <c r="D22" s="109">
        <v>350895</v>
      </c>
      <c r="E22" s="109">
        <v>0</v>
      </c>
      <c r="F22" s="109">
        <v>0</v>
      </c>
      <c r="G22" s="109">
        <v>0</v>
      </c>
      <c r="H22" s="109">
        <v>0</v>
      </c>
      <c r="I22" s="109">
        <v>0</v>
      </c>
      <c r="J22" s="173">
        <f t="shared" si="3"/>
        <v>0</v>
      </c>
      <c r="K22" s="173">
        <f t="shared" si="4"/>
        <v>350895</v>
      </c>
      <c r="L22" s="109"/>
      <c r="M22" s="110"/>
      <c r="N22" s="128"/>
    </row>
    <row r="23" spans="1:14" ht="13.5" customHeight="1" x14ac:dyDescent="0.25">
      <c r="A23" s="832" t="s">
        <v>1494</v>
      </c>
      <c r="B23" s="722"/>
      <c r="C23" s="382">
        <v>7073399</v>
      </c>
      <c r="D23" s="109">
        <v>7073399</v>
      </c>
      <c r="E23" s="109">
        <v>0</v>
      </c>
      <c r="F23" s="109">
        <v>0</v>
      </c>
      <c r="G23" s="109">
        <v>0</v>
      </c>
      <c r="H23" s="109">
        <v>0</v>
      </c>
      <c r="I23" s="109">
        <v>0</v>
      </c>
      <c r="J23" s="173">
        <f t="shared" si="3"/>
        <v>0</v>
      </c>
      <c r="K23" s="173">
        <f t="shared" si="4"/>
        <v>7073399</v>
      </c>
      <c r="L23" s="109"/>
      <c r="M23" s="110"/>
      <c r="N23" s="128"/>
    </row>
    <row r="24" spans="1:14" ht="13.5" customHeight="1" x14ac:dyDescent="0.25">
      <c r="A24" s="832" t="s">
        <v>1495</v>
      </c>
      <c r="B24" s="722"/>
      <c r="C24" s="382">
        <v>366438660</v>
      </c>
      <c r="D24" s="109">
        <v>366438660</v>
      </c>
      <c r="E24" s="109">
        <v>0</v>
      </c>
      <c r="F24" s="109">
        <v>0</v>
      </c>
      <c r="G24" s="109">
        <v>0</v>
      </c>
      <c r="H24" s="109">
        <v>0</v>
      </c>
      <c r="I24" s="109">
        <v>0</v>
      </c>
      <c r="J24" s="173">
        <f t="shared" si="3"/>
        <v>0</v>
      </c>
      <c r="K24" s="173">
        <f t="shared" si="4"/>
        <v>366438660</v>
      </c>
      <c r="L24" s="109"/>
      <c r="M24" s="110"/>
      <c r="N24" s="128"/>
    </row>
    <row r="25" spans="1:14" ht="13.5" customHeight="1" x14ac:dyDescent="0.25">
      <c r="A25" s="710" t="s">
        <v>1482</v>
      </c>
      <c r="B25" s="722"/>
      <c r="C25" s="700">
        <f t="shared" ref="C25:M25" si="6">SUM(C26:C26)</f>
        <v>1045</v>
      </c>
      <c r="D25" s="265">
        <f t="shared" si="6"/>
        <v>1045</v>
      </c>
      <c r="E25" s="265">
        <f t="shared" si="6"/>
        <v>0</v>
      </c>
      <c r="F25" s="265">
        <f t="shared" si="6"/>
        <v>0</v>
      </c>
      <c r="G25" s="265">
        <f t="shared" si="6"/>
        <v>0</v>
      </c>
      <c r="H25" s="265">
        <f t="shared" si="6"/>
        <v>0</v>
      </c>
      <c r="I25" s="265">
        <f t="shared" si="6"/>
        <v>0</v>
      </c>
      <c r="J25" s="265">
        <f t="shared" si="3"/>
        <v>0</v>
      </c>
      <c r="K25" s="265">
        <f t="shared" si="4"/>
        <v>1045</v>
      </c>
      <c r="L25" s="265">
        <f t="shared" si="6"/>
        <v>0</v>
      </c>
      <c r="M25" s="266">
        <f t="shared" si="6"/>
        <v>0</v>
      </c>
      <c r="N25" s="128"/>
    </row>
    <row r="26" spans="1:14" ht="13.5" customHeight="1" x14ac:dyDescent="0.25">
      <c r="A26" s="832" t="s">
        <v>1496</v>
      </c>
      <c r="B26" s="722"/>
      <c r="C26" s="382">
        <v>1045</v>
      </c>
      <c r="D26" s="109">
        <v>1045</v>
      </c>
      <c r="E26" s="109"/>
      <c r="F26" s="109"/>
      <c r="G26" s="109"/>
      <c r="H26" s="109"/>
      <c r="I26" s="109">
        <v>0</v>
      </c>
      <c r="J26" s="173">
        <f t="shared" si="3"/>
        <v>0</v>
      </c>
      <c r="K26" s="173">
        <f t="shared" si="4"/>
        <v>1045</v>
      </c>
      <c r="L26" s="109"/>
      <c r="M26" s="110"/>
      <c r="N26" s="128"/>
    </row>
    <row r="27" spans="1:14" ht="13.5" customHeight="1" x14ac:dyDescent="0.25">
      <c r="A27" s="107" t="s">
        <v>615</v>
      </c>
      <c r="B27" s="722"/>
      <c r="C27" s="708">
        <f t="shared" ref="C27:I27" si="7">C28+C50+C56+C65+C68</f>
        <v>16214345</v>
      </c>
      <c r="D27" s="707">
        <f t="shared" si="7"/>
        <v>16214345</v>
      </c>
      <c r="E27" s="707">
        <f t="shared" si="7"/>
        <v>0</v>
      </c>
      <c r="F27" s="707">
        <f t="shared" si="7"/>
        <v>0</v>
      </c>
      <c r="G27" s="707">
        <f t="shared" si="7"/>
        <v>0</v>
      </c>
      <c r="H27" s="707">
        <f t="shared" si="7"/>
        <v>0</v>
      </c>
      <c r="I27" s="707">
        <f t="shared" si="7"/>
        <v>-3500000</v>
      </c>
      <c r="J27" s="707">
        <f t="shared" si="3"/>
        <v>-3500000</v>
      </c>
      <c r="K27" s="707">
        <f t="shared" si="4"/>
        <v>12714345</v>
      </c>
      <c r="L27" s="707">
        <f>L28+L50+L56+L65+L68</f>
        <v>19512020</v>
      </c>
      <c r="M27" s="709">
        <f>M28+M50+M56+M65+M68</f>
        <v>20448587</v>
      </c>
      <c r="N27" s="128"/>
    </row>
    <row r="28" spans="1:14" ht="13.5" customHeight="1" x14ac:dyDescent="0.25">
      <c r="A28" s="710" t="s">
        <v>616</v>
      </c>
      <c r="B28" s="722"/>
      <c r="C28" s="711">
        <f t="shared" ref="C28:M28" si="8">SUM(C29:C49)</f>
        <v>4201298</v>
      </c>
      <c r="D28" s="270">
        <f t="shared" si="8"/>
        <v>4201298</v>
      </c>
      <c r="E28" s="270">
        <f t="shared" si="8"/>
        <v>0</v>
      </c>
      <c r="F28" s="270">
        <f t="shared" si="8"/>
        <v>0</v>
      </c>
      <c r="G28" s="270">
        <f t="shared" si="8"/>
        <v>0</v>
      </c>
      <c r="H28" s="270">
        <f t="shared" si="8"/>
        <v>0</v>
      </c>
      <c r="I28" s="270">
        <f t="shared" si="8"/>
        <v>0</v>
      </c>
      <c r="J28" s="270">
        <f t="shared" si="3"/>
        <v>0</v>
      </c>
      <c r="K28" s="270">
        <f t="shared" si="4"/>
        <v>4201298</v>
      </c>
      <c r="L28" s="270">
        <f t="shared" si="8"/>
        <v>3778350</v>
      </c>
      <c r="M28" s="271">
        <f t="shared" si="8"/>
        <v>3959708</v>
      </c>
      <c r="N28" s="128"/>
    </row>
    <row r="29" spans="1:14" ht="13.5" customHeight="1" x14ac:dyDescent="0.25">
      <c r="A29" s="832" t="s">
        <v>998</v>
      </c>
      <c r="B29" s="722"/>
      <c r="C29" s="382"/>
      <c r="D29" s="109">
        <v>0</v>
      </c>
      <c r="E29" s="109">
        <v>0</v>
      </c>
      <c r="F29" s="109">
        <v>0</v>
      </c>
      <c r="G29" s="109">
        <v>0</v>
      </c>
      <c r="H29" s="109">
        <v>0</v>
      </c>
      <c r="I29" s="109">
        <v>0</v>
      </c>
      <c r="J29" s="173">
        <f t="shared" si="3"/>
        <v>0</v>
      </c>
      <c r="K29" s="173">
        <f t="shared" si="4"/>
        <v>0</v>
      </c>
      <c r="L29" s="109"/>
      <c r="M29" s="110"/>
      <c r="N29" s="128"/>
    </row>
    <row r="30" spans="1:14" ht="13.5" customHeight="1" x14ac:dyDescent="0.25">
      <c r="A30" s="832" t="s">
        <v>700</v>
      </c>
      <c r="B30" s="722"/>
      <c r="C30" s="382"/>
      <c r="D30" s="109">
        <v>0</v>
      </c>
      <c r="E30" s="109">
        <v>0</v>
      </c>
      <c r="F30" s="109">
        <v>0</v>
      </c>
      <c r="G30" s="109">
        <v>0</v>
      </c>
      <c r="H30" s="109">
        <v>0</v>
      </c>
      <c r="I30" s="109">
        <v>0</v>
      </c>
      <c r="J30" s="173">
        <f t="shared" si="3"/>
        <v>0</v>
      </c>
      <c r="K30" s="173">
        <f t="shared" si="4"/>
        <v>0</v>
      </c>
      <c r="L30" s="109"/>
      <c r="M30" s="110"/>
      <c r="N30" s="128"/>
    </row>
    <row r="31" spans="1:14" ht="13.5" customHeight="1" x14ac:dyDescent="0.25">
      <c r="A31" s="832" t="s">
        <v>1497</v>
      </c>
      <c r="B31" s="722"/>
      <c r="C31" s="382"/>
      <c r="D31" s="109">
        <v>0</v>
      </c>
      <c r="E31" s="109">
        <v>0</v>
      </c>
      <c r="F31" s="109">
        <v>0</v>
      </c>
      <c r="G31" s="109">
        <v>0</v>
      </c>
      <c r="H31" s="109">
        <v>0</v>
      </c>
      <c r="I31" s="109">
        <v>0</v>
      </c>
      <c r="J31" s="173">
        <f t="shared" si="3"/>
        <v>0</v>
      </c>
      <c r="K31" s="173">
        <f t="shared" si="4"/>
        <v>0</v>
      </c>
      <c r="L31" s="109"/>
      <c r="M31" s="110"/>
      <c r="N31" s="128"/>
    </row>
    <row r="32" spans="1:14" ht="13.5" customHeight="1" x14ac:dyDescent="0.25">
      <c r="A32" s="832" t="s">
        <v>1498</v>
      </c>
      <c r="B32" s="722"/>
      <c r="C32" s="382">
        <v>3597045</v>
      </c>
      <c r="D32" s="109">
        <v>3597045</v>
      </c>
      <c r="E32" s="109">
        <v>0</v>
      </c>
      <c r="F32" s="109">
        <v>0</v>
      </c>
      <c r="G32" s="109">
        <v>0</v>
      </c>
      <c r="H32" s="109">
        <v>0</v>
      </c>
      <c r="I32" s="109"/>
      <c r="J32" s="173">
        <f t="shared" si="3"/>
        <v>0</v>
      </c>
      <c r="K32" s="173">
        <f t="shared" si="4"/>
        <v>3597045</v>
      </c>
      <c r="L32" s="109">
        <v>3778350</v>
      </c>
      <c r="M32" s="110">
        <v>3959708</v>
      </c>
      <c r="N32" s="128"/>
    </row>
    <row r="33" spans="1:14" ht="13.5" customHeight="1" x14ac:dyDescent="0.25">
      <c r="A33" s="832" t="s">
        <v>1499</v>
      </c>
      <c r="B33" s="722"/>
      <c r="C33" s="382">
        <v>0</v>
      </c>
      <c r="D33" s="109">
        <v>0</v>
      </c>
      <c r="E33" s="109">
        <v>0</v>
      </c>
      <c r="F33" s="109">
        <v>0</v>
      </c>
      <c r="G33" s="109">
        <v>0</v>
      </c>
      <c r="H33" s="109">
        <v>0</v>
      </c>
      <c r="I33" s="109">
        <v>0</v>
      </c>
      <c r="J33" s="173">
        <f t="shared" si="3"/>
        <v>0</v>
      </c>
      <c r="K33" s="173">
        <f t="shared" si="4"/>
        <v>0</v>
      </c>
      <c r="L33" s="109"/>
      <c r="M33" s="110"/>
      <c r="N33" s="128"/>
    </row>
    <row r="34" spans="1:14" ht="13.5" customHeight="1" x14ac:dyDescent="0.25">
      <c r="A34" s="832" t="s">
        <v>1500</v>
      </c>
      <c r="B34" s="722"/>
      <c r="C34" s="382">
        <v>1045</v>
      </c>
      <c r="D34" s="109">
        <v>1045</v>
      </c>
      <c r="E34" s="109">
        <v>0</v>
      </c>
      <c r="F34" s="109">
        <v>0</v>
      </c>
      <c r="G34" s="109">
        <v>0</v>
      </c>
      <c r="H34" s="109">
        <v>0</v>
      </c>
      <c r="I34" s="109">
        <v>0</v>
      </c>
      <c r="J34" s="173">
        <f t="shared" si="3"/>
        <v>0</v>
      </c>
      <c r="K34" s="173">
        <f t="shared" si="4"/>
        <v>1045</v>
      </c>
      <c r="L34" s="109"/>
      <c r="M34" s="110"/>
      <c r="N34" s="128"/>
    </row>
    <row r="35" spans="1:14" ht="13.5" customHeight="1" x14ac:dyDescent="0.25">
      <c r="A35" s="832" t="s">
        <v>1501</v>
      </c>
      <c r="B35" s="722"/>
      <c r="C35" s="382">
        <v>0</v>
      </c>
      <c r="D35" s="109">
        <v>0</v>
      </c>
      <c r="E35" s="109">
        <v>0</v>
      </c>
      <c r="F35" s="109">
        <v>0</v>
      </c>
      <c r="G35" s="109">
        <v>0</v>
      </c>
      <c r="H35" s="109">
        <v>0</v>
      </c>
      <c r="I35" s="109">
        <v>0</v>
      </c>
      <c r="J35" s="173">
        <f t="shared" si="3"/>
        <v>0</v>
      </c>
      <c r="K35" s="173">
        <f t="shared" si="4"/>
        <v>0</v>
      </c>
      <c r="L35" s="109"/>
      <c r="M35" s="110"/>
      <c r="N35" s="128"/>
    </row>
    <row r="36" spans="1:14" ht="13.5" customHeight="1" x14ac:dyDescent="0.25">
      <c r="A36" s="832" t="s">
        <v>1502</v>
      </c>
      <c r="B36" s="722"/>
      <c r="C36" s="382">
        <v>2090</v>
      </c>
      <c r="D36" s="109">
        <v>2090</v>
      </c>
      <c r="E36" s="109">
        <v>0</v>
      </c>
      <c r="F36" s="109">
        <v>0</v>
      </c>
      <c r="G36" s="109">
        <v>0</v>
      </c>
      <c r="H36" s="109">
        <v>0</v>
      </c>
      <c r="I36" s="109">
        <v>0</v>
      </c>
      <c r="J36" s="173">
        <f t="shared" si="3"/>
        <v>0</v>
      </c>
      <c r="K36" s="173">
        <f t="shared" si="4"/>
        <v>2090</v>
      </c>
      <c r="L36" s="109"/>
      <c r="M36" s="110"/>
      <c r="N36" s="128"/>
    </row>
    <row r="37" spans="1:14" ht="13.5" customHeight="1" x14ac:dyDescent="0.25">
      <c r="A37" s="832" t="s">
        <v>1503</v>
      </c>
      <c r="B37" s="722"/>
      <c r="C37" s="382">
        <v>1045</v>
      </c>
      <c r="D37" s="109">
        <v>1045</v>
      </c>
      <c r="E37" s="109">
        <v>0</v>
      </c>
      <c r="F37" s="109">
        <v>0</v>
      </c>
      <c r="G37" s="109">
        <v>0</v>
      </c>
      <c r="H37" s="109">
        <v>0</v>
      </c>
      <c r="I37" s="109">
        <v>0</v>
      </c>
      <c r="J37" s="173">
        <f t="shared" si="3"/>
        <v>0</v>
      </c>
      <c r="K37" s="173">
        <f t="shared" si="4"/>
        <v>1045</v>
      </c>
      <c r="L37" s="109"/>
      <c r="M37" s="110"/>
      <c r="N37" s="128"/>
    </row>
    <row r="38" spans="1:14" ht="13.5" customHeight="1" x14ac:dyDescent="0.25">
      <c r="A38" s="832" t="s">
        <v>1290</v>
      </c>
      <c r="B38" s="722"/>
      <c r="C38" s="382">
        <v>0</v>
      </c>
      <c r="D38" s="109">
        <v>0</v>
      </c>
      <c r="E38" s="109">
        <v>0</v>
      </c>
      <c r="F38" s="109">
        <v>0</v>
      </c>
      <c r="G38" s="109">
        <v>0</v>
      </c>
      <c r="H38" s="109">
        <v>0</v>
      </c>
      <c r="I38" s="109">
        <v>0</v>
      </c>
      <c r="J38" s="173">
        <f t="shared" si="3"/>
        <v>0</v>
      </c>
      <c r="K38" s="173">
        <f t="shared" si="4"/>
        <v>0</v>
      </c>
      <c r="L38" s="109"/>
      <c r="M38" s="110"/>
      <c r="N38" s="128"/>
    </row>
    <row r="39" spans="1:14" ht="13.5" customHeight="1" x14ac:dyDescent="0.25">
      <c r="A39" s="832" t="s">
        <v>1504</v>
      </c>
      <c r="B39" s="722"/>
      <c r="C39" s="382">
        <v>0</v>
      </c>
      <c r="D39" s="109">
        <v>0</v>
      </c>
      <c r="E39" s="109">
        <v>0</v>
      </c>
      <c r="F39" s="109">
        <v>0</v>
      </c>
      <c r="G39" s="109">
        <v>0</v>
      </c>
      <c r="H39" s="109">
        <v>0</v>
      </c>
      <c r="I39" s="109">
        <v>0</v>
      </c>
      <c r="J39" s="173">
        <f t="shared" si="3"/>
        <v>0</v>
      </c>
      <c r="K39" s="173">
        <f t="shared" si="4"/>
        <v>0</v>
      </c>
      <c r="L39" s="109"/>
      <c r="M39" s="110"/>
      <c r="N39" s="128"/>
    </row>
    <row r="40" spans="1:14" ht="13.5" customHeight="1" x14ac:dyDescent="0.25">
      <c r="A40" s="832" t="s">
        <v>1505</v>
      </c>
      <c r="B40" s="722"/>
      <c r="C40" s="382">
        <v>0</v>
      </c>
      <c r="D40" s="109">
        <v>0</v>
      </c>
      <c r="E40" s="109">
        <v>0</v>
      </c>
      <c r="F40" s="109">
        <v>0</v>
      </c>
      <c r="G40" s="109">
        <v>0</v>
      </c>
      <c r="H40" s="109">
        <v>0</v>
      </c>
      <c r="I40" s="109">
        <v>0</v>
      </c>
      <c r="J40" s="173">
        <f t="shared" si="3"/>
        <v>0</v>
      </c>
      <c r="K40" s="173">
        <f t="shared" si="4"/>
        <v>0</v>
      </c>
      <c r="L40" s="109"/>
      <c r="M40" s="110"/>
      <c r="N40" s="128"/>
    </row>
    <row r="41" spans="1:14" ht="13.5" customHeight="1" x14ac:dyDescent="0.25">
      <c r="A41" s="832" t="s">
        <v>1506</v>
      </c>
      <c r="B41" s="722"/>
      <c r="C41" s="382">
        <v>0</v>
      </c>
      <c r="D41" s="109">
        <v>0</v>
      </c>
      <c r="E41" s="109">
        <v>0</v>
      </c>
      <c r="F41" s="109">
        <v>0</v>
      </c>
      <c r="G41" s="109">
        <v>0</v>
      </c>
      <c r="H41" s="109">
        <v>0</v>
      </c>
      <c r="I41" s="109">
        <v>0</v>
      </c>
      <c r="J41" s="173">
        <f t="shared" si="3"/>
        <v>0</v>
      </c>
      <c r="K41" s="173">
        <f t="shared" si="4"/>
        <v>0</v>
      </c>
      <c r="L41" s="109"/>
      <c r="M41" s="110"/>
      <c r="N41" s="128"/>
    </row>
    <row r="42" spans="1:14" ht="13.5" customHeight="1" x14ac:dyDescent="0.25">
      <c r="A42" s="832" t="s">
        <v>997</v>
      </c>
      <c r="B42" s="722"/>
      <c r="C42" s="382">
        <v>378738</v>
      </c>
      <c r="D42" s="109">
        <v>378738</v>
      </c>
      <c r="E42" s="109">
        <v>0</v>
      </c>
      <c r="F42" s="109">
        <v>0</v>
      </c>
      <c r="G42" s="109">
        <v>0</v>
      </c>
      <c r="H42" s="109">
        <v>0</v>
      </c>
      <c r="I42" s="109">
        <v>0</v>
      </c>
      <c r="J42" s="173">
        <f t="shared" si="3"/>
        <v>0</v>
      </c>
      <c r="K42" s="173">
        <f t="shared" si="4"/>
        <v>378738</v>
      </c>
      <c r="L42" s="109"/>
      <c r="M42" s="110"/>
      <c r="N42" s="128"/>
    </row>
    <row r="43" spans="1:14" ht="13.5" customHeight="1" x14ac:dyDescent="0.25">
      <c r="A43" s="832" t="s">
        <v>1507</v>
      </c>
      <c r="B43" s="722"/>
      <c r="C43" s="382">
        <v>0</v>
      </c>
      <c r="D43" s="109">
        <v>0</v>
      </c>
      <c r="E43" s="109">
        <v>0</v>
      </c>
      <c r="F43" s="109">
        <v>0</v>
      </c>
      <c r="G43" s="109">
        <v>0</v>
      </c>
      <c r="H43" s="109">
        <v>0</v>
      </c>
      <c r="I43" s="109">
        <v>0</v>
      </c>
      <c r="J43" s="173">
        <f t="shared" si="3"/>
        <v>0</v>
      </c>
      <c r="K43" s="173">
        <f t="shared" si="4"/>
        <v>0</v>
      </c>
      <c r="L43" s="109"/>
      <c r="M43" s="110"/>
      <c r="N43" s="128"/>
    </row>
    <row r="44" spans="1:14" ht="13.5" customHeight="1" x14ac:dyDescent="0.25">
      <c r="A44" s="832" t="s">
        <v>1508</v>
      </c>
      <c r="B44" s="722"/>
      <c r="C44" s="382">
        <v>0</v>
      </c>
      <c r="D44" s="109">
        <v>0</v>
      </c>
      <c r="E44" s="109">
        <v>0</v>
      </c>
      <c r="F44" s="109">
        <v>0</v>
      </c>
      <c r="G44" s="109">
        <v>0</v>
      </c>
      <c r="H44" s="109">
        <v>0</v>
      </c>
      <c r="I44" s="109">
        <v>0</v>
      </c>
      <c r="J44" s="173">
        <f t="shared" si="3"/>
        <v>0</v>
      </c>
      <c r="K44" s="173">
        <f t="shared" si="4"/>
        <v>0</v>
      </c>
      <c r="L44" s="109"/>
      <c r="M44" s="110"/>
      <c r="N44" s="128"/>
    </row>
    <row r="45" spans="1:14" ht="13.5" customHeight="1" x14ac:dyDescent="0.25">
      <c r="A45" s="832" t="s">
        <v>1509</v>
      </c>
      <c r="B45" s="722"/>
      <c r="C45" s="382">
        <v>221335</v>
      </c>
      <c r="D45" s="109">
        <v>221335</v>
      </c>
      <c r="E45" s="109">
        <v>0</v>
      </c>
      <c r="F45" s="109">
        <v>0</v>
      </c>
      <c r="G45" s="109">
        <v>0</v>
      </c>
      <c r="H45" s="109">
        <v>0</v>
      </c>
      <c r="I45" s="109">
        <v>0</v>
      </c>
      <c r="J45" s="173">
        <f t="shared" si="3"/>
        <v>0</v>
      </c>
      <c r="K45" s="173">
        <f t="shared" si="4"/>
        <v>221335</v>
      </c>
      <c r="L45" s="109"/>
      <c r="M45" s="110"/>
      <c r="N45" s="128"/>
    </row>
    <row r="46" spans="1:14" ht="13.5" customHeight="1" x14ac:dyDescent="0.25">
      <c r="A46" s="832" t="s">
        <v>1510</v>
      </c>
      <c r="B46" s="722"/>
      <c r="C46" s="382">
        <v>0</v>
      </c>
      <c r="D46" s="109">
        <v>0</v>
      </c>
      <c r="E46" s="109">
        <v>0</v>
      </c>
      <c r="F46" s="109">
        <v>0</v>
      </c>
      <c r="G46" s="109">
        <v>0</v>
      </c>
      <c r="H46" s="109">
        <v>0</v>
      </c>
      <c r="I46" s="109">
        <v>0</v>
      </c>
      <c r="J46" s="173">
        <f t="shared" si="3"/>
        <v>0</v>
      </c>
      <c r="K46" s="173">
        <f t="shared" si="4"/>
        <v>0</v>
      </c>
      <c r="L46" s="109"/>
      <c r="M46" s="110"/>
      <c r="N46" s="128"/>
    </row>
    <row r="47" spans="1:14" ht="13.5" customHeight="1" x14ac:dyDescent="0.25">
      <c r="A47" s="832" t="s">
        <v>1511</v>
      </c>
      <c r="B47" s="722"/>
      <c r="C47" s="382">
        <v>0</v>
      </c>
      <c r="D47" s="109">
        <v>0</v>
      </c>
      <c r="E47" s="109">
        <v>0</v>
      </c>
      <c r="F47" s="109">
        <v>0</v>
      </c>
      <c r="G47" s="109">
        <v>0</v>
      </c>
      <c r="H47" s="109">
        <v>0</v>
      </c>
      <c r="I47" s="109">
        <v>0</v>
      </c>
      <c r="J47" s="173">
        <f t="shared" si="3"/>
        <v>0</v>
      </c>
      <c r="K47" s="173">
        <f t="shared" si="4"/>
        <v>0</v>
      </c>
      <c r="L47" s="109"/>
      <c r="M47" s="110"/>
      <c r="N47" s="128"/>
    </row>
    <row r="48" spans="1:14" ht="13.5" customHeight="1" x14ac:dyDescent="0.25">
      <c r="A48" s="832" t="s">
        <v>1512</v>
      </c>
      <c r="B48" s="722"/>
      <c r="C48" s="382">
        <v>0</v>
      </c>
      <c r="D48" s="109">
        <v>0</v>
      </c>
      <c r="E48" s="109">
        <v>0</v>
      </c>
      <c r="F48" s="109">
        <v>0</v>
      </c>
      <c r="G48" s="109">
        <v>0</v>
      </c>
      <c r="H48" s="109">
        <v>0</v>
      </c>
      <c r="I48" s="109">
        <v>0</v>
      </c>
      <c r="J48" s="173">
        <f t="shared" si="3"/>
        <v>0</v>
      </c>
      <c r="K48" s="173">
        <f t="shared" si="4"/>
        <v>0</v>
      </c>
      <c r="L48" s="109"/>
      <c r="M48" s="110"/>
      <c r="N48" s="128"/>
    </row>
    <row r="49" spans="1:14" ht="13.5" customHeight="1" x14ac:dyDescent="0.25">
      <c r="A49" s="832" t="s">
        <v>1513</v>
      </c>
      <c r="B49" s="722"/>
      <c r="C49" s="382">
        <v>0</v>
      </c>
      <c r="D49" s="109">
        <v>0</v>
      </c>
      <c r="E49" s="109">
        <v>0</v>
      </c>
      <c r="F49" s="109">
        <v>0</v>
      </c>
      <c r="G49" s="109">
        <v>0</v>
      </c>
      <c r="H49" s="109">
        <v>0</v>
      </c>
      <c r="I49" s="109">
        <v>0</v>
      </c>
      <c r="J49" s="173">
        <f t="shared" si="3"/>
        <v>0</v>
      </c>
      <c r="K49" s="173">
        <f t="shared" si="4"/>
        <v>0</v>
      </c>
      <c r="L49" s="109"/>
      <c r="M49" s="110"/>
      <c r="N49" s="128"/>
    </row>
    <row r="50" spans="1:14" ht="13.5" customHeight="1" x14ac:dyDescent="0.25">
      <c r="A50" s="710" t="s">
        <v>617</v>
      </c>
      <c r="B50" s="722"/>
      <c r="C50" s="711">
        <f t="shared" ref="C50:M50" si="9">SUM(C51:C55)</f>
        <v>11149486</v>
      </c>
      <c r="D50" s="270">
        <f t="shared" si="9"/>
        <v>11149486</v>
      </c>
      <c r="E50" s="270">
        <f t="shared" si="9"/>
        <v>0</v>
      </c>
      <c r="F50" s="270">
        <f t="shared" si="9"/>
        <v>0</v>
      </c>
      <c r="G50" s="270">
        <f t="shared" si="9"/>
        <v>0</v>
      </c>
      <c r="H50" s="270">
        <f t="shared" si="9"/>
        <v>0</v>
      </c>
      <c r="I50" s="270">
        <f t="shared" si="9"/>
        <v>-3500000</v>
      </c>
      <c r="J50" s="270">
        <f t="shared" si="3"/>
        <v>-3500000</v>
      </c>
      <c r="K50" s="270">
        <f t="shared" si="4"/>
        <v>7649486</v>
      </c>
      <c r="L50" s="270">
        <f t="shared" si="9"/>
        <v>14828659</v>
      </c>
      <c r="M50" s="271">
        <f t="shared" si="9"/>
        <v>15540432</v>
      </c>
      <c r="N50" s="128"/>
    </row>
    <row r="51" spans="1:14" ht="13.5" customHeight="1" x14ac:dyDescent="0.25">
      <c r="A51" s="832" t="s">
        <v>1514</v>
      </c>
      <c r="B51" s="722"/>
      <c r="C51" s="382"/>
      <c r="D51" s="109">
        <v>0</v>
      </c>
      <c r="E51" s="109">
        <v>0</v>
      </c>
      <c r="F51" s="109">
        <v>0</v>
      </c>
      <c r="G51" s="109">
        <v>0</v>
      </c>
      <c r="H51" s="109">
        <v>0</v>
      </c>
      <c r="I51" s="109">
        <v>0</v>
      </c>
      <c r="J51" s="173">
        <f t="shared" si="3"/>
        <v>0</v>
      </c>
      <c r="K51" s="173">
        <f t="shared" si="4"/>
        <v>0</v>
      </c>
      <c r="L51" s="109"/>
      <c r="M51" s="110"/>
      <c r="N51" s="128"/>
    </row>
    <row r="52" spans="1:14" ht="13.5" customHeight="1" x14ac:dyDescent="0.25">
      <c r="A52" s="832" t="s">
        <v>1515</v>
      </c>
      <c r="B52" s="722"/>
      <c r="C52" s="382"/>
      <c r="D52" s="109">
        <v>0</v>
      </c>
      <c r="E52" s="109">
        <v>0</v>
      </c>
      <c r="F52" s="109">
        <v>0</v>
      </c>
      <c r="G52" s="109">
        <v>0</v>
      </c>
      <c r="H52" s="109">
        <v>0</v>
      </c>
      <c r="I52" s="109">
        <v>0</v>
      </c>
      <c r="J52" s="173">
        <f t="shared" si="3"/>
        <v>0</v>
      </c>
      <c r="K52" s="173">
        <f t="shared" si="4"/>
        <v>0</v>
      </c>
      <c r="L52" s="109"/>
      <c r="M52" s="110"/>
      <c r="N52" s="128"/>
    </row>
    <row r="53" spans="1:14" ht="13.5" customHeight="1" x14ac:dyDescent="0.25">
      <c r="A53" s="832" t="s">
        <v>1516</v>
      </c>
      <c r="B53" s="722"/>
      <c r="C53" s="382">
        <v>671216</v>
      </c>
      <c r="D53" s="109">
        <v>671216</v>
      </c>
      <c r="E53" s="109">
        <v>0</v>
      </c>
      <c r="F53" s="109">
        <v>0</v>
      </c>
      <c r="G53" s="109">
        <v>0</v>
      </c>
      <c r="H53" s="109">
        <v>0</v>
      </c>
      <c r="I53" s="109">
        <v>0</v>
      </c>
      <c r="J53" s="173">
        <f t="shared" si="3"/>
        <v>0</v>
      </c>
      <c r="K53" s="173">
        <f t="shared" si="4"/>
        <v>671216</v>
      </c>
      <c r="L53" s="109"/>
      <c r="M53" s="110"/>
      <c r="N53" s="128"/>
    </row>
    <row r="54" spans="1:14" ht="13.5" customHeight="1" x14ac:dyDescent="0.25">
      <c r="A54" s="832" t="s">
        <v>1517</v>
      </c>
      <c r="B54" s="722"/>
      <c r="C54" s="382">
        <v>9809004</v>
      </c>
      <c r="D54" s="109">
        <v>9809004</v>
      </c>
      <c r="E54" s="109">
        <v>0</v>
      </c>
      <c r="F54" s="109">
        <v>0</v>
      </c>
      <c r="G54" s="109">
        <v>0</v>
      </c>
      <c r="H54" s="109">
        <v>0</v>
      </c>
      <c r="I54" s="109">
        <v>-3500000</v>
      </c>
      <c r="J54" s="173">
        <f t="shared" si="3"/>
        <v>-3500000</v>
      </c>
      <c r="K54" s="173">
        <f t="shared" si="4"/>
        <v>6309004</v>
      </c>
      <c r="L54" s="109">
        <v>14828659</v>
      </c>
      <c r="M54" s="110">
        <v>15540432</v>
      </c>
      <c r="N54" s="128"/>
    </row>
    <row r="55" spans="1:14" ht="13.5" customHeight="1" x14ac:dyDescent="0.25">
      <c r="A55" s="832" t="s">
        <v>1518</v>
      </c>
      <c r="B55" s="722"/>
      <c r="C55" s="382">
        <v>669266</v>
      </c>
      <c r="D55" s="109">
        <v>669266</v>
      </c>
      <c r="E55" s="109">
        <v>0</v>
      </c>
      <c r="F55" s="109">
        <v>0</v>
      </c>
      <c r="G55" s="109">
        <v>0</v>
      </c>
      <c r="H55" s="109">
        <v>0</v>
      </c>
      <c r="I55" s="109">
        <v>0</v>
      </c>
      <c r="J55" s="173">
        <f t="shared" si="3"/>
        <v>0</v>
      </c>
      <c r="K55" s="173">
        <f t="shared" si="4"/>
        <v>669266</v>
      </c>
      <c r="L55" s="109"/>
      <c r="M55" s="110"/>
      <c r="N55" s="128"/>
    </row>
    <row r="56" spans="1:14" ht="13.5" customHeight="1" x14ac:dyDescent="0.25">
      <c r="A56" s="710" t="s">
        <v>618</v>
      </c>
      <c r="B56" s="722"/>
      <c r="C56" s="711">
        <f t="shared" ref="C56:M56" si="10">SUM(C57:C64)</f>
        <v>340511</v>
      </c>
      <c r="D56" s="270">
        <f t="shared" si="10"/>
        <v>340511</v>
      </c>
      <c r="E56" s="270">
        <f t="shared" si="10"/>
        <v>0</v>
      </c>
      <c r="F56" s="270">
        <f t="shared" si="10"/>
        <v>0</v>
      </c>
      <c r="G56" s="270">
        <f t="shared" si="10"/>
        <v>0</v>
      </c>
      <c r="H56" s="270">
        <f t="shared" si="10"/>
        <v>0</v>
      </c>
      <c r="I56" s="270">
        <f t="shared" si="10"/>
        <v>0</v>
      </c>
      <c r="J56" s="270">
        <f t="shared" si="3"/>
        <v>0</v>
      </c>
      <c r="K56" s="270">
        <f t="shared" si="4"/>
        <v>340511</v>
      </c>
      <c r="L56" s="270">
        <f t="shared" si="10"/>
        <v>356856</v>
      </c>
      <c r="M56" s="271">
        <f t="shared" si="10"/>
        <v>373984</v>
      </c>
      <c r="N56" s="128"/>
    </row>
    <row r="57" spans="1:14" ht="13.5" customHeight="1" x14ac:dyDescent="0.25">
      <c r="A57" s="832" t="s">
        <v>999</v>
      </c>
      <c r="B57" s="722"/>
      <c r="C57" s="382">
        <v>0</v>
      </c>
      <c r="D57" s="109">
        <v>0</v>
      </c>
      <c r="E57" s="109">
        <v>0</v>
      </c>
      <c r="F57" s="109">
        <v>0</v>
      </c>
      <c r="G57" s="109">
        <v>0</v>
      </c>
      <c r="H57" s="109">
        <v>0</v>
      </c>
      <c r="I57" s="109">
        <v>0</v>
      </c>
      <c r="J57" s="173">
        <f t="shared" si="3"/>
        <v>0</v>
      </c>
      <c r="K57" s="173">
        <f t="shared" si="4"/>
        <v>0</v>
      </c>
      <c r="L57" s="109"/>
      <c r="M57" s="110"/>
      <c r="N57" s="128"/>
    </row>
    <row r="58" spans="1:14" ht="13.5" customHeight="1" x14ac:dyDescent="0.25">
      <c r="A58" s="832" t="s">
        <v>1519</v>
      </c>
      <c r="B58" s="722"/>
      <c r="C58" s="382">
        <v>0</v>
      </c>
      <c r="D58" s="109">
        <v>0</v>
      </c>
      <c r="E58" s="109">
        <v>0</v>
      </c>
      <c r="F58" s="109">
        <v>0</v>
      </c>
      <c r="G58" s="109">
        <v>0</v>
      </c>
      <c r="H58" s="109">
        <v>0</v>
      </c>
      <c r="I58" s="109">
        <v>0</v>
      </c>
      <c r="J58" s="173">
        <f t="shared" si="3"/>
        <v>0</v>
      </c>
      <c r="K58" s="173">
        <f t="shared" si="4"/>
        <v>0</v>
      </c>
      <c r="L58" s="109"/>
      <c r="M58" s="110"/>
      <c r="N58" s="128"/>
    </row>
    <row r="59" spans="1:14" ht="13.5" customHeight="1" x14ac:dyDescent="0.25">
      <c r="A59" s="832" t="s">
        <v>1520</v>
      </c>
      <c r="B59" s="722"/>
      <c r="C59" s="382">
        <v>0</v>
      </c>
      <c r="D59" s="109">
        <v>0</v>
      </c>
      <c r="E59" s="109">
        <v>0</v>
      </c>
      <c r="F59" s="109">
        <v>0</v>
      </c>
      <c r="G59" s="109">
        <v>0</v>
      </c>
      <c r="H59" s="109">
        <v>0</v>
      </c>
      <c r="I59" s="109">
        <v>0</v>
      </c>
      <c r="J59" s="173">
        <f t="shared" si="3"/>
        <v>0</v>
      </c>
      <c r="K59" s="173">
        <f t="shared" si="4"/>
        <v>0</v>
      </c>
      <c r="L59" s="109"/>
      <c r="M59" s="110"/>
      <c r="N59" s="128"/>
    </row>
    <row r="60" spans="1:14" ht="13.5" customHeight="1" x14ac:dyDescent="0.25">
      <c r="A60" s="832" t="s">
        <v>1521</v>
      </c>
      <c r="B60" s="722"/>
      <c r="C60" s="382">
        <v>0</v>
      </c>
      <c r="D60" s="109">
        <v>0</v>
      </c>
      <c r="E60" s="109">
        <v>0</v>
      </c>
      <c r="F60" s="109">
        <v>0</v>
      </c>
      <c r="G60" s="109">
        <v>0</v>
      </c>
      <c r="H60" s="109">
        <v>0</v>
      </c>
      <c r="I60" s="109">
        <v>0</v>
      </c>
      <c r="J60" s="173">
        <f t="shared" si="3"/>
        <v>0</v>
      </c>
      <c r="K60" s="173">
        <f t="shared" si="4"/>
        <v>0</v>
      </c>
      <c r="L60" s="109"/>
      <c r="M60" s="110"/>
      <c r="N60" s="128"/>
    </row>
    <row r="61" spans="1:14" ht="13.5" customHeight="1" x14ac:dyDescent="0.25">
      <c r="A61" s="832" t="s">
        <v>1522</v>
      </c>
      <c r="B61" s="722"/>
      <c r="C61" s="382">
        <v>340511</v>
      </c>
      <c r="D61" s="109">
        <v>340511</v>
      </c>
      <c r="E61" s="109">
        <v>0</v>
      </c>
      <c r="F61" s="109">
        <v>0</v>
      </c>
      <c r="G61" s="109">
        <v>0</v>
      </c>
      <c r="H61" s="109">
        <v>0</v>
      </c>
      <c r="I61" s="109">
        <v>0</v>
      </c>
      <c r="J61" s="173">
        <f t="shared" si="3"/>
        <v>0</v>
      </c>
      <c r="K61" s="173">
        <f t="shared" si="4"/>
        <v>340511</v>
      </c>
      <c r="L61" s="109">
        <v>356856</v>
      </c>
      <c r="M61" s="110">
        <v>373984</v>
      </c>
      <c r="N61" s="128"/>
    </row>
    <row r="62" spans="1:14" ht="13.5" customHeight="1" x14ac:dyDescent="0.25">
      <c r="A62" s="832" t="s">
        <v>1523</v>
      </c>
      <c r="B62" s="722"/>
      <c r="C62" s="382">
        <v>0</v>
      </c>
      <c r="D62" s="109">
        <v>0</v>
      </c>
      <c r="E62" s="109">
        <v>0</v>
      </c>
      <c r="F62" s="109">
        <v>0</v>
      </c>
      <c r="G62" s="109">
        <v>0</v>
      </c>
      <c r="H62" s="109">
        <v>0</v>
      </c>
      <c r="I62" s="109">
        <v>0</v>
      </c>
      <c r="J62" s="173">
        <f t="shared" si="3"/>
        <v>0</v>
      </c>
      <c r="K62" s="173">
        <f t="shared" si="4"/>
        <v>0</v>
      </c>
      <c r="L62" s="109"/>
      <c r="M62" s="110"/>
      <c r="N62" s="128"/>
    </row>
    <row r="63" spans="1:14" ht="13.5" customHeight="1" x14ac:dyDescent="0.25">
      <c r="A63" s="832" t="s">
        <v>1541</v>
      </c>
      <c r="B63" s="722"/>
      <c r="C63" s="382">
        <v>0</v>
      </c>
      <c r="D63" s="109">
        <v>0</v>
      </c>
      <c r="E63" s="109">
        <v>0</v>
      </c>
      <c r="F63" s="109">
        <v>0</v>
      </c>
      <c r="G63" s="109">
        <v>0</v>
      </c>
      <c r="H63" s="109">
        <v>0</v>
      </c>
      <c r="I63" s="109">
        <v>0</v>
      </c>
      <c r="J63" s="173">
        <f>SUM(E63:I63)</f>
        <v>0</v>
      </c>
      <c r="K63" s="173">
        <f>IF(D63=0,C63+J63,D63+J63)</f>
        <v>0</v>
      </c>
      <c r="L63" s="109"/>
      <c r="M63" s="110"/>
      <c r="N63" s="128"/>
    </row>
    <row r="64" spans="1:14" ht="13.5" customHeight="1" x14ac:dyDescent="0.25">
      <c r="A64" s="832" t="s">
        <v>1542</v>
      </c>
      <c r="B64" s="722"/>
      <c r="C64" s="382"/>
      <c r="D64" s="109">
        <v>0</v>
      </c>
      <c r="E64" s="109">
        <v>0</v>
      </c>
      <c r="F64" s="109">
        <v>0</v>
      </c>
      <c r="G64" s="109">
        <v>0</v>
      </c>
      <c r="H64" s="109">
        <v>0</v>
      </c>
      <c r="I64" s="109">
        <v>0</v>
      </c>
      <c r="J64" s="173">
        <f t="shared" si="3"/>
        <v>0</v>
      </c>
      <c r="K64" s="173">
        <f t="shared" si="4"/>
        <v>0</v>
      </c>
      <c r="L64" s="109"/>
      <c r="M64" s="110"/>
      <c r="N64" s="128"/>
    </row>
    <row r="65" spans="1:14" ht="13.5" customHeight="1" x14ac:dyDescent="0.25">
      <c r="A65" s="710" t="s">
        <v>619</v>
      </c>
      <c r="B65" s="722"/>
      <c r="C65" s="711">
        <f>SUM(C66:C67)</f>
        <v>519915</v>
      </c>
      <c r="D65" s="270">
        <f t="shared" ref="D65:I65" si="11">SUM(D66:D67)</f>
        <v>519915</v>
      </c>
      <c r="E65" s="270">
        <f t="shared" si="11"/>
        <v>0</v>
      </c>
      <c r="F65" s="270">
        <f t="shared" si="11"/>
        <v>0</v>
      </c>
      <c r="G65" s="270">
        <f t="shared" si="11"/>
        <v>0</v>
      </c>
      <c r="H65" s="270">
        <f t="shared" si="11"/>
        <v>0</v>
      </c>
      <c r="I65" s="270">
        <f t="shared" si="11"/>
        <v>0</v>
      </c>
      <c r="J65" s="270">
        <f t="shared" si="3"/>
        <v>0</v>
      </c>
      <c r="K65" s="270">
        <f t="shared" si="4"/>
        <v>519915</v>
      </c>
      <c r="L65" s="270">
        <f>SUM(L66:L67)</f>
        <v>544870</v>
      </c>
      <c r="M65" s="271">
        <f>SUM(M66:M67)</f>
        <v>571022</v>
      </c>
      <c r="N65" s="128"/>
    </row>
    <row r="66" spans="1:14" ht="13.5" customHeight="1" x14ac:dyDescent="0.25">
      <c r="A66" s="832" t="s">
        <v>619</v>
      </c>
      <c r="B66" s="722"/>
      <c r="C66" s="382">
        <v>519915</v>
      </c>
      <c r="D66" s="109">
        <v>519915</v>
      </c>
      <c r="E66" s="109">
        <v>0</v>
      </c>
      <c r="F66" s="109">
        <v>0</v>
      </c>
      <c r="G66" s="109">
        <v>0</v>
      </c>
      <c r="H66" s="109">
        <v>0</v>
      </c>
      <c r="I66" s="109">
        <v>0</v>
      </c>
      <c r="J66" s="173">
        <f t="shared" si="3"/>
        <v>0</v>
      </c>
      <c r="K66" s="173">
        <f t="shared" si="4"/>
        <v>519915</v>
      </c>
      <c r="L66" s="109">
        <v>544870</v>
      </c>
      <c r="M66" s="110">
        <v>571022</v>
      </c>
      <c r="N66" s="128"/>
    </row>
    <row r="67" spans="1:14" ht="13.5" customHeight="1" x14ac:dyDescent="0.25">
      <c r="A67" s="832" t="s">
        <v>1524</v>
      </c>
      <c r="B67" s="722"/>
      <c r="C67" s="382"/>
      <c r="D67" s="109">
        <v>0</v>
      </c>
      <c r="E67" s="109">
        <v>0</v>
      </c>
      <c r="F67" s="109">
        <v>0</v>
      </c>
      <c r="G67" s="109">
        <v>0</v>
      </c>
      <c r="H67" s="109">
        <v>0</v>
      </c>
      <c r="I67" s="109">
        <v>0</v>
      </c>
      <c r="J67" s="173">
        <f t="shared" si="3"/>
        <v>0</v>
      </c>
      <c r="K67" s="173">
        <f t="shared" si="4"/>
        <v>0</v>
      </c>
      <c r="L67" s="109"/>
      <c r="M67" s="110"/>
      <c r="N67" s="128"/>
    </row>
    <row r="68" spans="1:14" ht="13.5" customHeight="1" x14ac:dyDescent="0.25">
      <c r="A68" s="710" t="s">
        <v>620</v>
      </c>
      <c r="B68" s="722"/>
      <c r="C68" s="711">
        <f>SUM(C69:C75)</f>
        <v>3135</v>
      </c>
      <c r="D68" s="270">
        <f t="shared" ref="D68:I68" si="12">SUM(D69:D75)</f>
        <v>3135</v>
      </c>
      <c r="E68" s="270">
        <f t="shared" si="12"/>
        <v>0</v>
      </c>
      <c r="F68" s="270">
        <f t="shared" si="12"/>
        <v>0</v>
      </c>
      <c r="G68" s="270">
        <f t="shared" si="12"/>
        <v>0</v>
      </c>
      <c r="H68" s="270">
        <f t="shared" si="12"/>
        <v>0</v>
      </c>
      <c r="I68" s="270">
        <f t="shared" si="12"/>
        <v>0</v>
      </c>
      <c r="J68" s="270">
        <f t="shared" si="3"/>
        <v>0</v>
      </c>
      <c r="K68" s="270">
        <f t="shared" si="4"/>
        <v>3135</v>
      </c>
      <c r="L68" s="270">
        <f>SUM(L69:L75)</f>
        <v>3285</v>
      </c>
      <c r="M68" s="271">
        <f>SUM(M69:M75)</f>
        <v>3441</v>
      </c>
      <c r="N68" s="128"/>
    </row>
    <row r="69" spans="1:14" ht="13.5" customHeight="1" x14ac:dyDescent="0.25">
      <c r="A69" s="832" t="s">
        <v>257</v>
      </c>
      <c r="B69" s="722"/>
      <c r="C69" s="382">
        <v>0</v>
      </c>
      <c r="D69" s="109">
        <v>0</v>
      </c>
      <c r="E69" s="109">
        <v>0</v>
      </c>
      <c r="F69" s="109">
        <v>0</v>
      </c>
      <c r="G69" s="109">
        <v>0</v>
      </c>
      <c r="H69" s="109">
        <v>0</v>
      </c>
      <c r="I69" s="109">
        <v>0</v>
      </c>
      <c r="J69" s="173">
        <f t="shared" si="3"/>
        <v>0</v>
      </c>
      <c r="K69" s="173">
        <f t="shared" si="4"/>
        <v>0</v>
      </c>
      <c r="L69" s="109"/>
      <c r="M69" s="110"/>
      <c r="N69" s="128"/>
    </row>
    <row r="70" spans="1:14" ht="13.5" customHeight="1" x14ac:dyDescent="0.25">
      <c r="A70" s="832" t="s">
        <v>1525</v>
      </c>
      <c r="B70" s="722"/>
      <c r="C70" s="382">
        <v>3135</v>
      </c>
      <c r="D70" s="109">
        <v>3135</v>
      </c>
      <c r="E70" s="109">
        <v>0</v>
      </c>
      <c r="F70" s="109">
        <v>0</v>
      </c>
      <c r="G70" s="109">
        <v>0</v>
      </c>
      <c r="H70" s="109">
        <v>0</v>
      </c>
      <c r="I70" s="109">
        <v>0</v>
      </c>
      <c r="J70" s="173">
        <f t="shared" si="3"/>
        <v>0</v>
      </c>
      <c r="K70" s="173">
        <f t="shared" si="4"/>
        <v>3135</v>
      </c>
      <c r="L70" s="109"/>
      <c r="M70" s="110"/>
      <c r="N70" s="128"/>
    </row>
    <row r="71" spans="1:14" ht="13.5" customHeight="1" x14ac:dyDescent="0.25">
      <c r="A71" s="832" t="s">
        <v>1526</v>
      </c>
      <c r="B71" s="722"/>
      <c r="C71" s="382">
        <v>0</v>
      </c>
      <c r="D71" s="109">
        <v>0</v>
      </c>
      <c r="E71" s="109">
        <v>0</v>
      </c>
      <c r="F71" s="109">
        <v>0</v>
      </c>
      <c r="G71" s="109">
        <v>0</v>
      </c>
      <c r="H71" s="109">
        <v>0</v>
      </c>
      <c r="I71" s="109">
        <v>0</v>
      </c>
      <c r="J71" s="173">
        <f t="shared" si="3"/>
        <v>0</v>
      </c>
      <c r="K71" s="173">
        <f t="shared" si="4"/>
        <v>0</v>
      </c>
      <c r="L71" s="109"/>
      <c r="M71" s="110"/>
      <c r="N71" s="128"/>
    </row>
    <row r="72" spans="1:14" ht="13.5" customHeight="1" x14ac:dyDescent="0.25">
      <c r="A72" s="832" t="s">
        <v>1527</v>
      </c>
      <c r="B72" s="722"/>
      <c r="C72" s="382">
        <v>0</v>
      </c>
      <c r="D72" s="109">
        <v>0</v>
      </c>
      <c r="E72" s="109">
        <v>0</v>
      </c>
      <c r="F72" s="109">
        <v>0</v>
      </c>
      <c r="G72" s="109">
        <v>0</v>
      </c>
      <c r="H72" s="109">
        <v>0</v>
      </c>
      <c r="I72" s="109">
        <v>0</v>
      </c>
      <c r="J72" s="173">
        <f t="shared" si="3"/>
        <v>0</v>
      </c>
      <c r="K72" s="173">
        <f t="shared" si="4"/>
        <v>0</v>
      </c>
      <c r="L72" s="109">
        <v>3285</v>
      </c>
      <c r="M72" s="110">
        <v>3441</v>
      </c>
      <c r="N72" s="128"/>
    </row>
    <row r="73" spans="1:14" ht="13.5" customHeight="1" x14ac:dyDescent="0.25">
      <c r="A73" s="832" t="s">
        <v>1528</v>
      </c>
      <c r="B73" s="722"/>
      <c r="C73" s="382">
        <v>0</v>
      </c>
      <c r="D73" s="109">
        <v>0</v>
      </c>
      <c r="E73" s="109">
        <v>0</v>
      </c>
      <c r="F73" s="109">
        <v>0</v>
      </c>
      <c r="G73" s="109">
        <v>0</v>
      </c>
      <c r="H73" s="109">
        <v>0</v>
      </c>
      <c r="I73" s="109">
        <v>0</v>
      </c>
      <c r="J73" s="173">
        <f t="shared" si="3"/>
        <v>0</v>
      </c>
      <c r="K73" s="173">
        <f t="shared" si="4"/>
        <v>0</v>
      </c>
      <c r="L73" s="109"/>
      <c r="M73" s="110"/>
      <c r="N73" s="128"/>
    </row>
    <row r="74" spans="1:14" ht="13.5" customHeight="1" x14ac:dyDescent="0.25">
      <c r="A74" s="832" t="s">
        <v>1529</v>
      </c>
      <c r="B74" s="722"/>
      <c r="C74" s="382">
        <v>0</v>
      </c>
      <c r="D74" s="109">
        <v>0</v>
      </c>
      <c r="E74" s="109">
        <v>0</v>
      </c>
      <c r="F74" s="109">
        <v>0</v>
      </c>
      <c r="G74" s="109">
        <v>0</v>
      </c>
      <c r="H74" s="109">
        <v>0</v>
      </c>
      <c r="I74" s="109">
        <v>0</v>
      </c>
      <c r="J74" s="173">
        <f t="shared" si="3"/>
        <v>0</v>
      </c>
      <c r="K74" s="173">
        <f t="shared" si="4"/>
        <v>0</v>
      </c>
      <c r="L74" s="109"/>
      <c r="M74" s="110"/>
      <c r="N74" s="128"/>
    </row>
    <row r="75" spans="1:14" ht="13.5" customHeight="1" x14ac:dyDescent="0.25">
      <c r="A75" s="832" t="s">
        <v>1530</v>
      </c>
      <c r="B75" s="722"/>
      <c r="C75" s="382">
        <v>0</v>
      </c>
      <c r="D75" s="109">
        <v>0</v>
      </c>
      <c r="E75" s="109">
        <v>0</v>
      </c>
      <c r="F75" s="109">
        <v>0</v>
      </c>
      <c r="G75" s="109">
        <v>0</v>
      </c>
      <c r="H75" s="109">
        <v>0</v>
      </c>
      <c r="I75" s="109">
        <v>0</v>
      </c>
      <c r="J75" s="173">
        <f t="shared" ref="J75:J135" si="13">SUM(E75:I75)</f>
        <v>0</v>
      </c>
      <c r="K75" s="173">
        <f t="shared" ref="K75:K135" si="14">IF(D75=0,C75+J75,D75+J75)</f>
        <v>0</v>
      </c>
      <c r="L75" s="109"/>
      <c r="M75" s="110"/>
      <c r="N75" s="128"/>
    </row>
    <row r="76" spans="1:14" ht="13.5" customHeight="1" x14ac:dyDescent="0.25">
      <c r="A76" s="107" t="s">
        <v>621</v>
      </c>
      <c r="B76" s="723"/>
      <c r="C76" s="708">
        <f t="shared" ref="C76:I76" si="15">C77+C88+C93</f>
        <v>143188134</v>
      </c>
      <c r="D76" s="707">
        <f t="shared" si="15"/>
        <v>143188134</v>
      </c>
      <c r="E76" s="707">
        <f t="shared" si="15"/>
        <v>0</v>
      </c>
      <c r="F76" s="707">
        <f t="shared" si="15"/>
        <v>0</v>
      </c>
      <c r="G76" s="707">
        <f t="shared" si="15"/>
        <v>0</v>
      </c>
      <c r="H76" s="707">
        <f t="shared" si="15"/>
        <v>0</v>
      </c>
      <c r="I76" s="707">
        <f t="shared" si="15"/>
        <v>-7286000</v>
      </c>
      <c r="J76" s="707">
        <f t="shared" si="13"/>
        <v>-7286000</v>
      </c>
      <c r="K76" s="707">
        <f t="shared" si="14"/>
        <v>135902134</v>
      </c>
      <c r="L76" s="707">
        <f>L77+L88+L93</f>
        <v>151109157</v>
      </c>
      <c r="M76" s="709">
        <f>M77+M88+M93</f>
        <v>158362386</v>
      </c>
      <c r="N76" s="128"/>
    </row>
    <row r="77" spans="1:14" ht="13.5" customHeight="1" x14ac:dyDescent="0.25">
      <c r="A77" s="710" t="s">
        <v>622</v>
      </c>
      <c r="B77" s="723"/>
      <c r="C77" s="711">
        <f>SUM(C78:C87)</f>
        <v>53905406</v>
      </c>
      <c r="D77" s="270">
        <f t="shared" ref="D77:I77" si="16">SUM(D78:D87)</f>
        <v>53905406</v>
      </c>
      <c r="E77" s="270">
        <f t="shared" si="16"/>
        <v>0</v>
      </c>
      <c r="F77" s="270">
        <f t="shared" si="16"/>
        <v>0</v>
      </c>
      <c r="G77" s="270">
        <f t="shared" si="16"/>
        <v>0</v>
      </c>
      <c r="H77" s="270">
        <f t="shared" si="16"/>
        <v>0</v>
      </c>
      <c r="I77" s="270">
        <f t="shared" si="16"/>
        <v>-3500000</v>
      </c>
      <c r="J77" s="270">
        <f t="shared" si="13"/>
        <v>-3500000</v>
      </c>
      <c r="K77" s="270">
        <f t="shared" si="14"/>
        <v>50405406</v>
      </c>
      <c r="L77" s="270">
        <f>SUM(L78:L87)</f>
        <v>57540861</v>
      </c>
      <c r="M77" s="271">
        <f>SUM(M78:M87)</f>
        <v>60302818</v>
      </c>
      <c r="N77" s="128"/>
    </row>
    <row r="78" spans="1:14" ht="13.5" customHeight="1" x14ac:dyDescent="0.25">
      <c r="A78" s="832" t="s">
        <v>1531</v>
      </c>
      <c r="B78" s="723"/>
      <c r="C78" s="382">
        <v>0</v>
      </c>
      <c r="D78" s="109">
        <v>0</v>
      </c>
      <c r="E78" s="109">
        <v>0</v>
      </c>
      <c r="F78" s="109">
        <v>0</v>
      </c>
      <c r="G78" s="109">
        <v>0</v>
      </c>
      <c r="H78" s="109">
        <v>0</v>
      </c>
      <c r="I78" s="109">
        <v>0</v>
      </c>
      <c r="J78" s="173">
        <f t="shared" si="13"/>
        <v>0</v>
      </c>
      <c r="K78" s="173">
        <f t="shared" si="14"/>
        <v>0</v>
      </c>
      <c r="L78" s="109"/>
      <c r="M78" s="110"/>
      <c r="N78" s="128"/>
    </row>
    <row r="79" spans="1:14" ht="13.5" customHeight="1" x14ac:dyDescent="0.25">
      <c r="A79" s="832" t="s">
        <v>1532</v>
      </c>
      <c r="B79" s="723"/>
      <c r="C79" s="382">
        <v>2090</v>
      </c>
      <c r="D79" s="109">
        <v>2090</v>
      </c>
      <c r="E79" s="109">
        <v>0</v>
      </c>
      <c r="F79" s="109">
        <v>0</v>
      </c>
      <c r="G79" s="109">
        <v>0</v>
      </c>
      <c r="H79" s="109">
        <v>0</v>
      </c>
      <c r="I79" s="109">
        <v>0</v>
      </c>
      <c r="J79" s="173">
        <f t="shared" si="13"/>
        <v>0</v>
      </c>
      <c r="K79" s="173">
        <f t="shared" si="14"/>
        <v>2090</v>
      </c>
      <c r="L79" s="109"/>
      <c r="M79" s="110"/>
      <c r="N79" s="128"/>
    </row>
    <row r="80" spans="1:14" ht="13.5" customHeight="1" x14ac:dyDescent="0.25">
      <c r="A80" s="832" t="s">
        <v>1533</v>
      </c>
      <c r="B80" s="723"/>
      <c r="C80" s="382">
        <v>0</v>
      </c>
      <c r="D80" s="109">
        <v>0</v>
      </c>
      <c r="E80" s="109">
        <v>0</v>
      </c>
      <c r="F80" s="109">
        <v>0</v>
      </c>
      <c r="G80" s="109">
        <v>0</v>
      </c>
      <c r="H80" s="109">
        <v>0</v>
      </c>
      <c r="I80" s="109">
        <v>0</v>
      </c>
      <c r="J80" s="173">
        <f t="shared" si="13"/>
        <v>0</v>
      </c>
      <c r="K80" s="173">
        <f t="shared" si="14"/>
        <v>0</v>
      </c>
      <c r="L80" s="109"/>
      <c r="M80" s="110"/>
      <c r="N80" s="128"/>
    </row>
    <row r="81" spans="1:14" ht="13.5" customHeight="1" x14ac:dyDescent="0.25">
      <c r="A81" s="832" t="s">
        <v>1534</v>
      </c>
      <c r="B81" s="723"/>
      <c r="C81" s="382">
        <v>0</v>
      </c>
      <c r="D81" s="109">
        <v>0</v>
      </c>
      <c r="E81" s="109">
        <v>0</v>
      </c>
      <c r="F81" s="109">
        <v>0</v>
      </c>
      <c r="G81" s="109">
        <v>0</v>
      </c>
      <c r="H81" s="109">
        <v>0</v>
      </c>
      <c r="I81" s="109">
        <v>0</v>
      </c>
      <c r="J81" s="173">
        <f t="shared" si="13"/>
        <v>0</v>
      </c>
      <c r="K81" s="173">
        <f t="shared" si="14"/>
        <v>0</v>
      </c>
      <c r="L81" s="109"/>
      <c r="M81" s="110"/>
      <c r="N81" s="128"/>
    </row>
    <row r="82" spans="1:14" ht="13.5" customHeight="1" x14ac:dyDescent="0.25">
      <c r="A82" s="832" t="s">
        <v>1535</v>
      </c>
      <c r="B82" s="723"/>
      <c r="C82" s="382">
        <v>4078488</v>
      </c>
      <c r="D82" s="109">
        <v>4078488</v>
      </c>
      <c r="E82" s="109">
        <v>0</v>
      </c>
      <c r="F82" s="109">
        <v>0</v>
      </c>
      <c r="G82" s="109">
        <v>0</v>
      </c>
      <c r="H82" s="109">
        <v>0</v>
      </c>
      <c r="I82" s="109">
        <v>0</v>
      </c>
      <c r="J82" s="173">
        <f t="shared" si="13"/>
        <v>0</v>
      </c>
      <c r="K82" s="173">
        <f t="shared" si="14"/>
        <v>4078488</v>
      </c>
      <c r="L82" s="109">
        <v>57540861</v>
      </c>
      <c r="M82" s="110">
        <v>60302818</v>
      </c>
      <c r="N82" s="128"/>
    </row>
    <row r="83" spans="1:14" ht="13.5" customHeight="1" x14ac:dyDescent="0.25">
      <c r="A83" s="832" t="s">
        <v>1536</v>
      </c>
      <c r="B83" s="723"/>
      <c r="C83" s="382">
        <v>0</v>
      </c>
      <c r="D83" s="109">
        <v>0</v>
      </c>
      <c r="E83" s="109">
        <v>0</v>
      </c>
      <c r="F83" s="109">
        <v>0</v>
      </c>
      <c r="G83" s="109">
        <v>0</v>
      </c>
      <c r="H83" s="109">
        <v>0</v>
      </c>
      <c r="I83" s="109">
        <v>0</v>
      </c>
      <c r="J83" s="173">
        <f t="shared" si="13"/>
        <v>0</v>
      </c>
      <c r="K83" s="173">
        <f t="shared" si="14"/>
        <v>0</v>
      </c>
      <c r="L83" s="109"/>
      <c r="M83" s="110"/>
      <c r="N83" s="128"/>
    </row>
    <row r="84" spans="1:14" ht="13.5" customHeight="1" x14ac:dyDescent="0.25">
      <c r="A84" s="832" t="s">
        <v>1537</v>
      </c>
      <c r="B84" s="723"/>
      <c r="C84" s="382">
        <v>49823783</v>
      </c>
      <c r="D84" s="109">
        <v>49823783</v>
      </c>
      <c r="E84" s="109">
        <v>0</v>
      </c>
      <c r="F84" s="109">
        <v>0</v>
      </c>
      <c r="G84" s="109">
        <v>0</v>
      </c>
      <c r="H84" s="109">
        <v>0</v>
      </c>
      <c r="I84" s="109">
        <v>-3500000</v>
      </c>
      <c r="J84" s="173">
        <f t="shared" si="13"/>
        <v>-3500000</v>
      </c>
      <c r="K84" s="173">
        <f t="shared" si="14"/>
        <v>46323783</v>
      </c>
      <c r="L84" s="109"/>
      <c r="M84" s="110"/>
      <c r="N84" s="128"/>
    </row>
    <row r="85" spans="1:14" ht="13.5" customHeight="1" x14ac:dyDescent="0.25">
      <c r="A85" s="832" t="s">
        <v>1538</v>
      </c>
      <c r="B85" s="723"/>
      <c r="C85" s="382">
        <v>1045</v>
      </c>
      <c r="D85" s="109">
        <v>1045</v>
      </c>
      <c r="E85" s="109">
        <v>0</v>
      </c>
      <c r="F85" s="109">
        <v>0</v>
      </c>
      <c r="G85" s="109">
        <v>0</v>
      </c>
      <c r="H85" s="109">
        <v>0</v>
      </c>
      <c r="I85" s="109">
        <v>0</v>
      </c>
      <c r="J85" s="173">
        <f t="shared" si="13"/>
        <v>0</v>
      </c>
      <c r="K85" s="173">
        <f t="shared" si="14"/>
        <v>1045</v>
      </c>
      <c r="L85" s="109"/>
      <c r="M85" s="110"/>
      <c r="N85" s="128"/>
    </row>
    <row r="86" spans="1:14" ht="13.5" customHeight="1" x14ac:dyDescent="0.25">
      <c r="A86" s="832" t="s">
        <v>1539</v>
      </c>
      <c r="B86" s="723"/>
      <c r="C86" s="382">
        <v>0</v>
      </c>
      <c r="D86" s="109">
        <v>0</v>
      </c>
      <c r="E86" s="109">
        <v>0</v>
      </c>
      <c r="F86" s="109">
        <v>0</v>
      </c>
      <c r="G86" s="109">
        <v>0</v>
      </c>
      <c r="H86" s="109">
        <v>0</v>
      </c>
      <c r="I86" s="109">
        <v>0</v>
      </c>
      <c r="J86" s="173">
        <f t="shared" si="13"/>
        <v>0</v>
      </c>
      <c r="K86" s="173">
        <f t="shared" si="14"/>
        <v>0</v>
      </c>
      <c r="L86" s="109"/>
      <c r="M86" s="110"/>
      <c r="N86" s="128"/>
    </row>
    <row r="87" spans="1:14" ht="13.5" customHeight="1" x14ac:dyDescent="0.25">
      <c r="A87" s="832" t="s">
        <v>1540</v>
      </c>
      <c r="B87" s="723"/>
      <c r="C87" s="382">
        <v>0</v>
      </c>
      <c r="D87" s="109">
        <v>0</v>
      </c>
      <c r="E87" s="109">
        <v>0</v>
      </c>
      <c r="F87" s="109">
        <v>0</v>
      </c>
      <c r="G87" s="109">
        <v>0</v>
      </c>
      <c r="H87" s="109">
        <v>0</v>
      </c>
      <c r="I87" s="109">
        <v>0</v>
      </c>
      <c r="J87" s="173">
        <f t="shared" si="13"/>
        <v>0</v>
      </c>
      <c r="K87" s="173">
        <f t="shared" si="14"/>
        <v>0</v>
      </c>
      <c r="L87" s="109"/>
      <c r="M87" s="110"/>
      <c r="N87" s="128"/>
    </row>
    <row r="88" spans="1:14" ht="13.5" customHeight="1" x14ac:dyDescent="0.25">
      <c r="A88" s="710" t="s">
        <v>623</v>
      </c>
      <c r="B88" s="723"/>
      <c r="C88" s="711">
        <f t="shared" ref="C88:I88" si="17">SUM(C89:C92)</f>
        <v>87293975</v>
      </c>
      <c r="D88" s="270">
        <f t="shared" si="17"/>
        <v>87293975</v>
      </c>
      <c r="E88" s="270">
        <f t="shared" si="17"/>
        <v>0</v>
      </c>
      <c r="F88" s="270">
        <f t="shared" si="17"/>
        <v>0</v>
      </c>
      <c r="G88" s="270">
        <f t="shared" si="17"/>
        <v>0</v>
      </c>
      <c r="H88" s="270">
        <f t="shared" si="17"/>
        <v>0</v>
      </c>
      <c r="I88" s="270">
        <f t="shared" si="17"/>
        <v>-3786000</v>
      </c>
      <c r="J88" s="270">
        <f t="shared" si="13"/>
        <v>-3786000</v>
      </c>
      <c r="K88" s="270">
        <f t="shared" si="14"/>
        <v>83507975</v>
      </c>
      <c r="L88" s="270">
        <f>SUM(L89:L92)</f>
        <v>91484084</v>
      </c>
      <c r="M88" s="271">
        <f>SUM(M89:M92)</f>
        <v>95875314</v>
      </c>
      <c r="N88" s="128"/>
    </row>
    <row r="89" spans="1:14" ht="13.5" customHeight="1" x14ac:dyDescent="0.25">
      <c r="A89" s="832" t="s">
        <v>1543</v>
      </c>
      <c r="B89" s="723"/>
      <c r="C89" s="382">
        <v>0</v>
      </c>
      <c r="D89" s="109">
        <v>3004180</v>
      </c>
      <c r="E89" s="109">
        <v>0</v>
      </c>
      <c r="F89" s="109">
        <v>0</v>
      </c>
      <c r="G89" s="109">
        <v>0</v>
      </c>
      <c r="H89" s="109">
        <v>0</v>
      </c>
      <c r="I89" s="109">
        <v>0</v>
      </c>
      <c r="J89" s="173">
        <f t="shared" si="13"/>
        <v>0</v>
      </c>
      <c r="K89" s="173">
        <f t="shared" si="14"/>
        <v>3004180</v>
      </c>
      <c r="L89" s="109"/>
      <c r="M89" s="110"/>
      <c r="N89" s="128"/>
    </row>
    <row r="90" spans="1:14" ht="13.5" customHeight="1" x14ac:dyDescent="0.25">
      <c r="A90" s="832" t="s">
        <v>1544</v>
      </c>
      <c r="B90" s="723"/>
      <c r="C90" s="382">
        <v>0</v>
      </c>
      <c r="D90" s="109">
        <v>56205979</v>
      </c>
      <c r="E90" s="109">
        <v>0</v>
      </c>
      <c r="F90" s="109">
        <v>0</v>
      </c>
      <c r="G90" s="109">
        <v>0</v>
      </c>
      <c r="H90" s="109">
        <v>0</v>
      </c>
      <c r="I90" s="109">
        <v>-3786000</v>
      </c>
      <c r="J90" s="173">
        <f t="shared" si="13"/>
        <v>-3786000</v>
      </c>
      <c r="K90" s="173">
        <f t="shared" si="14"/>
        <v>52419979</v>
      </c>
      <c r="L90" s="109"/>
      <c r="M90" s="110"/>
      <c r="N90" s="128"/>
    </row>
    <row r="91" spans="1:14" ht="13.5" customHeight="1" x14ac:dyDescent="0.25">
      <c r="A91" s="832" t="s">
        <v>1000</v>
      </c>
      <c r="B91" s="723"/>
      <c r="C91" s="382">
        <v>87293975</v>
      </c>
      <c r="D91" s="109">
        <v>28083816</v>
      </c>
      <c r="E91" s="109">
        <v>0</v>
      </c>
      <c r="F91" s="109">
        <v>0</v>
      </c>
      <c r="G91" s="109">
        <v>0</v>
      </c>
      <c r="H91" s="109">
        <v>0</v>
      </c>
      <c r="I91" s="109">
        <v>0</v>
      </c>
      <c r="J91" s="173">
        <f t="shared" si="13"/>
        <v>0</v>
      </c>
      <c r="K91" s="173">
        <f t="shared" si="14"/>
        <v>28083816</v>
      </c>
      <c r="L91" s="109">
        <v>91484084</v>
      </c>
      <c r="M91" s="110">
        <v>95875314</v>
      </c>
      <c r="N91" s="128"/>
    </row>
    <row r="92" spans="1:14" ht="13.5" customHeight="1" x14ac:dyDescent="0.25">
      <c r="A92" s="832" t="s">
        <v>1545</v>
      </c>
      <c r="B92" s="723"/>
      <c r="C92" s="382"/>
      <c r="D92" s="109">
        <v>0</v>
      </c>
      <c r="E92" s="109">
        <v>0</v>
      </c>
      <c r="F92" s="109">
        <v>0</v>
      </c>
      <c r="G92" s="109">
        <v>0</v>
      </c>
      <c r="H92" s="109">
        <v>0</v>
      </c>
      <c r="I92" s="109">
        <v>0</v>
      </c>
      <c r="J92" s="173">
        <f t="shared" si="13"/>
        <v>0</v>
      </c>
      <c r="K92" s="173">
        <f t="shared" si="14"/>
        <v>0</v>
      </c>
      <c r="L92" s="109"/>
      <c r="M92" s="110"/>
      <c r="N92" s="128"/>
    </row>
    <row r="93" spans="1:14" ht="13.5" customHeight="1" x14ac:dyDescent="0.25">
      <c r="A93" s="710" t="s">
        <v>624</v>
      </c>
      <c r="B93" s="723"/>
      <c r="C93" s="711">
        <f>SUM(C94:C99)</f>
        <v>1988753</v>
      </c>
      <c r="D93" s="270">
        <f t="shared" ref="D93:I93" si="18">SUM(D94:D99)</f>
        <v>1988753</v>
      </c>
      <c r="E93" s="270">
        <f t="shared" si="18"/>
        <v>0</v>
      </c>
      <c r="F93" s="270">
        <f t="shared" si="18"/>
        <v>0</v>
      </c>
      <c r="G93" s="270">
        <f t="shared" si="18"/>
        <v>0</v>
      </c>
      <c r="H93" s="270">
        <f t="shared" si="18"/>
        <v>0</v>
      </c>
      <c r="I93" s="270">
        <f t="shared" si="18"/>
        <v>0</v>
      </c>
      <c r="J93" s="270">
        <f t="shared" si="13"/>
        <v>0</v>
      </c>
      <c r="K93" s="270">
        <f t="shared" si="14"/>
        <v>1988753</v>
      </c>
      <c r="L93" s="270">
        <f>SUM(L94:L99)</f>
        <v>2084212</v>
      </c>
      <c r="M93" s="271">
        <f>SUM(M94:M99)</f>
        <v>2184254</v>
      </c>
      <c r="N93" s="128"/>
    </row>
    <row r="94" spans="1:14" ht="13.5" customHeight="1" x14ac:dyDescent="0.25">
      <c r="A94" s="832" t="s">
        <v>1546</v>
      </c>
      <c r="B94" s="723"/>
      <c r="C94" s="382">
        <v>1988753</v>
      </c>
      <c r="D94" s="109">
        <v>1988753</v>
      </c>
      <c r="E94" s="109">
        <v>0</v>
      </c>
      <c r="F94" s="109">
        <v>0</v>
      </c>
      <c r="G94" s="109">
        <v>0</v>
      </c>
      <c r="H94" s="109">
        <v>0</v>
      </c>
      <c r="I94" s="109">
        <v>0</v>
      </c>
      <c r="J94" s="173">
        <f t="shared" si="13"/>
        <v>0</v>
      </c>
      <c r="K94" s="173">
        <f t="shared" si="14"/>
        <v>1988753</v>
      </c>
      <c r="L94" s="109"/>
      <c r="M94" s="110"/>
      <c r="N94" s="128"/>
    </row>
    <row r="95" spans="1:14" ht="13.5" customHeight="1" x14ac:dyDescent="0.25">
      <c r="A95" s="832" t="s">
        <v>1547</v>
      </c>
      <c r="B95" s="723"/>
      <c r="C95" s="382">
        <v>0</v>
      </c>
      <c r="D95" s="109">
        <v>0</v>
      </c>
      <c r="E95" s="109">
        <v>0</v>
      </c>
      <c r="F95" s="109">
        <v>0</v>
      </c>
      <c r="G95" s="109">
        <v>0</v>
      </c>
      <c r="H95" s="109">
        <v>0</v>
      </c>
      <c r="I95" s="109">
        <v>0</v>
      </c>
      <c r="J95" s="173">
        <f t="shared" si="13"/>
        <v>0</v>
      </c>
      <c r="K95" s="173">
        <f t="shared" si="14"/>
        <v>0</v>
      </c>
      <c r="L95" s="109"/>
      <c r="M95" s="110"/>
      <c r="N95" s="128"/>
    </row>
    <row r="96" spans="1:14" ht="13.5" customHeight="1" x14ac:dyDescent="0.25">
      <c r="A96" s="832" t="s">
        <v>1548</v>
      </c>
      <c r="B96" s="723"/>
      <c r="C96" s="382">
        <v>0</v>
      </c>
      <c r="D96" s="109">
        <v>0</v>
      </c>
      <c r="E96" s="109">
        <v>0</v>
      </c>
      <c r="F96" s="109">
        <v>0</v>
      </c>
      <c r="G96" s="109">
        <v>0</v>
      </c>
      <c r="H96" s="109">
        <v>0</v>
      </c>
      <c r="I96" s="109">
        <v>0</v>
      </c>
      <c r="J96" s="173">
        <f t="shared" si="13"/>
        <v>0</v>
      </c>
      <c r="K96" s="173">
        <f t="shared" si="14"/>
        <v>0</v>
      </c>
      <c r="L96" s="109"/>
      <c r="M96" s="110"/>
      <c r="N96" s="128"/>
    </row>
    <row r="97" spans="1:14" ht="13.5" customHeight="1" x14ac:dyDescent="0.25">
      <c r="A97" s="832" t="s">
        <v>1549</v>
      </c>
      <c r="B97" s="723"/>
      <c r="C97" s="382">
        <v>0</v>
      </c>
      <c r="D97" s="109">
        <v>0</v>
      </c>
      <c r="E97" s="109">
        <v>0</v>
      </c>
      <c r="F97" s="109">
        <v>0</v>
      </c>
      <c r="G97" s="109">
        <v>0</v>
      </c>
      <c r="H97" s="109">
        <v>0</v>
      </c>
      <c r="I97" s="109">
        <v>0</v>
      </c>
      <c r="J97" s="173">
        <f t="shared" si="13"/>
        <v>0</v>
      </c>
      <c r="K97" s="173">
        <f t="shared" si="14"/>
        <v>0</v>
      </c>
      <c r="L97" s="109">
        <v>2084212</v>
      </c>
      <c r="M97" s="110">
        <v>2184254</v>
      </c>
      <c r="N97" s="128"/>
    </row>
    <row r="98" spans="1:14" ht="13.5" customHeight="1" x14ac:dyDescent="0.25">
      <c r="A98" s="832" t="s">
        <v>1001</v>
      </c>
      <c r="B98" s="723"/>
      <c r="C98" s="382">
        <v>0</v>
      </c>
      <c r="D98" s="109">
        <v>0</v>
      </c>
      <c r="E98" s="109">
        <v>0</v>
      </c>
      <c r="F98" s="109">
        <v>0</v>
      </c>
      <c r="G98" s="109">
        <v>0</v>
      </c>
      <c r="H98" s="109">
        <v>0</v>
      </c>
      <c r="I98" s="109">
        <v>0</v>
      </c>
      <c r="J98" s="173">
        <f t="shared" si="13"/>
        <v>0</v>
      </c>
      <c r="K98" s="173">
        <f t="shared" si="14"/>
        <v>0</v>
      </c>
      <c r="L98" s="109"/>
      <c r="M98" s="110"/>
      <c r="N98" s="128"/>
    </row>
    <row r="99" spans="1:14" ht="13.5" customHeight="1" x14ac:dyDescent="0.25">
      <c r="A99" s="832" t="s">
        <v>1550</v>
      </c>
      <c r="B99" s="723"/>
      <c r="C99" s="382">
        <v>0</v>
      </c>
      <c r="D99" s="109">
        <v>0</v>
      </c>
      <c r="E99" s="109">
        <v>0</v>
      </c>
      <c r="F99" s="109">
        <v>0</v>
      </c>
      <c r="G99" s="109">
        <v>0</v>
      </c>
      <c r="H99" s="109">
        <v>0</v>
      </c>
      <c r="I99" s="109">
        <v>0</v>
      </c>
      <c r="J99" s="173">
        <f t="shared" si="13"/>
        <v>0</v>
      </c>
      <c r="K99" s="173">
        <f t="shared" si="14"/>
        <v>0</v>
      </c>
      <c r="L99" s="109"/>
      <c r="M99" s="110"/>
      <c r="N99" s="128"/>
    </row>
    <row r="100" spans="1:14" ht="13.5" customHeight="1" x14ac:dyDescent="0.25">
      <c r="A100" s="107" t="s">
        <v>625</v>
      </c>
      <c r="B100" s="723"/>
      <c r="C100" s="708">
        <f>C101+C105+C109+C114</f>
        <v>1780203008</v>
      </c>
      <c r="D100" s="707">
        <f t="shared" ref="D100:M100" si="19">D101+D105+D109+D114</f>
        <v>1780203008</v>
      </c>
      <c r="E100" s="707">
        <f t="shared" si="19"/>
        <v>0</v>
      </c>
      <c r="F100" s="707">
        <f t="shared" si="19"/>
        <v>0</v>
      </c>
      <c r="G100" s="707">
        <f t="shared" si="19"/>
        <v>0</v>
      </c>
      <c r="H100" s="707">
        <f t="shared" si="19"/>
        <v>0</v>
      </c>
      <c r="I100" s="707">
        <f t="shared" si="19"/>
        <v>-43000000</v>
      </c>
      <c r="J100" s="707">
        <f t="shared" si="13"/>
        <v>-43000000</v>
      </c>
      <c r="K100" s="707">
        <f t="shared" si="14"/>
        <v>1737203008</v>
      </c>
      <c r="L100" s="707">
        <f t="shared" si="19"/>
        <v>1942196651</v>
      </c>
      <c r="M100" s="709">
        <f t="shared" si="19"/>
        <v>2120385812</v>
      </c>
      <c r="N100" s="128"/>
    </row>
    <row r="101" spans="1:14" ht="13.5" customHeight="1" x14ac:dyDescent="0.25">
      <c r="A101" s="710" t="s">
        <v>1483</v>
      </c>
      <c r="B101" s="723"/>
      <c r="C101" s="711">
        <f>SUM(C102:C104)</f>
        <v>1234593773</v>
      </c>
      <c r="D101" s="270">
        <f t="shared" ref="D101:I101" si="20">SUM(D102:D104)</f>
        <v>1234593773</v>
      </c>
      <c r="E101" s="270">
        <f t="shared" si="20"/>
        <v>0</v>
      </c>
      <c r="F101" s="270">
        <f t="shared" si="20"/>
        <v>0</v>
      </c>
      <c r="G101" s="270">
        <f t="shared" si="20"/>
        <v>0</v>
      </c>
      <c r="H101" s="270">
        <f t="shared" si="20"/>
        <v>0</v>
      </c>
      <c r="I101" s="270">
        <f t="shared" si="20"/>
        <v>0</v>
      </c>
      <c r="J101" s="270">
        <f t="shared" si="13"/>
        <v>0</v>
      </c>
      <c r="K101" s="270">
        <f t="shared" si="14"/>
        <v>1234593773</v>
      </c>
      <c r="L101" s="270">
        <f>SUM(L102:L104)</f>
        <v>1370398176</v>
      </c>
      <c r="M101" s="271">
        <f>SUM(M102:M104)</f>
        <v>1521141016</v>
      </c>
      <c r="N101" s="128"/>
    </row>
    <row r="102" spans="1:14" ht="13.5" customHeight="1" x14ac:dyDescent="0.25">
      <c r="A102" s="832" t="s">
        <v>1551</v>
      </c>
      <c r="B102" s="723"/>
      <c r="C102" s="382">
        <v>1234593773</v>
      </c>
      <c r="D102" s="109">
        <v>1234593773</v>
      </c>
      <c r="E102" s="109">
        <v>0</v>
      </c>
      <c r="F102" s="109">
        <v>0</v>
      </c>
      <c r="G102" s="109">
        <v>0</v>
      </c>
      <c r="H102" s="109">
        <v>0</v>
      </c>
      <c r="I102" s="109">
        <v>0</v>
      </c>
      <c r="J102" s="173">
        <f t="shared" si="13"/>
        <v>0</v>
      </c>
      <c r="K102" s="173">
        <f t="shared" si="14"/>
        <v>1234593773</v>
      </c>
      <c r="L102" s="109">
        <v>1370398176</v>
      </c>
      <c r="M102" s="110">
        <v>1521141016</v>
      </c>
      <c r="N102" s="128"/>
    </row>
    <row r="103" spans="1:14" ht="13.5" customHeight="1" x14ac:dyDescent="0.25">
      <c r="A103" s="832" t="s">
        <v>1552</v>
      </c>
      <c r="B103" s="723"/>
      <c r="C103" s="382">
        <v>0</v>
      </c>
      <c r="D103" s="109">
        <v>0</v>
      </c>
      <c r="E103" s="109">
        <v>0</v>
      </c>
      <c r="F103" s="109">
        <v>0</v>
      </c>
      <c r="G103" s="109">
        <v>0</v>
      </c>
      <c r="H103" s="109">
        <v>0</v>
      </c>
      <c r="I103" s="109">
        <v>0</v>
      </c>
      <c r="J103" s="173">
        <f t="shared" si="13"/>
        <v>0</v>
      </c>
      <c r="K103" s="173">
        <f t="shared" si="14"/>
        <v>0</v>
      </c>
      <c r="L103" s="109"/>
      <c r="M103" s="110"/>
      <c r="N103" s="128"/>
    </row>
    <row r="104" spans="1:14" ht="13.5" customHeight="1" x14ac:dyDescent="0.25">
      <c r="A104" s="832" t="s">
        <v>1553</v>
      </c>
      <c r="B104" s="723"/>
      <c r="C104" s="382">
        <v>0</v>
      </c>
      <c r="D104" s="109">
        <v>0</v>
      </c>
      <c r="E104" s="109"/>
      <c r="F104" s="109"/>
      <c r="G104" s="109"/>
      <c r="H104" s="109"/>
      <c r="I104" s="109"/>
      <c r="J104" s="173">
        <f t="shared" si="13"/>
        <v>0</v>
      </c>
      <c r="K104" s="173">
        <f t="shared" si="14"/>
        <v>0</v>
      </c>
      <c r="L104" s="109"/>
      <c r="M104" s="110"/>
      <c r="N104" s="128"/>
    </row>
    <row r="105" spans="1:14" ht="13.5" customHeight="1" x14ac:dyDescent="0.25">
      <c r="A105" s="710" t="s">
        <v>1484</v>
      </c>
      <c r="B105" s="723"/>
      <c r="C105" s="711">
        <f>SUM(C106:C108)</f>
        <v>296691354</v>
      </c>
      <c r="D105" s="270">
        <f t="shared" ref="D105:I105" si="21">SUM(D106:D108)</f>
        <v>296691354</v>
      </c>
      <c r="E105" s="270">
        <f t="shared" si="21"/>
        <v>0</v>
      </c>
      <c r="F105" s="270">
        <f t="shared" si="21"/>
        <v>0</v>
      </c>
      <c r="G105" s="270">
        <f t="shared" si="21"/>
        <v>0</v>
      </c>
      <c r="H105" s="270">
        <f t="shared" si="21"/>
        <v>0</v>
      </c>
      <c r="I105" s="270">
        <f t="shared" si="21"/>
        <v>-43000000</v>
      </c>
      <c r="J105" s="270">
        <f t="shared" si="13"/>
        <v>-43000000</v>
      </c>
      <c r="K105" s="270">
        <f t="shared" si="14"/>
        <v>253691354</v>
      </c>
      <c r="L105" s="270">
        <f>SUM(L106:L108)</f>
        <v>310932536</v>
      </c>
      <c r="M105" s="271">
        <f>SUM(M106:M108)</f>
        <v>325857295</v>
      </c>
      <c r="N105" s="128"/>
    </row>
    <row r="106" spans="1:14" ht="13.5" customHeight="1" x14ac:dyDescent="0.25">
      <c r="A106" s="832" t="s">
        <v>1554</v>
      </c>
      <c r="B106" s="723"/>
      <c r="C106" s="382">
        <v>0</v>
      </c>
      <c r="D106" s="109">
        <v>1045</v>
      </c>
      <c r="E106" s="109">
        <v>0</v>
      </c>
      <c r="F106" s="109">
        <v>0</v>
      </c>
      <c r="G106" s="109">
        <v>0</v>
      </c>
      <c r="H106" s="109">
        <v>0</v>
      </c>
      <c r="I106" s="109">
        <v>0</v>
      </c>
      <c r="J106" s="173">
        <f t="shared" si="13"/>
        <v>0</v>
      </c>
      <c r="K106" s="173">
        <f t="shared" si="14"/>
        <v>1045</v>
      </c>
      <c r="L106" s="109"/>
      <c r="M106" s="110"/>
      <c r="N106" s="128"/>
    </row>
    <row r="107" spans="1:14" ht="13.5" customHeight="1" x14ac:dyDescent="0.25">
      <c r="A107" s="832" t="s">
        <v>1002</v>
      </c>
      <c r="B107" s="723"/>
      <c r="C107" s="382">
        <v>296691354</v>
      </c>
      <c r="D107" s="109">
        <v>296690309</v>
      </c>
      <c r="E107" s="109">
        <v>0</v>
      </c>
      <c r="F107" s="109">
        <v>0</v>
      </c>
      <c r="G107" s="109">
        <v>0</v>
      </c>
      <c r="H107" s="109">
        <v>0</v>
      </c>
      <c r="I107" s="109">
        <v>-43000000</v>
      </c>
      <c r="J107" s="173">
        <f t="shared" si="13"/>
        <v>-43000000</v>
      </c>
      <c r="K107" s="173">
        <f t="shared" si="14"/>
        <v>253690309</v>
      </c>
      <c r="L107" s="109">
        <v>310932536</v>
      </c>
      <c r="M107" s="110">
        <v>325857295</v>
      </c>
      <c r="N107" s="128"/>
    </row>
    <row r="108" spans="1:14" ht="13.5" customHeight="1" x14ac:dyDescent="0.25">
      <c r="A108" s="832" t="s">
        <v>1003</v>
      </c>
      <c r="B108" s="723"/>
      <c r="C108" s="382"/>
      <c r="D108" s="109">
        <v>0</v>
      </c>
      <c r="E108" s="109"/>
      <c r="F108" s="109"/>
      <c r="G108" s="109"/>
      <c r="H108" s="109"/>
      <c r="I108" s="109">
        <v>0</v>
      </c>
      <c r="J108" s="173">
        <f t="shared" si="13"/>
        <v>0</v>
      </c>
      <c r="K108" s="173">
        <f t="shared" si="14"/>
        <v>0</v>
      </c>
      <c r="L108" s="109"/>
      <c r="M108" s="110"/>
      <c r="N108" s="128"/>
    </row>
    <row r="109" spans="1:14" ht="13.5" customHeight="1" x14ac:dyDescent="0.25">
      <c r="A109" s="710" t="s">
        <v>628</v>
      </c>
      <c r="B109" s="723"/>
      <c r="C109" s="711">
        <f>SUM(C110:C113)</f>
        <v>126898124</v>
      </c>
      <c r="D109" s="270">
        <f t="shared" ref="D109:I109" si="22">SUM(D110:D113)</f>
        <v>126898124</v>
      </c>
      <c r="E109" s="270">
        <f t="shared" si="22"/>
        <v>0</v>
      </c>
      <c r="F109" s="270">
        <f t="shared" si="22"/>
        <v>0</v>
      </c>
      <c r="G109" s="270">
        <f t="shared" si="22"/>
        <v>0</v>
      </c>
      <c r="H109" s="270">
        <f t="shared" si="22"/>
        <v>0</v>
      </c>
      <c r="I109" s="270">
        <f t="shared" si="22"/>
        <v>0</v>
      </c>
      <c r="J109" s="270">
        <f t="shared" si="13"/>
        <v>0</v>
      </c>
      <c r="K109" s="270">
        <f t="shared" si="14"/>
        <v>126898124</v>
      </c>
      <c r="L109" s="270">
        <f>SUM(L110:L113)</f>
        <v>132989234</v>
      </c>
      <c r="M109" s="271">
        <f>SUM(M110:M113)</f>
        <v>139372716</v>
      </c>
      <c r="N109" s="128"/>
    </row>
    <row r="110" spans="1:14" ht="13.5" customHeight="1" x14ac:dyDescent="0.25">
      <c r="A110" s="832" t="s">
        <v>1006</v>
      </c>
      <c r="B110" s="723"/>
      <c r="C110" s="382"/>
      <c r="D110" s="109">
        <v>0</v>
      </c>
      <c r="E110" s="109">
        <v>0</v>
      </c>
      <c r="F110" s="109">
        <v>0</v>
      </c>
      <c r="G110" s="109">
        <v>0</v>
      </c>
      <c r="H110" s="109">
        <v>0</v>
      </c>
      <c r="I110" s="109">
        <v>0</v>
      </c>
      <c r="J110" s="173">
        <f t="shared" si="13"/>
        <v>0</v>
      </c>
      <c r="K110" s="173">
        <f t="shared" si="14"/>
        <v>0</v>
      </c>
      <c r="L110" s="109"/>
      <c r="M110" s="110"/>
      <c r="N110" s="128"/>
    </row>
    <row r="111" spans="1:14" ht="13.5" customHeight="1" x14ac:dyDescent="0.25">
      <c r="A111" s="832" t="s">
        <v>1004</v>
      </c>
      <c r="B111" s="723"/>
      <c r="C111" s="382">
        <v>126898124</v>
      </c>
      <c r="D111" s="109">
        <v>126898124</v>
      </c>
      <c r="E111" s="109">
        <v>0</v>
      </c>
      <c r="F111" s="109">
        <v>0</v>
      </c>
      <c r="G111" s="109">
        <v>0</v>
      </c>
      <c r="H111" s="109">
        <v>0</v>
      </c>
      <c r="I111" s="109">
        <v>0</v>
      </c>
      <c r="J111" s="173">
        <f t="shared" si="13"/>
        <v>0</v>
      </c>
      <c r="K111" s="173">
        <f t="shared" si="14"/>
        <v>126898124</v>
      </c>
      <c r="L111" s="109">
        <v>132989234</v>
      </c>
      <c r="M111" s="110">
        <v>139372716</v>
      </c>
      <c r="N111" s="128"/>
    </row>
    <row r="112" spans="1:14" ht="13.5" customHeight="1" x14ac:dyDescent="0.25">
      <c r="A112" s="832" t="s">
        <v>1005</v>
      </c>
      <c r="B112" s="723"/>
      <c r="C112" s="382"/>
      <c r="D112" s="109">
        <v>0</v>
      </c>
      <c r="E112" s="109">
        <v>0</v>
      </c>
      <c r="F112" s="109">
        <v>0</v>
      </c>
      <c r="G112" s="109">
        <v>0</v>
      </c>
      <c r="H112" s="109">
        <v>0</v>
      </c>
      <c r="I112" s="109">
        <v>0</v>
      </c>
      <c r="J112" s="173">
        <f t="shared" si="13"/>
        <v>0</v>
      </c>
      <c r="K112" s="173">
        <f t="shared" si="14"/>
        <v>0</v>
      </c>
      <c r="L112" s="109"/>
      <c r="M112" s="110"/>
      <c r="N112" s="128"/>
    </row>
    <row r="113" spans="1:14" ht="13.5" customHeight="1" x14ac:dyDescent="0.25">
      <c r="A113" s="832" t="s">
        <v>1555</v>
      </c>
      <c r="B113" s="723"/>
      <c r="C113" s="382"/>
      <c r="D113" s="109">
        <v>0</v>
      </c>
      <c r="E113" s="109">
        <v>0</v>
      </c>
      <c r="F113" s="109">
        <v>0</v>
      </c>
      <c r="G113" s="109">
        <v>0</v>
      </c>
      <c r="H113" s="109">
        <v>0</v>
      </c>
      <c r="I113" s="109">
        <v>0</v>
      </c>
      <c r="J113" s="173">
        <f t="shared" si="13"/>
        <v>0</v>
      </c>
      <c r="K113" s="173">
        <f t="shared" si="14"/>
        <v>0</v>
      </c>
      <c r="L113" s="109"/>
      <c r="M113" s="110"/>
      <c r="N113" s="128"/>
    </row>
    <row r="114" spans="1:14" ht="13.5" customHeight="1" x14ac:dyDescent="0.25">
      <c r="A114" s="710" t="s">
        <v>629</v>
      </c>
      <c r="B114" s="723"/>
      <c r="C114" s="711">
        <f>SUM(C115:C118)</f>
        <v>122019757</v>
      </c>
      <c r="D114" s="270">
        <f t="shared" ref="D114:L114" si="23">SUM(D115:D118)</f>
        <v>122019757</v>
      </c>
      <c r="E114" s="270">
        <f t="shared" si="23"/>
        <v>0</v>
      </c>
      <c r="F114" s="270">
        <f t="shared" si="23"/>
        <v>0</v>
      </c>
      <c r="G114" s="270">
        <f t="shared" si="23"/>
        <v>0</v>
      </c>
      <c r="H114" s="270">
        <f t="shared" si="23"/>
        <v>0</v>
      </c>
      <c r="I114" s="270">
        <f t="shared" si="23"/>
        <v>0</v>
      </c>
      <c r="J114" s="270">
        <f t="shared" si="13"/>
        <v>0</v>
      </c>
      <c r="K114" s="270">
        <f t="shared" si="14"/>
        <v>122019757</v>
      </c>
      <c r="L114" s="270">
        <f t="shared" si="23"/>
        <v>127876705</v>
      </c>
      <c r="M114" s="271">
        <f>SUM(M115:M118)</f>
        <v>134014785</v>
      </c>
      <c r="N114" s="128"/>
    </row>
    <row r="115" spans="1:14" ht="13.5" customHeight="1" x14ac:dyDescent="0.25">
      <c r="A115" s="832" t="s">
        <v>1556</v>
      </c>
      <c r="B115" s="723"/>
      <c r="C115" s="382">
        <v>0</v>
      </c>
      <c r="D115" s="109">
        <v>0</v>
      </c>
      <c r="E115" s="109">
        <v>0</v>
      </c>
      <c r="F115" s="109">
        <v>0</v>
      </c>
      <c r="G115" s="109">
        <v>0</v>
      </c>
      <c r="H115" s="109">
        <v>0</v>
      </c>
      <c r="I115" s="109">
        <v>0</v>
      </c>
      <c r="J115" s="173">
        <f t="shared" si="13"/>
        <v>0</v>
      </c>
      <c r="K115" s="173">
        <f t="shared" si="14"/>
        <v>0</v>
      </c>
      <c r="L115" s="109"/>
      <c r="M115" s="110"/>
      <c r="N115" s="128"/>
    </row>
    <row r="116" spans="1:14" ht="13.5" customHeight="1" x14ac:dyDescent="0.25">
      <c r="A116" s="832" t="s">
        <v>1557</v>
      </c>
      <c r="B116" s="723"/>
      <c r="C116" s="382">
        <v>0</v>
      </c>
      <c r="D116" s="109">
        <v>0</v>
      </c>
      <c r="E116" s="109">
        <v>0</v>
      </c>
      <c r="F116" s="109">
        <v>0</v>
      </c>
      <c r="G116" s="109">
        <v>0</v>
      </c>
      <c r="H116" s="109">
        <v>0</v>
      </c>
      <c r="I116" s="109">
        <v>0</v>
      </c>
      <c r="J116" s="173">
        <f t="shared" si="13"/>
        <v>0</v>
      </c>
      <c r="K116" s="173">
        <f t="shared" si="14"/>
        <v>0</v>
      </c>
      <c r="L116" s="109"/>
      <c r="M116" s="110"/>
      <c r="N116" s="128"/>
    </row>
    <row r="117" spans="1:14" ht="13.5" customHeight="1" x14ac:dyDescent="0.25">
      <c r="A117" s="832" t="s">
        <v>1558</v>
      </c>
      <c r="B117" s="723"/>
      <c r="C117" s="382">
        <v>122019757</v>
      </c>
      <c r="D117" s="109">
        <v>122019757</v>
      </c>
      <c r="E117" s="109">
        <v>0</v>
      </c>
      <c r="F117" s="109">
        <v>0</v>
      </c>
      <c r="G117" s="109">
        <v>0</v>
      </c>
      <c r="H117" s="109">
        <v>0</v>
      </c>
      <c r="I117" s="109">
        <v>0</v>
      </c>
      <c r="J117" s="173">
        <f t="shared" si="13"/>
        <v>0</v>
      </c>
      <c r="K117" s="173">
        <f t="shared" si="14"/>
        <v>122019757</v>
      </c>
      <c r="L117" s="109">
        <v>127876705</v>
      </c>
      <c r="M117" s="110">
        <v>134014785</v>
      </c>
      <c r="N117" s="128"/>
    </row>
    <row r="118" spans="1:14" ht="13.5" customHeight="1" x14ac:dyDescent="0.25">
      <c r="A118" s="832" t="s">
        <v>1559</v>
      </c>
      <c r="B118" s="723"/>
      <c r="C118" s="382">
        <v>0</v>
      </c>
      <c r="D118" s="109">
        <v>0</v>
      </c>
      <c r="E118" s="109">
        <v>0</v>
      </c>
      <c r="F118" s="109">
        <v>0</v>
      </c>
      <c r="G118" s="109">
        <v>0</v>
      </c>
      <c r="H118" s="109">
        <v>0</v>
      </c>
      <c r="I118" s="109">
        <v>0</v>
      </c>
      <c r="J118" s="173">
        <f t="shared" si="13"/>
        <v>0</v>
      </c>
      <c r="K118" s="173">
        <f t="shared" si="14"/>
        <v>0</v>
      </c>
      <c r="L118" s="109"/>
      <c r="M118" s="110"/>
      <c r="N118" s="128"/>
    </row>
    <row r="119" spans="1:14" ht="13.5" customHeight="1" x14ac:dyDescent="0.25">
      <c r="A119" s="107" t="s">
        <v>630</v>
      </c>
      <c r="B119" s="723"/>
      <c r="C119" s="708">
        <f t="shared" ref="C119:M119" si="24">SUM(C120:C125)</f>
        <v>0</v>
      </c>
      <c r="D119" s="707">
        <f t="shared" si="24"/>
        <v>0</v>
      </c>
      <c r="E119" s="707">
        <f t="shared" si="24"/>
        <v>0</v>
      </c>
      <c r="F119" s="707">
        <f t="shared" si="24"/>
        <v>0</v>
      </c>
      <c r="G119" s="707">
        <f t="shared" si="24"/>
        <v>0</v>
      </c>
      <c r="H119" s="707">
        <f t="shared" si="24"/>
        <v>0</v>
      </c>
      <c r="I119" s="707">
        <f t="shared" si="24"/>
        <v>0</v>
      </c>
      <c r="J119" s="707">
        <f t="shared" si="13"/>
        <v>0</v>
      </c>
      <c r="K119" s="707">
        <f t="shared" si="14"/>
        <v>0</v>
      </c>
      <c r="L119" s="707">
        <f t="shared" si="24"/>
        <v>0</v>
      </c>
      <c r="M119" s="709">
        <f t="shared" si="24"/>
        <v>0</v>
      </c>
      <c r="N119" s="128"/>
    </row>
    <row r="120" spans="1:14" ht="13.5" customHeight="1" x14ac:dyDescent="0.25">
      <c r="A120" s="710" t="s">
        <v>507</v>
      </c>
      <c r="B120" s="723"/>
      <c r="C120" s="382"/>
      <c r="D120" s="109">
        <v>0</v>
      </c>
      <c r="E120" s="109">
        <v>0</v>
      </c>
      <c r="F120" s="109">
        <v>0</v>
      </c>
      <c r="G120" s="109">
        <v>0</v>
      </c>
      <c r="H120" s="109">
        <v>0</v>
      </c>
      <c r="I120" s="109">
        <v>0</v>
      </c>
      <c r="J120" s="173">
        <f t="shared" si="13"/>
        <v>0</v>
      </c>
      <c r="K120" s="173">
        <f t="shared" si="14"/>
        <v>0</v>
      </c>
      <c r="L120" s="109"/>
      <c r="M120" s="110"/>
      <c r="N120" s="128"/>
    </row>
    <row r="121" spans="1:14" ht="13.5" customHeight="1" x14ac:dyDescent="0.25">
      <c r="A121" s="710" t="s">
        <v>1007</v>
      </c>
      <c r="B121" s="723"/>
      <c r="C121" s="382"/>
      <c r="D121" s="109">
        <v>0</v>
      </c>
      <c r="E121" s="109">
        <v>0</v>
      </c>
      <c r="F121" s="109">
        <v>0</v>
      </c>
      <c r="G121" s="109">
        <v>0</v>
      </c>
      <c r="H121" s="109">
        <v>0</v>
      </c>
      <c r="I121" s="109">
        <v>0</v>
      </c>
      <c r="J121" s="173">
        <f t="shared" si="13"/>
        <v>0</v>
      </c>
      <c r="K121" s="173">
        <f t="shared" si="14"/>
        <v>0</v>
      </c>
      <c r="L121" s="109"/>
      <c r="M121" s="110"/>
      <c r="N121" s="128"/>
    </row>
    <row r="122" spans="1:14" ht="13.5" customHeight="1" x14ac:dyDescent="0.25">
      <c r="A122" s="710" t="s">
        <v>1560</v>
      </c>
      <c r="B122" s="723"/>
      <c r="C122" s="382"/>
      <c r="D122" s="109">
        <v>0</v>
      </c>
      <c r="E122" s="109">
        <v>0</v>
      </c>
      <c r="F122" s="109">
        <v>0</v>
      </c>
      <c r="G122" s="109">
        <v>0</v>
      </c>
      <c r="H122" s="109">
        <v>0</v>
      </c>
      <c r="I122" s="109">
        <v>0</v>
      </c>
      <c r="J122" s="173">
        <f t="shared" si="13"/>
        <v>0</v>
      </c>
      <c r="K122" s="173">
        <f t="shared" si="14"/>
        <v>0</v>
      </c>
      <c r="L122" s="109"/>
      <c r="M122" s="110"/>
      <c r="N122" s="128"/>
    </row>
    <row r="123" spans="1:14" ht="13.5" customHeight="1" x14ac:dyDescent="0.25">
      <c r="A123" s="710" t="s">
        <v>1561</v>
      </c>
      <c r="B123" s="722"/>
      <c r="C123" s="382"/>
      <c r="D123" s="109">
        <v>0</v>
      </c>
      <c r="E123" s="109">
        <v>0</v>
      </c>
      <c r="F123" s="109">
        <v>0</v>
      </c>
      <c r="G123" s="109">
        <v>0</v>
      </c>
      <c r="H123" s="109">
        <v>0</v>
      </c>
      <c r="I123" s="109">
        <v>0</v>
      </c>
      <c r="J123" s="173">
        <f t="shared" si="13"/>
        <v>0</v>
      </c>
      <c r="K123" s="173">
        <f t="shared" si="14"/>
        <v>0</v>
      </c>
      <c r="L123" s="109"/>
      <c r="M123" s="110"/>
      <c r="N123" s="128"/>
    </row>
    <row r="124" spans="1:14" ht="13.5" customHeight="1" x14ac:dyDescent="0.25">
      <c r="A124" s="710" t="s">
        <v>508</v>
      </c>
      <c r="B124" s="722"/>
      <c r="C124" s="382"/>
      <c r="D124" s="109">
        <v>0</v>
      </c>
      <c r="E124" s="109">
        <v>0</v>
      </c>
      <c r="F124" s="109">
        <v>0</v>
      </c>
      <c r="G124" s="109">
        <v>0</v>
      </c>
      <c r="H124" s="109">
        <v>0</v>
      </c>
      <c r="I124" s="109">
        <v>0</v>
      </c>
      <c r="J124" s="173">
        <f t="shared" si="13"/>
        <v>0</v>
      </c>
      <c r="K124" s="173">
        <f t="shared" si="14"/>
        <v>0</v>
      </c>
      <c r="L124" s="109"/>
      <c r="M124" s="110"/>
      <c r="N124" s="128"/>
    </row>
    <row r="125" spans="1:14" ht="13.5" customHeight="1" x14ac:dyDescent="0.25">
      <c r="A125" s="710" t="s">
        <v>1008</v>
      </c>
      <c r="B125" s="722"/>
      <c r="C125" s="382"/>
      <c r="D125" s="109">
        <v>0</v>
      </c>
      <c r="E125" s="109">
        <v>0</v>
      </c>
      <c r="F125" s="109">
        <v>0</v>
      </c>
      <c r="G125" s="109">
        <v>0</v>
      </c>
      <c r="H125" s="109">
        <v>0</v>
      </c>
      <c r="I125" s="109">
        <v>0</v>
      </c>
      <c r="J125" s="173">
        <f t="shared" si="13"/>
        <v>0</v>
      </c>
      <c r="K125" s="173">
        <f t="shared" si="14"/>
        <v>0</v>
      </c>
      <c r="L125" s="109"/>
      <c r="M125" s="110"/>
      <c r="N125" s="128"/>
    </row>
    <row r="126" spans="1:14" ht="13.5" customHeight="1" x14ac:dyDescent="0.25">
      <c r="A126" s="278" t="str">
        <f>"Total "&amp;A6</f>
        <v>Total Revenue - Functional</v>
      </c>
      <c r="B126" s="722">
        <v>2</v>
      </c>
      <c r="C126" s="576">
        <f t="shared" ref="C126:I126" si="25">C7+C27+C76+C100+C119</f>
        <v>4682577927</v>
      </c>
      <c r="D126" s="574">
        <f t="shared" si="25"/>
        <v>4736720927</v>
      </c>
      <c r="E126" s="574">
        <f t="shared" si="25"/>
        <v>0</v>
      </c>
      <c r="F126" s="574">
        <f t="shared" si="25"/>
        <v>0</v>
      </c>
      <c r="G126" s="574">
        <f t="shared" si="25"/>
        <v>0</v>
      </c>
      <c r="H126" s="574">
        <f t="shared" si="25"/>
        <v>100212533</v>
      </c>
      <c r="I126" s="574">
        <f t="shared" si="25"/>
        <v>-53786000</v>
      </c>
      <c r="J126" s="574">
        <f t="shared" si="13"/>
        <v>46426533</v>
      </c>
      <c r="K126" s="574">
        <f t="shared" si="14"/>
        <v>4783147460</v>
      </c>
      <c r="L126" s="574">
        <f>L7+L27+L76+L100+L119</f>
        <v>4739753660.0251503</v>
      </c>
      <c r="M126" s="712">
        <f>M7+M27+M76+M100+M119</f>
        <v>4974338783.705677</v>
      </c>
      <c r="N126" s="128"/>
    </row>
    <row r="127" spans="1:14" ht="6" customHeight="1" x14ac:dyDescent="0.25">
      <c r="A127" s="277"/>
      <c r="B127" s="722"/>
      <c r="C127" s="240"/>
      <c r="D127" s="75"/>
      <c r="E127" s="75"/>
      <c r="F127" s="75"/>
      <c r="G127" s="75"/>
      <c r="H127" s="75"/>
      <c r="I127" s="75"/>
      <c r="J127" s="171">
        <f t="shared" si="13"/>
        <v>0</v>
      </c>
      <c r="K127" s="171">
        <f t="shared" si="14"/>
        <v>0</v>
      </c>
      <c r="L127" s="75"/>
      <c r="M127" s="76"/>
      <c r="N127" s="128"/>
    </row>
    <row r="128" spans="1:14" ht="13.5" customHeight="1" x14ac:dyDescent="0.25">
      <c r="A128" s="255" t="s">
        <v>1563</v>
      </c>
      <c r="B128" s="724"/>
      <c r="C128" s="240"/>
      <c r="D128" s="75"/>
      <c r="E128" s="75"/>
      <c r="F128" s="75"/>
      <c r="G128" s="75"/>
      <c r="H128" s="75"/>
      <c r="I128" s="75"/>
      <c r="J128" s="171">
        <f t="shared" si="13"/>
        <v>0</v>
      </c>
      <c r="K128" s="171">
        <f t="shared" si="14"/>
        <v>0</v>
      </c>
      <c r="L128" s="75"/>
      <c r="M128" s="76"/>
      <c r="N128" s="128"/>
    </row>
    <row r="129" spans="1:14" ht="13.5" customHeight="1" x14ac:dyDescent="0.25">
      <c r="A129" s="107" t="str">
        <f t="shared" ref="A129:A160" si="26">A7</f>
        <v>Municipal governance and administration</v>
      </c>
      <c r="B129" s="724"/>
      <c r="C129" s="708">
        <f t="shared" ref="C129:I129" si="27">C130+C133+C147</f>
        <v>1205471630</v>
      </c>
      <c r="D129" s="707">
        <f t="shared" si="27"/>
        <v>1222471630</v>
      </c>
      <c r="E129" s="707">
        <f t="shared" si="27"/>
        <v>0</v>
      </c>
      <c r="F129" s="707">
        <f t="shared" si="27"/>
        <v>0</v>
      </c>
      <c r="G129" s="707">
        <f t="shared" si="27"/>
        <v>0</v>
      </c>
      <c r="H129" s="707">
        <f t="shared" si="27"/>
        <v>37920670</v>
      </c>
      <c r="I129" s="707">
        <f t="shared" si="27"/>
        <v>51067391</v>
      </c>
      <c r="J129" s="707">
        <f t="shared" si="13"/>
        <v>88988061</v>
      </c>
      <c r="K129" s="707">
        <f t="shared" si="14"/>
        <v>1311459691</v>
      </c>
      <c r="L129" s="707">
        <f>L130+L133+L147</f>
        <v>1310525193.6649141</v>
      </c>
      <c r="M129" s="709">
        <f>M130+M133+M147</f>
        <v>1395722205.7914796</v>
      </c>
      <c r="N129" s="128"/>
    </row>
    <row r="130" spans="1:14" ht="13.5" customHeight="1" x14ac:dyDescent="0.25">
      <c r="A130" s="710" t="str">
        <f t="shared" si="26"/>
        <v>Executive and council</v>
      </c>
      <c r="B130" s="724"/>
      <c r="C130" s="700">
        <f t="shared" ref="C130:I130" si="28">SUM(C131:C132)</f>
        <v>383191111</v>
      </c>
      <c r="D130" s="265">
        <f t="shared" si="28"/>
        <v>383191111</v>
      </c>
      <c r="E130" s="265">
        <f t="shared" si="28"/>
        <v>0</v>
      </c>
      <c r="F130" s="265">
        <f t="shared" si="28"/>
        <v>0</v>
      </c>
      <c r="G130" s="265">
        <f t="shared" si="28"/>
        <v>0</v>
      </c>
      <c r="H130" s="265">
        <f t="shared" si="28"/>
        <v>0</v>
      </c>
      <c r="I130" s="265">
        <f t="shared" si="28"/>
        <v>23920000</v>
      </c>
      <c r="J130" s="265">
        <f t="shared" si="13"/>
        <v>23920000</v>
      </c>
      <c r="K130" s="265">
        <f t="shared" si="14"/>
        <v>407111111</v>
      </c>
      <c r="L130" s="265">
        <f>SUM(L131:L132)</f>
        <v>443744090</v>
      </c>
      <c r="M130" s="266">
        <f>SUM(M131:M132)</f>
        <v>501025376</v>
      </c>
      <c r="N130" s="128"/>
    </row>
    <row r="131" spans="1:14" ht="13.5" customHeight="1" x14ac:dyDescent="0.25">
      <c r="A131" s="832" t="str">
        <f t="shared" si="26"/>
        <v>Mayor and Council</v>
      </c>
      <c r="B131" s="724"/>
      <c r="C131" s="382">
        <v>366023337</v>
      </c>
      <c r="D131" s="109">
        <v>366023337</v>
      </c>
      <c r="E131" s="109"/>
      <c r="F131" s="109"/>
      <c r="G131" s="109"/>
      <c r="H131" s="109"/>
      <c r="I131" s="109">
        <v>23965000</v>
      </c>
      <c r="J131" s="173">
        <f t="shared" si="13"/>
        <v>23965000</v>
      </c>
      <c r="K131" s="173">
        <f t="shared" si="14"/>
        <v>389988337</v>
      </c>
      <c r="L131" s="109">
        <v>443744090</v>
      </c>
      <c r="M131" s="110">
        <v>501025376</v>
      </c>
      <c r="N131" s="128"/>
    </row>
    <row r="132" spans="1:14" ht="13.5" customHeight="1" x14ac:dyDescent="0.25">
      <c r="A132" s="832" t="str">
        <f t="shared" si="26"/>
        <v>Municipal Manager, Town Secretary and Chief Executive</v>
      </c>
      <c r="B132" s="724"/>
      <c r="C132" s="382">
        <v>17167774</v>
      </c>
      <c r="D132" s="109">
        <v>17167774</v>
      </c>
      <c r="E132" s="109"/>
      <c r="F132" s="109"/>
      <c r="G132" s="109"/>
      <c r="H132" s="109"/>
      <c r="I132" s="109">
        <v>-45000</v>
      </c>
      <c r="J132" s="173">
        <f t="shared" si="13"/>
        <v>-45000</v>
      </c>
      <c r="K132" s="173">
        <f t="shared" si="14"/>
        <v>17122774</v>
      </c>
      <c r="L132" s="109"/>
      <c r="M132" s="110"/>
      <c r="N132" s="128"/>
    </row>
    <row r="133" spans="1:14" ht="13.5" customHeight="1" x14ac:dyDescent="0.25">
      <c r="A133" s="710" t="str">
        <f t="shared" si="26"/>
        <v>Finance and administration</v>
      </c>
      <c r="B133" s="724"/>
      <c r="C133" s="700">
        <f t="shared" ref="C133:I133" si="29">SUM(C134:C146)</f>
        <v>810532652</v>
      </c>
      <c r="D133" s="265">
        <f t="shared" si="29"/>
        <v>827532652</v>
      </c>
      <c r="E133" s="265">
        <f t="shared" si="29"/>
        <v>0</v>
      </c>
      <c r="F133" s="265">
        <f t="shared" si="29"/>
        <v>0</v>
      </c>
      <c r="G133" s="265">
        <f t="shared" si="29"/>
        <v>0</v>
      </c>
      <c r="H133" s="265">
        <f t="shared" si="29"/>
        <v>37920670</v>
      </c>
      <c r="I133" s="265">
        <f t="shared" si="29"/>
        <v>27147395</v>
      </c>
      <c r="J133" s="265">
        <f t="shared" si="13"/>
        <v>65068065</v>
      </c>
      <c r="K133" s="265">
        <f t="shared" si="14"/>
        <v>892600717</v>
      </c>
      <c r="L133" s="265">
        <f>SUM(L134:L146)</f>
        <v>854353140.66491413</v>
      </c>
      <c r="M133" s="266">
        <f>SUM(M134:M146)</f>
        <v>881590835.79147959</v>
      </c>
      <c r="N133" s="128"/>
    </row>
    <row r="134" spans="1:14" ht="12.6" customHeight="1" x14ac:dyDescent="0.25">
      <c r="A134" s="832" t="str">
        <f t="shared" si="26"/>
        <v>Administrative and Corporate Support</v>
      </c>
      <c r="B134" s="724"/>
      <c r="C134" s="382">
        <v>19504295</v>
      </c>
      <c r="D134" s="109">
        <v>19504295</v>
      </c>
      <c r="E134" s="109">
        <v>0</v>
      </c>
      <c r="F134" s="109">
        <v>0</v>
      </c>
      <c r="G134" s="109">
        <v>0</v>
      </c>
      <c r="H134" s="109">
        <v>0</v>
      </c>
      <c r="I134" s="109">
        <v>-1945000</v>
      </c>
      <c r="J134" s="173">
        <f t="shared" si="13"/>
        <v>-1945000</v>
      </c>
      <c r="K134" s="173">
        <f t="shared" si="14"/>
        <v>17559295</v>
      </c>
      <c r="L134" s="109"/>
      <c r="M134" s="110"/>
      <c r="N134" s="128"/>
    </row>
    <row r="135" spans="1:14" ht="12.6" customHeight="1" x14ac:dyDescent="0.25">
      <c r="A135" s="832" t="str">
        <f t="shared" si="26"/>
        <v>Asset Management</v>
      </c>
      <c r="B135" s="724"/>
      <c r="C135" s="382">
        <v>53814554</v>
      </c>
      <c r="D135" s="109">
        <v>56814554</v>
      </c>
      <c r="E135" s="109">
        <v>0</v>
      </c>
      <c r="F135" s="109">
        <v>0</v>
      </c>
      <c r="G135" s="109">
        <v>0</v>
      </c>
      <c r="H135" s="109">
        <v>0</v>
      </c>
      <c r="I135" s="109">
        <v>5027197</v>
      </c>
      <c r="J135" s="173">
        <f t="shared" si="13"/>
        <v>5027197</v>
      </c>
      <c r="K135" s="173">
        <f t="shared" si="14"/>
        <v>61841751</v>
      </c>
      <c r="L135" s="109"/>
      <c r="M135" s="110"/>
      <c r="N135" s="128"/>
    </row>
    <row r="136" spans="1:14" ht="12.6" customHeight="1" x14ac:dyDescent="0.25">
      <c r="A136" s="832" t="str">
        <f t="shared" si="26"/>
        <v>Finance</v>
      </c>
      <c r="B136" s="724"/>
      <c r="C136" s="382">
        <v>326096031</v>
      </c>
      <c r="D136" s="109">
        <v>334096031</v>
      </c>
      <c r="E136" s="109">
        <v>0</v>
      </c>
      <c r="F136" s="109">
        <v>0</v>
      </c>
      <c r="G136" s="109">
        <v>0</v>
      </c>
      <c r="H136" s="109">
        <v>37920670</v>
      </c>
      <c r="I136" s="109">
        <v>-25505982</v>
      </c>
      <c r="J136" s="173">
        <f t="shared" ref="J136:J201" si="30">SUM(E136:I136)</f>
        <v>12414688</v>
      </c>
      <c r="K136" s="173">
        <f t="shared" ref="K136:K201" si="31">IF(D136=0,C136+J136,D136+J136)</f>
        <v>346510719</v>
      </c>
      <c r="L136" s="109">
        <v>854292922</v>
      </c>
      <c r="M136" s="110">
        <v>881526853</v>
      </c>
      <c r="N136" s="128"/>
    </row>
    <row r="137" spans="1:14" ht="13.5" customHeight="1" x14ac:dyDescent="0.25">
      <c r="A137" s="832" t="str">
        <f t="shared" si="26"/>
        <v>Fleet Management</v>
      </c>
      <c r="B137" s="724"/>
      <c r="C137" s="382">
        <v>82937671</v>
      </c>
      <c r="D137" s="109">
        <v>82937671</v>
      </c>
      <c r="E137" s="109">
        <v>0</v>
      </c>
      <c r="F137" s="109">
        <v>0</v>
      </c>
      <c r="G137" s="109">
        <v>0</v>
      </c>
      <c r="H137" s="109">
        <v>0</v>
      </c>
      <c r="I137" s="109">
        <v>0</v>
      </c>
      <c r="J137" s="173">
        <f t="shared" si="30"/>
        <v>0</v>
      </c>
      <c r="K137" s="173">
        <f t="shared" si="31"/>
        <v>82937671</v>
      </c>
      <c r="L137" s="109">
        <v>60218.664914131099</v>
      </c>
      <c r="M137" s="110">
        <v>63982.791479587497</v>
      </c>
      <c r="N137" s="128"/>
    </row>
    <row r="138" spans="1:14" ht="13.5" customHeight="1" x14ac:dyDescent="0.25">
      <c r="A138" s="832" t="str">
        <f t="shared" si="26"/>
        <v>Human Resources</v>
      </c>
      <c r="B138" s="724"/>
      <c r="C138" s="382">
        <v>56226674</v>
      </c>
      <c r="D138" s="109">
        <v>56226674</v>
      </c>
      <c r="E138" s="109">
        <v>0</v>
      </c>
      <c r="F138" s="109">
        <v>0</v>
      </c>
      <c r="G138" s="109">
        <v>0</v>
      </c>
      <c r="H138" s="109">
        <v>0</v>
      </c>
      <c r="I138" s="109">
        <v>155740</v>
      </c>
      <c r="J138" s="173">
        <f t="shared" si="30"/>
        <v>155740</v>
      </c>
      <c r="K138" s="173">
        <f t="shared" si="31"/>
        <v>56382414</v>
      </c>
      <c r="L138" s="109"/>
      <c r="M138" s="110"/>
      <c r="N138" s="128"/>
    </row>
    <row r="139" spans="1:14" ht="13.5" customHeight="1" x14ac:dyDescent="0.25">
      <c r="A139" s="832" t="str">
        <f t="shared" si="26"/>
        <v>Information Technology</v>
      </c>
      <c r="B139" s="724"/>
      <c r="C139" s="382">
        <v>52985089</v>
      </c>
      <c r="D139" s="109">
        <v>58985089</v>
      </c>
      <c r="E139" s="109">
        <v>0</v>
      </c>
      <c r="F139" s="109">
        <v>0</v>
      </c>
      <c r="G139" s="109">
        <v>0</v>
      </c>
      <c r="H139" s="109">
        <v>0</v>
      </c>
      <c r="I139" s="109">
        <v>0</v>
      </c>
      <c r="J139" s="173">
        <f t="shared" si="30"/>
        <v>0</v>
      </c>
      <c r="K139" s="173">
        <f t="shared" si="31"/>
        <v>58985089</v>
      </c>
      <c r="L139" s="109"/>
      <c r="M139" s="110"/>
      <c r="N139" s="128"/>
    </row>
    <row r="140" spans="1:14" ht="13.5" customHeight="1" x14ac:dyDescent="0.25">
      <c r="A140" s="832" t="str">
        <f t="shared" si="26"/>
        <v>Legal Services</v>
      </c>
      <c r="B140" s="724"/>
      <c r="C140" s="382">
        <v>26516935</v>
      </c>
      <c r="D140" s="109">
        <v>26516935</v>
      </c>
      <c r="E140" s="109">
        <v>0</v>
      </c>
      <c r="F140" s="109">
        <v>0</v>
      </c>
      <c r="G140" s="109">
        <v>0</v>
      </c>
      <c r="H140" s="109">
        <v>0</v>
      </c>
      <c r="I140" s="109">
        <v>6000000</v>
      </c>
      <c r="J140" s="173">
        <f t="shared" si="30"/>
        <v>6000000</v>
      </c>
      <c r="K140" s="173">
        <f t="shared" si="31"/>
        <v>32516935</v>
      </c>
      <c r="L140" s="109"/>
      <c r="M140" s="110"/>
      <c r="N140" s="128"/>
    </row>
    <row r="141" spans="1:14" ht="13.5" customHeight="1" x14ac:dyDescent="0.25">
      <c r="A141" s="832" t="str">
        <f t="shared" si="26"/>
        <v>Marketing, Customer Relations, Publicity and Media Co-ordination</v>
      </c>
      <c r="B141" s="724"/>
      <c r="C141" s="382">
        <v>12627753</v>
      </c>
      <c r="D141" s="109">
        <v>12627753</v>
      </c>
      <c r="E141" s="109">
        <v>0</v>
      </c>
      <c r="F141" s="109">
        <v>0</v>
      </c>
      <c r="G141" s="109">
        <v>0</v>
      </c>
      <c r="H141" s="109">
        <v>0</v>
      </c>
      <c r="I141" s="109">
        <v>-50000</v>
      </c>
      <c r="J141" s="173">
        <f t="shared" si="30"/>
        <v>-50000</v>
      </c>
      <c r="K141" s="173">
        <f t="shared" si="31"/>
        <v>12577753</v>
      </c>
      <c r="L141" s="109"/>
      <c r="M141" s="110"/>
      <c r="N141" s="128"/>
    </row>
    <row r="142" spans="1:14" ht="13.5" customHeight="1" x14ac:dyDescent="0.25">
      <c r="A142" s="832" t="str">
        <f t="shared" si="26"/>
        <v>Property Services</v>
      </c>
      <c r="B142" s="724"/>
      <c r="C142" s="382">
        <v>59870884</v>
      </c>
      <c r="D142" s="109">
        <v>59870884</v>
      </c>
      <c r="E142" s="109">
        <v>0</v>
      </c>
      <c r="F142" s="109">
        <v>0</v>
      </c>
      <c r="G142" s="109">
        <v>0</v>
      </c>
      <c r="H142" s="109">
        <v>0</v>
      </c>
      <c r="I142" s="109">
        <v>9646440</v>
      </c>
      <c r="J142" s="173">
        <f t="shared" si="30"/>
        <v>9646440</v>
      </c>
      <c r="K142" s="173">
        <f t="shared" si="31"/>
        <v>69517324</v>
      </c>
      <c r="L142" s="109"/>
      <c r="M142" s="110"/>
      <c r="N142" s="128"/>
    </row>
    <row r="143" spans="1:14" ht="13.5" customHeight="1" x14ac:dyDescent="0.25">
      <c r="A143" s="832" t="str">
        <f t="shared" si="26"/>
        <v>Risk Management</v>
      </c>
      <c r="B143" s="724"/>
      <c r="C143" s="382">
        <v>5059139</v>
      </c>
      <c r="D143" s="109">
        <v>5059139</v>
      </c>
      <c r="E143" s="109">
        <v>0</v>
      </c>
      <c r="F143" s="109">
        <v>0</v>
      </c>
      <c r="G143" s="109">
        <v>0</v>
      </c>
      <c r="H143" s="109">
        <v>0</v>
      </c>
      <c r="I143" s="109">
        <v>-91000</v>
      </c>
      <c r="J143" s="173">
        <f t="shared" si="30"/>
        <v>-91000</v>
      </c>
      <c r="K143" s="173">
        <f t="shared" si="31"/>
        <v>4968139</v>
      </c>
      <c r="L143" s="109"/>
      <c r="M143" s="110"/>
      <c r="N143" s="128"/>
    </row>
    <row r="144" spans="1:14" ht="13.5" customHeight="1" x14ac:dyDescent="0.25">
      <c r="A144" s="832" t="str">
        <f t="shared" si="26"/>
        <v>Security Services</v>
      </c>
      <c r="B144" s="724"/>
      <c r="C144" s="382">
        <v>92369575</v>
      </c>
      <c r="D144" s="109">
        <v>92369575</v>
      </c>
      <c r="E144" s="109">
        <v>0</v>
      </c>
      <c r="F144" s="109">
        <v>0</v>
      </c>
      <c r="G144" s="109">
        <v>0</v>
      </c>
      <c r="H144" s="109">
        <v>0</v>
      </c>
      <c r="I144" s="109">
        <v>33200000</v>
      </c>
      <c r="J144" s="173">
        <f t="shared" si="30"/>
        <v>33200000</v>
      </c>
      <c r="K144" s="173">
        <f t="shared" si="31"/>
        <v>125569575</v>
      </c>
      <c r="L144" s="109"/>
      <c r="M144" s="110"/>
      <c r="N144" s="128"/>
    </row>
    <row r="145" spans="1:14" ht="13.5" customHeight="1" x14ac:dyDescent="0.25">
      <c r="A145" s="832" t="str">
        <f t="shared" si="26"/>
        <v xml:space="preserve">Supply Chain Management </v>
      </c>
      <c r="B145" s="724"/>
      <c r="C145" s="382">
        <v>22524052</v>
      </c>
      <c r="D145" s="109">
        <v>22524052</v>
      </c>
      <c r="E145" s="109">
        <v>0</v>
      </c>
      <c r="F145" s="109">
        <v>0</v>
      </c>
      <c r="G145" s="109">
        <v>0</v>
      </c>
      <c r="H145" s="109">
        <v>0</v>
      </c>
      <c r="I145" s="109">
        <v>710000</v>
      </c>
      <c r="J145" s="173">
        <f t="shared" si="30"/>
        <v>710000</v>
      </c>
      <c r="K145" s="173">
        <f t="shared" si="31"/>
        <v>23234052</v>
      </c>
      <c r="L145" s="109"/>
      <c r="M145" s="110"/>
      <c r="N145" s="128"/>
    </row>
    <row r="146" spans="1:14" ht="13.5" customHeight="1" x14ac:dyDescent="0.25">
      <c r="A146" s="832" t="str">
        <f t="shared" si="26"/>
        <v>Valuation Service</v>
      </c>
      <c r="B146" s="724"/>
      <c r="C146" s="382"/>
      <c r="D146" s="109">
        <v>0</v>
      </c>
      <c r="E146" s="109"/>
      <c r="F146" s="109"/>
      <c r="G146" s="109"/>
      <c r="H146" s="109"/>
      <c r="I146" s="109">
        <v>0</v>
      </c>
      <c r="J146" s="173">
        <f t="shared" si="30"/>
        <v>0</v>
      </c>
      <c r="K146" s="173">
        <f t="shared" si="31"/>
        <v>0</v>
      </c>
      <c r="L146" s="109"/>
      <c r="M146" s="110"/>
      <c r="N146" s="128"/>
    </row>
    <row r="147" spans="1:14" ht="13.5" customHeight="1" x14ac:dyDescent="0.25">
      <c r="A147" s="710" t="str">
        <f t="shared" si="26"/>
        <v>Internal audit</v>
      </c>
      <c r="B147" s="724"/>
      <c r="C147" s="700">
        <f t="shared" ref="C147:M147" si="32">SUM(C148:C148)</f>
        <v>11747867</v>
      </c>
      <c r="D147" s="265">
        <f t="shared" si="32"/>
        <v>11747867</v>
      </c>
      <c r="E147" s="265">
        <f t="shared" si="32"/>
        <v>0</v>
      </c>
      <c r="F147" s="265">
        <f t="shared" si="32"/>
        <v>0</v>
      </c>
      <c r="G147" s="265">
        <f t="shared" si="32"/>
        <v>0</v>
      </c>
      <c r="H147" s="265">
        <f t="shared" si="32"/>
        <v>0</v>
      </c>
      <c r="I147" s="265">
        <f t="shared" si="32"/>
        <v>-4</v>
      </c>
      <c r="J147" s="265">
        <f t="shared" si="30"/>
        <v>-4</v>
      </c>
      <c r="K147" s="265">
        <f t="shared" si="31"/>
        <v>11747863</v>
      </c>
      <c r="L147" s="265">
        <f t="shared" si="32"/>
        <v>12427963</v>
      </c>
      <c r="M147" s="266">
        <f t="shared" si="32"/>
        <v>13105994</v>
      </c>
      <c r="N147" s="128"/>
    </row>
    <row r="148" spans="1:14" ht="13.5" customHeight="1" x14ac:dyDescent="0.25">
      <c r="A148" s="832" t="str">
        <f t="shared" si="26"/>
        <v>Governance Function</v>
      </c>
      <c r="B148" s="724"/>
      <c r="C148" s="382">
        <v>11747867</v>
      </c>
      <c r="D148" s="109">
        <v>11747867</v>
      </c>
      <c r="E148" s="109"/>
      <c r="F148" s="109"/>
      <c r="G148" s="109"/>
      <c r="H148" s="109"/>
      <c r="I148" s="109">
        <v>-4</v>
      </c>
      <c r="J148" s="173">
        <f t="shared" si="30"/>
        <v>-4</v>
      </c>
      <c r="K148" s="173">
        <f t="shared" si="31"/>
        <v>11747863</v>
      </c>
      <c r="L148" s="109">
        <v>12427963</v>
      </c>
      <c r="M148" s="110">
        <v>13105994</v>
      </c>
      <c r="N148" s="128"/>
    </row>
    <row r="149" spans="1:14" ht="13.5" customHeight="1" x14ac:dyDescent="0.25">
      <c r="A149" s="107" t="str">
        <f t="shared" si="26"/>
        <v>Community and public safety</v>
      </c>
      <c r="B149" s="724"/>
      <c r="C149" s="708">
        <f t="shared" ref="C149:I149" si="33">C150+C172+C178+C187+C190</f>
        <v>290602015</v>
      </c>
      <c r="D149" s="707">
        <f t="shared" si="33"/>
        <v>290602015</v>
      </c>
      <c r="E149" s="707">
        <f t="shared" si="33"/>
        <v>0</v>
      </c>
      <c r="F149" s="707">
        <f t="shared" si="33"/>
        <v>0</v>
      </c>
      <c r="G149" s="707">
        <f t="shared" si="33"/>
        <v>0</v>
      </c>
      <c r="H149" s="707">
        <f t="shared" si="33"/>
        <v>0</v>
      </c>
      <c r="I149" s="707">
        <f t="shared" si="33"/>
        <v>4354503</v>
      </c>
      <c r="J149" s="707">
        <f t="shared" si="30"/>
        <v>4354503</v>
      </c>
      <c r="K149" s="707">
        <f t="shared" si="31"/>
        <v>294956518</v>
      </c>
      <c r="L149" s="707">
        <f>L150+L172+L178+L187+L190</f>
        <v>298225734</v>
      </c>
      <c r="M149" s="709">
        <f>M150+M172+M178+M187+M190</f>
        <v>314843642</v>
      </c>
      <c r="N149" s="128"/>
    </row>
    <row r="150" spans="1:14" ht="13.5" customHeight="1" x14ac:dyDescent="0.25">
      <c r="A150" s="710" t="str">
        <f t="shared" si="26"/>
        <v>Community and social services</v>
      </c>
      <c r="B150" s="724"/>
      <c r="C150" s="711">
        <f t="shared" ref="C150:I150" si="34">SUM(C151:C171)</f>
        <v>77523564</v>
      </c>
      <c r="D150" s="270">
        <f t="shared" si="34"/>
        <v>77523564</v>
      </c>
      <c r="E150" s="270">
        <f t="shared" si="34"/>
        <v>0</v>
      </c>
      <c r="F150" s="270">
        <f t="shared" si="34"/>
        <v>0</v>
      </c>
      <c r="G150" s="270">
        <f t="shared" si="34"/>
        <v>0</v>
      </c>
      <c r="H150" s="270">
        <f t="shared" si="34"/>
        <v>0</v>
      </c>
      <c r="I150" s="270">
        <f t="shared" si="34"/>
        <v>2508803</v>
      </c>
      <c r="J150" s="270">
        <f t="shared" si="30"/>
        <v>2508803</v>
      </c>
      <c r="K150" s="270">
        <f t="shared" si="31"/>
        <v>80032367</v>
      </c>
      <c r="L150" s="270">
        <f>SUM(L151:L171)</f>
        <v>74302861</v>
      </c>
      <c r="M150" s="271">
        <f>SUM(M151:M171)</f>
        <v>78507478</v>
      </c>
      <c r="N150" s="128"/>
    </row>
    <row r="151" spans="1:14" ht="13.5" customHeight="1" x14ac:dyDescent="0.25">
      <c r="A151" s="832" t="str">
        <f t="shared" si="26"/>
        <v>Aged Care</v>
      </c>
      <c r="B151" s="724"/>
      <c r="C151" s="382"/>
      <c r="D151" s="109">
        <v>0</v>
      </c>
      <c r="E151" s="109">
        <v>0</v>
      </c>
      <c r="F151" s="109">
        <v>0</v>
      </c>
      <c r="G151" s="109">
        <v>0</v>
      </c>
      <c r="H151" s="109">
        <v>0</v>
      </c>
      <c r="I151" s="109">
        <v>0</v>
      </c>
      <c r="J151" s="173">
        <f t="shared" si="30"/>
        <v>0</v>
      </c>
      <c r="K151" s="173">
        <f t="shared" si="31"/>
        <v>0</v>
      </c>
      <c r="L151" s="109"/>
      <c r="M151" s="110"/>
      <c r="N151" s="128"/>
    </row>
    <row r="152" spans="1:14" ht="13.5" customHeight="1" x14ac:dyDescent="0.25">
      <c r="A152" s="832" t="str">
        <f t="shared" si="26"/>
        <v>Agricultural</v>
      </c>
      <c r="B152" s="724"/>
      <c r="C152" s="382"/>
      <c r="D152" s="109">
        <v>0</v>
      </c>
      <c r="E152" s="109">
        <v>0</v>
      </c>
      <c r="F152" s="109">
        <v>0</v>
      </c>
      <c r="G152" s="109">
        <v>0</v>
      </c>
      <c r="H152" s="109">
        <v>0</v>
      </c>
      <c r="I152" s="109">
        <v>0</v>
      </c>
      <c r="J152" s="173">
        <f t="shared" si="30"/>
        <v>0</v>
      </c>
      <c r="K152" s="173">
        <f t="shared" si="31"/>
        <v>0</v>
      </c>
      <c r="L152" s="109"/>
      <c r="M152" s="110"/>
      <c r="N152" s="128"/>
    </row>
    <row r="153" spans="1:14" ht="13.5" customHeight="1" x14ac:dyDescent="0.25">
      <c r="A153" s="832" t="str">
        <f t="shared" si="26"/>
        <v>Animal Care and Diseases</v>
      </c>
      <c r="B153" s="724"/>
      <c r="C153" s="382"/>
      <c r="D153" s="109">
        <v>0</v>
      </c>
      <c r="E153" s="109">
        <v>0</v>
      </c>
      <c r="F153" s="109">
        <v>0</v>
      </c>
      <c r="G153" s="109">
        <v>0</v>
      </c>
      <c r="H153" s="109">
        <v>0</v>
      </c>
      <c r="I153" s="109">
        <v>0</v>
      </c>
      <c r="J153" s="173">
        <f t="shared" si="30"/>
        <v>0</v>
      </c>
      <c r="K153" s="173">
        <f t="shared" si="31"/>
        <v>0</v>
      </c>
      <c r="L153" s="109"/>
      <c r="M153" s="110"/>
      <c r="N153" s="128"/>
    </row>
    <row r="154" spans="1:14" ht="13.5" customHeight="1" x14ac:dyDescent="0.25">
      <c r="A154" s="832" t="str">
        <f t="shared" si="26"/>
        <v>Cemeteries, Funeral Parlours and Crematoriums</v>
      </c>
      <c r="B154" s="724"/>
      <c r="C154" s="382">
        <v>8799204</v>
      </c>
      <c r="D154" s="109">
        <v>8799204</v>
      </c>
      <c r="E154" s="109">
        <v>0</v>
      </c>
      <c r="F154" s="109">
        <v>0</v>
      </c>
      <c r="G154" s="109">
        <v>0</v>
      </c>
      <c r="H154" s="109">
        <v>0</v>
      </c>
      <c r="I154" s="109">
        <v>3395000</v>
      </c>
      <c r="J154" s="173">
        <f t="shared" si="30"/>
        <v>3395000</v>
      </c>
      <c r="K154" s="173">
        <f t="shared" si="31"/>
        <v>12194204</v>
      </c>
      <c r="L154" s="109"/>
      <c r="M154" s="110"/>
      <c r="N154" s="128"/>
    </row>
    <row r="155" spans="1:14" ht="13.5" customHeight="1" x14ac:dyDescent="0.25">
      <c r="A155" s="832" t="str">
        <f t="shared" si="26"/>
        <v>Child Care Facilities</v>
      </c>
      <c r="B155" s="724"/>
      <c r="C155" s="382"/>
      <c r="D155" s="109">
        <v>0</v>
      </c>
      <c r="E155" s="109">
        <v>0</v>
      </c>
      <c r="F155" s="109">
        <v>0</v>
      </c>
      <c r="G155" s="109">
        <v>0</v>
      </c>
      <c r="H155" s="109">
        <v>0</v>
      </c>
      <c r="I155" s="109">
        <v>0</v>
      </c>
      <c r="J155" s="173">
        <f t="shared" si="30"/>
        <v>0</v>
      </c>
      <c r="K155" s="173">
        <f t="shared" si="31"/>
        <v>0</v>
      </c>
      <c r="L155" s="109"/>
      <c r="M155" s="110"/>
      <c r="N155" s="128"/>
    </row>
    <row r="156" spans="1:14" ht="13.5" customHeight="1" x14ac:dyDescent="0.25">
      <c r="A156" s="832" t="str">
        <f t="shared" si="26"/>
        <v>Community Halls and Facilities</v>
      </c>
      <c r="B156" s="724"/>
      <c r="C156" s="382">
        <v>13430855</v>
      </c>
      <c r="D156" s="109">
        <v>13430855</v>
      </c>
      <c r="E156" s="109">
        <v>0</v>
      </c>
      <c r="F156" s="109">
        <v>0</v>
      </c>
      <c r="G156" s="109">
        <v>0</v>
      </c>
      <c r="H156" s="109">
        <v>0</v>
      </c>
      <c r="I156" s="109">
        <v>-129000</v>
      </c>
      <c r="J156" s="173">
        <f t="shared" si="30"/>
        <v>-129000</v>
      </c>
      <c r="K156" s="173">
        <f t="shared" si="31"/>
        <v>13301855</v>
      </c>
      <c r="L156" s="109">
        <v>74302861</v>
      </c>
      <c r="M156" s="110">
        <v>78507478</v>
      </c>
      <c r="N156" s="128"/>
    </row>
    <row r="157" spans="1:14" ht="12.6" customHeight="1" x14ac:dyDescent="0.25">
      <c r="A157" s="832" t="str">
        <f t="shared" si="26"/>
        <v>Consumer Protection</v>
      </c>
      <c r="B157" s="724"/>
      <c r="C157" s="382"/>
      <c r="D157" s="109">
        <v>0</v>
      </c>
      <c r="E157" s="109">
        <v>0</v>
      </c>
      <c r="F157" s="109">
        <v>0</v>
      </c>
      <c r="G157" s="109">
        <v>0</v>
      </c>
      <c r="H157" s="109">
        <v>0</v>
      </c>
      <c r="I157" s="109">
        <v>0</v>
      </c>
      <c r="J157" s="173">
        <f t="shared" si="30"/>
        <v>0</v>
      </c>
      <c r="K157" s="173">
        <f t="shared" si="31"/>
        <v>0</v>
      </c>
      <c r="L157" s="109"/>
      <c r="M157" s="110"/>
      <c r="N157" s="128"/>
    </row>
    <row r="158" spans="1:14" ht="12.6" customHeight="1" x14ac:dyDescent="0.25">
      <c r="A158" s="832" t="str">
        <f t="shared" si="26"/>
        <v>Cultural Matters</v>
      </c>
      <c r="B158" s="724"/>
      <c r="C158" s="382">
        <v>4395566</v>
      </c>
      <c r="D158" s="109">
        <v>4395566</v>
      </c>
      <c r="E158" s="109">
        <v>0</v>
      </c>
      <c r="F158" s="109">
        <v>0</v>
      </c>
      <c r="G158" s="109">
        <v>0</v>
      </c>
      <c r="H158" s="109">
        <v>0</v>
      </c>
      <c r="I158" s="109">
        <v>0</v>
      </c>
      <c r="J158" s="173">
        <f t="shared" si="30"/>
        <v>0</v>
      </c>
      <c r="K158" s="173">
        <f t="shared" si="31"/>
        <v>4395566</v>
      </c>
      <c r="L158" s="109"/>
      <c r="M158" s="110"/>
      <c r="N158" s="128"/>
    </row>
    <row r="159" spans="1:14" ht="12.6" customHeight="1" x14ac:dyDescent="0.25">
      <c r="A159" s="832" t="str">
        <f t="shared" si="26"/>
        <v>Disaster Management</v>
      </c>
      <c r="B159" s="724"/>
      <c r="C159" s="382">
        <v>15639961</v>
      </c>
      <c r="D159" s="109">
        <v>15639961</v>
      </c>
      <c r="E159" s="109">
        <v>0</v>
      </c>
      <c r="F159" s="109">
        <v>0</v>
      </c>
      <c r="G159" s="109">
        <v>0</v>
      </c>
      <c r="H159" s="109">
        <v>0</v>
      </c>
      <c r="I159" s="109">
        <v>-700000</v>
      </c>
      <c r="J159" s="173">
        <f t="shared" si="30"/>
        <v>-700000</v>
      </c>
      <c r="K159" s="173">
        <f t="shared" si="31"/>
        <v>14939961</v>
      </c>
      <c r="L159" s="109"/>
      <c r="M159" s="110"/>
      <c r="N159" s="128"/>
    </row>
    <row r="160" spans="1:14" ht="13.5" customHeight="1" x14ac:dyDescent="0.25">
      <c r="A160" s="832" t="str">
        <f t="shared" si="26"/>
        <v>Education</v>
      </c>
      <c r="B160" s="724"/>
      <c r="C160" s="382">
        <v>0</v>
      </c>
      <c r="D160" s="109">
        <v>0</v>
      </c>
      <c r="E160" s="109">
        <v>0</v>
      </c>
      <c r="F160" s="109">
        <v>0</v>
      </c>
      <c r="G160" s="109">
        <v>0</v>
      </c>
      <c r="H160" s="109">
        <v>0</v>
      </c>
      <c r="I160" s="109">
        <v>0</v>
      </c>
      <c r="J160" s="173">
        <f t="shared" si="30"/>
        <v>0</v>
      </c>
      <c r="K160" s="173">
        <f t="shared" si="31"/>
        <v>0</v>
      </c>
      <c r="L160" s="109"/>
      <c r="M160" s="110"/>
      <c r="N160" s="128"/>
    </row>
    <row r="161" spans="1:14" ht="13.5" customHeight="1" x14ac:dyDescent="0.25">
      <c r="A161" s="832" t="str">
        <f t="shared" ref="A161:A192" si="35">A39</f>
        <v>Indigenous and Customary Law</v>
      </c>
      <c r="B161" s="724"/>
      <c r="C161" s="382">
        <v>0</v>
      </c>
      <c r="D161" s="109">
        <v>0</v>
      </c>
      <c r="E161" s="109">
        <v>0</v>
      </c>
      <c r="F161" s="109">
        <v>0</v>
      </c>
      <c r="G161" s="109">
        <v>0</v>
      </c>
      <c r="H161" s="109">
        <v>0</v>
      </c>
      <c r="I161" s="109">
        <v>0</v>
      </c>
      <c r="J161" s="173">
        <f t="shared" si="30"/>
        <v>0</v>
      </c>
      <c r="K161" s="173">
        <f t="shared" si="31"/>
        <v>0</v>
      </c>
      <c r="L161" s="109"/>
      <c r="M161" s="110"/>
      <c r="N161" s="128"/>
    </row>
    <row r="162" spans="1:14" ht="13.5" customHeight="1" x14ac:dyDescent="0.25">
      <c r="A162" s="832" t="str">
        <f t="shared" si="35"/>
        <v>Industrial Promotion</v>
      </c>
      <c r="B162" s="724"/>
      <c r="C162" s="382">
        <v>0</v>
      </c>
      <c r="D162" s="109">
        <v>0</v>
      </c>
      <c r="E162" s="109">
        <v>0</v>
      </c>
      <c r="F162" s="109">
        <v>0</v>
      </c>
      <c r="G162" s="109">
        <v>0</v>
      </c>
      <c r="H162" s="109">
        <v>0</v>
      </c>
      <c r="I162" s="109">
        <v>0</v>
      </c>
      <c r="J162" s="173">
        <f t="shared" si="30"/>
        <v>0</v>
      </c>
      <c r="K162" s="173">
        <f t="shared" si="31"/>
        <v>0</v>
      </c>
      <c r="L162" s="109"/>
      <c r="M162" s="110"/>
      <c r="N162" s="128"/>
    </row>
    <row r="163" spans="1:14" ht="13.5" customHeight="1" x14ac:dyDescent="0.25">
      <c r="A163" s="832" t="str">
        <f t="shared" si="35"/>
        <v>Language Policy</v>
      </c>
      <c r="B163" s="724"/>
      <c r="C163" s="382">
        <v>0</v>
      </c>
      <c r="D163" s="109">
        <v>0</v>
      </c>
      <c r="E163" s="109">
        <v>0</v>
      </c>
      <c r="F163" s="109">
        <v>0</v>
      </c>
      <c r="G163" s="109">
        <v>0</v>
      </c>
      <c r="H163" s="109">
        <v>0</v>
      </c>
      <c r="I163" s="109">
        <v>0</v>
      </c>
      <c r="J163" s="173">
        <f t="shared" si="30"/>
        <v>0</v>
      </c>
      <c r="K163" s="173">
        <f t="shared" si="31"/>
        <v>0</v>
      </c>
      <c r="L163" s="109"/>
      <c r="M163" s="110"/>
      <c r="N163" s="128"/>
    </row>
    <row r="164" spans="1:14" ht="13.5" customHeight="1" x14ac:dyDescent="0.25">
      <c r="A164" s="832" t="str">
        <f t="shared" si="35"/>
        <v>Libraries and Archives</v>
      </c>
      <c r="B164" s="724"/>
      <c r="C164" s="382">
        <v>24580580</v>
      </c>
      <c r="D164" s="109">
        <v>24580580</v>
      </c>
      <c r="E164" s="109">
        <v>0</v>
      </c>
      <c r="F164" s="109">
        <v>0</v>
      </c>
      <c r="G164" s="109">
        <v>0</v>
      </c>
      <c r="H164" s="109">
        <v>0</v>
      </c>
      <c r="I164" s="109">
        <v>0</v>
      </c>
      <c r="J164" s="173">
        <f t="shared" si="30"/>
        <v>0</v>
      </c>
      <c r="K164" s="173">
        <f t="shared" si="31"/>
        <v>24580580</v>
      </c>
      <c r="L164" s="109"/>
      <c r="M164" s="110"/>
      <c r="N164" s="128"/>
    </row>
    <row r="165" spans="1:14" ht="13.5" customHeight="1" x14ac:dyDescent="0.25">
      <c r="A165" s="832" t="str">
        <f t="shared" si="35"/>
        <v>Literacy Programmes</v>
      </c>
      <c r="B165" s="724"/>
      <c r="C165" s="382">
        <v>0</v>
      </c>
      <c r="D165" s="109">
        <v>0</v>
      </c>
      <c r="E165" s="109">
        <v>0</v>
      </c>
      <c r="F165" s="109">
        <v>0</v>
      </c>
      <c r="G165" s="109">
        <v>0</v>
      </c>
      <c r="H165" s="109">
        <v>0</v>
      </c>
      <c r="I165" s="109">
        <v>0</v>
      </c>
      <c r="J165" s="173">
        <f t="shared" si="30"/>
        <v>0</v>
      </c>
      <c r="K165" s="173">
        <f t="shared" si="31"/>
        <v>0</v>
      </c>
      <c r="L165" s="109"/>
      <c r="M165" s="110"/>
      <c r="N165" s="128"/>
    </row>
    <row r="166" spans="1:14" ht="13.5" customHeight="1" x14ac:dyDescent="0.25">
      <c r="A166" s="832" t="str">
        <f t="shared" si="35"/>
        <v>Media Services</v>
      </c>
      <c r="B166" s="724"/>
      <c r="C166" s="382"/>
      <c r="D166" s="109">
        <v>0</v>
      </c>
      <c r="E166" s="109">
        <v>0</v>
      </c>
      <c r="F166" s="109">
        <v>0</v>
      </c>
      <c r="G166" s="109">
        <v>0</v>
      </c>
      <c r="H166" s="109">
        <v>0</v>
      </c>
      <c r="I166" s="109">
        <v>0</v>
      </c>
      <c r="J166" s="173">
        <f t="shared" si="30"/>
        <v>0</v>
      </c>
      <c r="K166" s="173">
        <f t="shared" si="31"/>
        <v>0</v>
      </c>
      <c r="L166" s="109"/>
      <c r="M166" s="110"/>
      <c r="N166" s="128"/>
    </row>
    <row r="167" spans="1:14" ht="13.5" customHeight="1" x14ac:dyDescent="0.25">
      <c r="A167" s="832" t="str">
        <f t="shared" si="35"/>
        <v>Museums and Art Galleries</v>
      </c>
      <c r="B167" s="724"/>
      <c r="C167" s="382">
        <v>10677398</v>
      </c>
      <c r="D167" s="109">
        <v>10677398</v>
      </c>
      <c r="E167" s="109">
        <v>0</v>
      </c>
      <c r="F167" s="109">
        <v>0</v>
      </c>
      <c r="G167" s="109">
        <v>0</v>
      </c>
      <c r="H167" s="109">
        <v>0</v>
      </c>
      <c r="I167" s="109">
        <v>-57197</v>
      </c>
      <c r="J167" s="173">
        <f t="shared" si="30"/>
        <v>-57197</v>
      </c>
      <c r="K167" s="173">
        <f t="shared" si="31"/>
        <v>10620201</v>
      </c>
      <c r="L167" s="109"/>
      <c r="M167" s="110"/>
      <c r="N167" s="128"/>
    </row>
    <row r="168" spans="1:14" ht="13.5" customHeight="1" x14ac:dyDescent="0.25">
      <c r="A168" s="832" t="str">
        <f t="shared" si="35"/>
        <v>Population Development</v>
      </c>
      <c r="B168" s="724"/>
      <c r="C168" s="382">
        <v>0</v>
      </c>
      <c r="D168" s="109">
        <v>0</v>
      </c>
      <c r="E168" s="109">
        <v>0</v>
      </c>
      <c r="F168" s="109">
        <v>0</v>
      </c>
      <c r="G168" s="109">
        <v>0</v>
      </c>
      <c r="H168" s="109">
        <v>0</v>
      </c>
      <c r="I168" s="109">
        <v>0</v>
      </c>
      <c r="J168" s="173">
        <f t="shared" si="30"/>
        <v>0</v>
      </c>
      <c r="K168" s="173">
        <f t="shared" si="31"/>
        <v>0</v>
      </c>
      <c r="L168" s="109"/>
      <c r="M168" s="110"/>
      <c r="N168" s="128"/>
    </row>
    <row r="169" spans="1:14" ht="13.5" customHeight="1" x14ac:dyDescent="0.25">
      <c r="A169" s="832" t="str">
        <f t="shared" si="35"/>
        <v>Provincial Cultural Matters</v>
      </c>
      <c r="B169" s="724"/>
      <c r="C169" s="382">
        <v>0</v>
      </c>
      <c r="D169" s="109">
        <v>0</v>
      </c>
      <c r="E169" s="109">
        <v>0</v>
      </c>
      <c r="F169" s="109">
        <v>0</v>
      </c>
      <c r="G169" s="109">
        <v>0</v>
      </c>
      <c r="H169" s="109">
        <v>0</v>
      </c>
      <c r="I169" s="109">
        <v>0</v>
      </c>
      <c r="J169" s="173">
        <f t="shared" si="30"/>
        <v>0</v>
      </c>
      <c r="K169" s="173">
        <f t="shared" si="31"/>
        <v>0</v>
      </c>
      <c r="L169" s="109"/>
      <c r="M169" s="110"/>
      <c r="N169" s="128"/>
    </row>
    <row r="170" spans="1:14" ht="13.5" customHeight="1" x14ac:dyDescent="0.25">
      <c r="A170" s="832" t="str">
        <f t="shared" si="35"/>
        <v>Theatres</v>
      </c>
      <c r="B170" s="724"/>
      <c r="C170" s="382">
        <v>0</v>
      </c>
      <c r="D170" s="109">
        <v>0</v>
      </c>
      <c r="E170" s="109">
        <v>0</v>
      </c>
      <c r="F170" s="109">
        <v>0</v>
      </c>
      <c r="G170" s="109">
        <v>0</v>
      </c>
      <c r="H170" s="109">
        <v>0</v>
      </c>
      <c r="I170" s="109">
        <v>0</v>
      </c>
      <c r="J170" s="173">
        <f t="shared" si="30"/>
        <v>0</v>
      </c>
      <c r="K170" s="173">
        <f t="shared" si="31"/>
        <v>0</v>
      </c>
      <c r="L170" s="109"/>
      <c r="M170" s="110"/>
      <c r="N170" s="128"/>
    </row>
    <row r="171" spans="1:14" ht="13.5" customHeight="1" x14ac:dyDescent="0.25">
      <c r="A171" s="832" t="str">
        <f t="shared" si="35"/>
        <v>Zoo's</v>
      </c>
      <c r="B171" s="724"/>
      <c r="C171" s="382">
        <v>0</v>
      </c>
      <c r="D171" s="109">
        <v>0</v>
      </c>
      <c r="E171" s="109">
        <v>0</v>
      </c>
      <c r="F171" s="109">
        <v>0</v>
      </c>
      <c r="G171" s="109">
        <v>0</v>
      </c>
      <c r="H171" s="109">
        <v>0</v>
      </c>
      <c r="I171" s="109">
        <v>0</v>
      </c>
      <c r="J171" s="173">
        <f t="shared" si="30"/>
        <v>0</v>
      </c>
      <c r="K171" s="173">
        <f t="shared" si="31"/>
        <v>0</v>
      </c>
      <c r="L171" s="109"/>
      <c r="M171" s="110"/>
      <c r="N171" s="128"/>
    </row>
    <row r="172" spans="1:14" ht="13.5" customHeight="1" x14ac:dyDescent="0.25">
      <c r="A172" s="710" t="str">
        <f t="shared" si="35"/>
        <v>Sport and recreation</v>
      </c>
      <c r="B172" s="724"/>
      <c r="C172" s="711">
        <f t="shared" ref="C172:I172" si="36">SUM(C173:C177)</f>
        <v>139720177</v>
      </c>
      <c r="D172" s="270">
        <f t="shared" si="36"/>
        <v>139720177</v>
      </c>
      <c r="E172" s="270">
        <f t="shared" si="36"/>
        <v>0</v>
      </c>
      <c r="F172" s="270">
        <f t="shared" si="36"/>
        <v>0</v>
      </c>
      <c r="G172" s="270">
        <f t="shared" si="36"/>
        <v>0</v>
      </c>
      <c r="H172" s="270">
        <f t="shared" si="36"/>
        <v>0</v>
      </c>
      <c r="I172" s="270">
        <f t="shared" si="36"/>
        <v>1003700</v>
      </c>
      <c r="J172" s="270">
        <f t="shared" si="30"/>
        <v>1003700</v>
      </c>
      <c r="K172" s="270">
        <f t="shared" si="31"/>
        <v>140723877</v>
      </c>
      <c r="L172" s="270">
        <f>SUM(L173:L177)</f>
        <v>146284904</v>
      </c>
      <c r="M172" s="271">
        <f>SUM(M173:M177)</f>
        <v>154288416</v>
      </c>
      <c r="N172" s="128"/>
    </row>
    <row r="173" spans="1:14" ht="13.5" customHeight="1" x14ac:dyDescent="0.25">
      <c r="A173" s="832" t="str">
        <f t="shared" si="35"/>
        <v xml:space="preserve">Beaches and Jetties </v>
      </c>
      <c r="B173" s="724"/>
      <c r="C173" s="382">
        <v>0</v>
      </c>
      <c r="D173" s="109">
        <v>0</v>
      </c>
      <c r="E173" s="109">
        <v>0</v>
      </c>
      <c r="F173" s="109">
        <v>0</v>
      </c>
      <c r="G173" s="109">
        <v>0</v>
      </c>
      <c r="H173" s="109">
        <v>0</v>
      </c>
      <c r="I173" s="109">
        <v>0</v>
      </c>
      <c r="J173" s="173">
        <f t="shared" si="30"/>
        <v>0</v>
      </c>
      <c r="K173" s="173">
        <f t="shared" si="31"/>
        <v>0</v>
      </c>
      <c r="L173" s="109"/>
      <c r="M173" s="110"/>
      <c r="N173" s="128"/>
    </row>
    <row r="174" spans="1:14" ht="13.5" customHeight="1" x14ac:dyDescent="0.25">
      <c r="A174" s="832" t="str">
        <f t="shared" si="35"/>
        <v>Casinos, Racing, Gambling, Wagering</v>
      </c>
      <c r="B174" s="724"/>
      <c r="C174" s="382">
        <v>0</v>
      </c>
      <c r="D174" s="109">
        <v>0</v>
      </c>
      <c r="E174" s="109">
        <v>0</v>
      </c>
      <c r="F174" s="109">
        <v>0</v>
      </c>
      <c r="G174" s="109">
        <v>0</v>
      </c>
      <c r="H174" s="109">
        <v>0</v>
      </c>
      <c r="I174" s="109">
        <v>0</v>
      </c>
      <c r="J174" s="173">
        <f t="shared" si="30"/>
        <v>0</v>
      </c>
      <c r="K174" s="173">
        <f t="shared" si="31"/>
        <v>0</v>
      </c>
      <c r="L174" s="109"/>
      <c r="M174" s="110"/>
      <c r="N174" s="128"/>
    </row>
    <row r="175" spans="1:14" ht="13.5" customHeight="1" x14ac:dyDescent="0.25">
      <c r="A175" s="832" t="str">
        <f t="shared" si="35"/>
        <v>Community Parks (including Nurseries)</v>
      </c>
      <c r="B175" s="724"/>
      <c r="C175" s="382">
        <v>40400469</v>
      </c>
      <c r="D175" s="109">
        <v>40400469</v>
      </c>
      <c r="E175" s="109">
        <v>0</v>
      </c>
      <c r="F175" s="109">
        <v>0</v>
      </c>
      <c r="G175" s="109">
        <v>0</v>
      </c>
      <c r="H175" s="109">
        <v>0</v>
      </c>
      <c r="I175" s="109">
        <v>1005000</v>
      </c>
      <c r="J175" s="173">
        <f t="shared" si="30"/>
        <v>1005000</v>
      </c>
      <c r="K175" s="173">
        <f t="shared" si="31"/>
        <v>41405469</v>
      </c>
      <c r="L175" s="109"/>
      <c r="M175" s="110"/>
      <c r="N175" s="128"/>
    </row>
    <row r="176" spans="1:14" ht="13.5" customHeight="1" x14ac:dyDescent="0.25">
      <c r="A176" s="832" t="str">
        <f t="shared" si="35"/>
        <v>Recreational Facilities</v>
      </c>
      <c r="B176" s="724"/>
      <c r="C176" s="382">
        <v>99319708</v>
      </c>
      <c r="D176" s="109">
        <v>99319708</v>
      </c>
      <c r="E176" s="109">
        <v>0</v>
      </c>
      <c r="F176" s="109">
        <v>0</v>
      </c>
      <c r="G176" s="109">
        <v>0</v>
      </c>
      <c r="H176" s="109">
        <v>0</v>
      </c>
      <c r="I176" s="109">
        <v>-1300</v>
      </c>
      <c r="J176" s="173">
        <f t="shared" si="30"/>
        <v>-1300</v>
      </c>
      <c r="K176" s="173">
        <f t="shared" si="31"/>
        <v>99318408</v>
      </c>
      <c r="L176" s="109">
        <v>146284904</v>
      </c>
      <c r="M176" s="110">
        <v>154288416</v>
      </c>
      <c r="N176" s="128"/>
    </row>
    <row r="177" spans="1:14" ht="13.5" customHeight="1" x14ac:dyDescent="0.25">
      <c r="A177" s="832" t="str">
        <f t="shared" si="35"/>
        <v>Sports Grounds and Stadiums</v>
      </c>
      <c r="B177" s="724"/>
      <c r="C177" s="382"/>
      <c r="D177" s="109">
        <v>0</v>
      </c>
      <c r="E177" s="109">
        <v>0</v>
      </c>
      <c r="F177" s="109">
        <v>0</v>
      </c>
      <c r="G177" s="109">
        <v>0</v>
      </c>
      <c r="H177" s="109">
        <v>0</v>
      </c>
      <c r="I177" s="109">
        <v>0</v>
      </c>
      <c r="J177" s="173">
        <f t="shared" si="30"/>
        <v>0</v>
      </c>
      <c r="K177" s="173">
        <f t="shared" si="31"/>
        <v>0</v>
      </c>
      <c r="L177" s="109"/>
      <c r="M177" s="110"/>
      <c r="N177" s="128"/>
    </row>
    <row r="178" spans="1:14" ht="13.5" customHeight="1" x14ac:dyDescent="0.25">
      <c r="A178" s="710" t="str">
        <f t="shared" si="35"/>
        <v>Public safety</v>
      </c>
      <c r="B178" s="724"/>
      <c r="C178" s="711">
        <f t="shared" ref="C178:I178" si="37">SUM(C179:C186)</f>
        <v>54804168</v>
      </c>
      <c r="D178" s="270">
        <f t="shared" si="37"/>
        <v>54804168</v>
      </c>
      <c r="E178" s="270">
        <f t="shared" si="37"/>
        <v>0</v>
      </c>
      <c r="F178" s="270">
        <f t="shared" si="37"/>
        <v>0</v>
      </c>
      <c r="G178" s="270">
        <f t="shared" si="37"/>
        <v>0</v>
      </c>
      <c r="H178" s="270">
        <f t="shared" si="37"/>
        <v>0</v>
      </c>
      <c r="I178" s="270">
        <f t="shared" si="37"/>
        <v>700000</v>
      </c>
      <c r="J178" s="270">
        <f t="shared" si="30"/>
        <v>700000</v>
      </c>
      <c r="K178" s="270">
        <f t="shared" si="31"/>
        <v>55504168</v>
      </c>
      <c r="L178" s="270">
        <f>SUM(L179:L186)</f>
        <v>57998411</v>
      </c>
      <c r="M178" s="271">
        <f>SUM(M179:M186)</f>
        <v>61295389</v>
      </c>
      <c r="N178" s="128"/>
    </row>
    <row r="179" spans="1:14" ht="13.5" customHeight="1" x14ac:dyDescent="0.25">
      <c r="A179" s="832" t="str">
        <f t="shared" si="35"/>
        <v>Civil Defence</v>
      </c>
      <c r="B179" s="724"/>
      <c r="C179" s="382">
        <v>0</v>
      </c>
      <c r="D179" s="109">
        <v>0</v>
      </c>
      <c r="E179" s="109">
        <v>0</v>
      </c>
      <c r="F179" s="109">
        <v>0</v>
      </c>
      <c r="G179" s="109">
        <v>0</v>
      </c>
      <c r="H179" s="109">
        <v>0</v>
      </c>
      <c r="I179" s="109">
        <v>0</v>
      </c>
      <c r="J179" s="173">
        <f t="shared" si="30"/>
        <v>0</v>
      </c>
      <c r="K179" s="173">
        <f t="shared" si="31"/>
        <v>0</v>
      </c>
      <c r="L179" s="109"/>
      <c r="M179" s="110"/>
      <c r="N179" s="128"/>
    </row>
    <row r="180" spans="1:14" ht="13.5" customHeight="1" x14ac:dyDescent="0.25">
      <c r="A180" s="832" t="str">
        <f t="shared" si="35"/>
        <v>Cleansing</v>
      </c>
      <c r="B180" s="724"/>
      <c r="C180" s="382">
        <v>0</v>
      </c>
      <c r="D180" s="109">
        <v>0</v>
      </c>
      <c r="E180" s="109">
        <v>0</v>
      </c>
      <c r="F180" s="109">
        <v>0</v>
      </c>
      <c r="G180" s="109">
        <v>0</v>
      </c>
      <c r="H180" s="109">
        <v>0</v>
      </c>
      <c r="I180" s="109">
        <v>0</v>
      </c>
      <c r="J180" s="173">
        <f t="shared" si="30"/>
        <v>0</v>
      </c>
      <c r="K180" s="173">
        <f t="shared" si="31"/>
        <v>0</v>
      </c>
      <c r="L180" s="109"/>
      <c r="M180" s="110"/>
      <c r="N180" s="128"/>
    </row>
    <row r="181" spans="1:14" ht="13.5" customHeight="1" x14ac:dyDescent="0.25">
      <c r="A181" s="832" t="str">
        <f t="shared" si="35"/>
        <v>Control of Public Nuisances</v>
      </c>
      <c r="B181" s="724"/>
      <c r="C181" s="382">
        <v>0</v>
      </c>
      <c r="D181" s="109">
        <v>0</v>
      </c>
      <c r="E181" s="109">
        <v>0</v>
      </c>
      <c r="F181" s="109">
        <v>0</v>
      </c>
      <c r="G181" s="109">
        <v>0</v>
      </c>
      <c r="H181" s="109">
        <v>0</v>
      </c>
      <c r="I181" s="109">
        <v>0</v>
      </c>
      <c r="J181" s="173">
        <f t="shared" si="30"/>
        <v>0</v>
      </c>
      <c r="K181" s="173">
        <f t="shared" si="31"/>
        <v>0</v>
      </c>
      <c r="L181" s="109"/>
      <c r="M181" s="110"/>
      <c r="N181" s="128"/>
    </row>
    <row r="182" spans="1:14" ht="13.5" customHeight="1" x14ac:dyDescent="0.25">
      <c r="A182" s="832" t="str">
        <f t="shared" si="35"/>
        <v xml:space="preserve">Fencing and Fences </v>
      </c>
      <c r="B182" s="724"/>
      <c r="C182" s="382">
        <v>0</v>
      </c>
      <c r="D182" s="109">
        <v>0</v>
      </c>
      <c r="E182" s="109">
        <v>0</v>
      </c>
      <c r="F182" s="109">
        <v>0</v>
      </c>
      <c r="G182" s="109">
        <v>0</v>
      </c>
      <c r="H182" s="109">
        <v>0</v>
      </c>
      <c r="I182" s="109">
        <v>0</v>
      </c>
      <c r="J182" s="173">
        <f t="shared" si="30"/>
        <v>0</v>
      </c>
      <c r="K182" s="173">
        <f t="shared" si="31"/>
        <v>0</v>
      </c>
      <c r="L182" s="109"/>
      <c r="M182" s="110"/>
      <c r="N182" s="128"/>
    </row>
    <row r="183" spans="1:14" ht="13.5" customHeight="1" x14ac:dyDescent="0.25">
      <c r="A183" s="832" t="str">
        <f t="shared" si="35"/>
        <v>Fire Fighting and Protection</v>
      </c>
      <c r="B183" s="724"/>
      <c r="C183" s="382">
        <v>54804168</v>
      </c>
      <c r="D183" s="109">
        <v>54804168</v>
      </c>
      <c r="E183" s="109">
        <v>0</v>
      </c>
      <c r="F183" s="109">
        <v>0</v>
      </c>
      <c r="G183" s="109">
        <v>0</v>
      </c>
      <c r="H183" s="109">
        <v>0</v>
      </c>
      <c r="I183" s="109">
        <v>700000</v>
      </c>
      <c r="J183" s="173">
        <f t="shared" si="30"/>
        <v>700000</v>
      </c>
      <c r="K183" s="173">
        <f t="shared" si="31"/>
        <v>55504168</v>
      </c>
      <c r="L183" s="109"/>
      <c r="M183" s="110"/>
      <c r="N183" s="128"/>
    </row>
    <row r="184" spans="1:14" ht="13.5" customHeight="1" x14ac:dyDescent="0.25">
      <c r="A184" s="832" t="str">
        <f t="shared" si="35"/>
        <v>Licensing and Control of Animals</v>
      </c>
      <c r="B184" s="724"/>
      <c r="C184" s="382">
        <v>0</v>
      </c>
      <c r="D184" s="109">
        <v>0</v>
      </c>
      <c r="E184" s="109">
        <v>0</v>
      </c>
      <c r="F184" s="109">
        <v>0</v>
      </c>
      <c r="G184" s="109">
        <v>0</v>
      </c>
      <c r="H184" s="109">
        <v>0</v>
      </c>
      <c r="I184" s="109">
        <v>0</v>
      </c>
      <c r="J184" s="173">
        <f>SUM(E184:I184)</f>
        <v>0</v>
      </c>
      <c r="K184" s="173">
        <f>IF(D184=0,C184+J184,D184+J184)</f>
        <v>0</v>
      </c>
      <c r="L184" s="109"/>
      <c r="M184" s="110"/>
      <c r="N184" s="128"/>
    </row>
    <row r="185" spans="1:14" ht="13.5" customHeight="1" x14ac:dyDescent="0.25">
      <c r="A185" s="832" t="str">
        <f t="shared" si="35"/>
        <v>Police Forces, Traffic and Street Parking Control</v>
      </c>
      <c r="B185" s="724"/>
      <c r="C185" s="382">
        <v>0</v>
      </c>
      <c r="D185" s="109">
        <v>0</v>
      </c>
      <c r="E185" s="109">
        <v>0</v>
      </c>
      <c r="F185" s="109">
        <v>0</v>
      </c>
      <c r="G185" s="109">
        <v>0</v>
      </c>
      <c r="H185" s="109">
        <v>0</v>
      </c>
      <c r="I185" s="109">
        <v>0</v>
      </c>
      <c r="J185" s="173">
        <f>SUM(E185:I185)</f>
        <v>0</v>
      </c>
      <c r="K185" s="173">
        <f>IF(D185=0,C185+J185,D185+J185)</f>
        <v>0</v>
      </c>
      <c r="L185" s="109">
        <v>57998411</v>
      </c>
      <c r="M185" s="110">
        <v>61295389</v>
      </c>
      <c r="N185" s="128"/>
    </row>
    <row r="186" spans="1:14" ht="13.5" customHeight="1" x14ac:dyDescent="0.25">
      <c r="A186" s="832" t="str">
        <f t="shared" si="35"/>
        <v>Pounds</v>
      </c>
      <c r="B186" s="724"/>
      <c r="C186" s="382">
        <v>0</v>
      </c>
      <c r="D186" s="109">
        <v>0</v>
      </c>
      <c r="E186" s="109">
        <v>0</v>
      </c>
      <c r="F186" s="109">
        <v>0</v>
      </c>
      <c r="G186" s="109">
        <v>0</v>
      </c>
      <c r="H186" s="109">
        <v>0</v>
      </c>
      <c r="I186" s="109">
        <v>0</v>
      </c>
      <c r="J186" s="173">
        <f t="shared" si="30"/>
        <v>0</v>
      </c>
      <c r="K186" s="173">
        <f t="shared" si="31"/>
        <v>0</v>
      </c>
      <c r="L186" s="109"/>
      <c r="M186" s="110"/>
      <c r="N186" s="128"/>
    </row>
    <row r="187" spans="1:14" ht="13.5" customHeight="1" x14ac:dyDescent="0.25">
      <c r="A187" s="710" t="str">
        <f t="shared" si="35"/>
        <v>Housing</v>
      </c>
      <c r="B187" s="724"/>
      <c r="C187" s="711">
        <f>SUM(C188:C189)</f>
        <v>11549248</v>
      </c>
      <c r="D187" s="270">
        <f t="shared" ref="D187:M187" si="38">SUM(D188:D189)</f>
        <v>11549248</v>
      </c>
      <c r="E187" s="270">
        <f t="shared" si="38"/>
        <v>0</v>
      </c>
      <c r="F187" s="270">
        <f t="shared" si="38"/>
        <v>0</v>
      </c>
      <c r="G187" s="270">
        <f t="shared" si="38"/>
        <v>0</v>
      </c>
      <c r="H187" s="270">
        <f t="shared" si="38"/>
        <v>0</v>
      </c>
      <c r="I187" s="270">
        <f t="shared" si="38"/>
        <v>122000</v>
      </c>
      <c r="J187" s="270">
        <f t="shared" si="30"/>
        <v>122000</v>
      </c>
      <c r="K187" s="270">
        <f t="shared" si="31"/>
        <v>11671248</v>
      </c>
      <c r="L187" s="270">
        <f t="shared" si="38"/>
        <v>12230382</v>
      </c>
      <c r="M187" s="271">
        <f t="shared" si="38"/>
        <v>12921829</v>
      </c>
      <c r="N187" s="128"/>
    </row>
    <row r="188" spans="1:14" ht="13.5" customHeight="1" x14ac:dyDescent="0.25">
      <c r="A188" s="832" t="str">
        <f t="shared" si="35"/>
        <v>Housing</v>
      </c>
      <c r="B188" s="724"/>
      <c r="C188" s="382">
        <v>11549248</v>
      </c>
      <c r="D188" s="109">
        <v>11549248</v>
      </c>
      <c r="E188" s="109">
        <v>0</v>
      </c>
      <c r="F188" s="109">
        <v>0</v>
      </c>
      <c r="G188" s="109">
        <v>0</v>
      </c>
      <c r="H188" s="109">
        <v>0</v>
      </c>
      <c r="I188" s="109">
        <v>122000</v>
      </c>
      <c r="J188" s="173">
        <f t="shared" si="30"/>
        <v>122000</v>
      </c>
      <c r="K188" s="173">
        <f t="shared" si="31"/>
        <v>11671248</v>
      </c>
      <c r="L188" s="109">
        <v>12230382</v>
      </c>
      <c r="M188" s="110">
        <v>12921829</v>
      </c>
      <c r="N188" s="128"/>
    </row>
    <row r="189" spans="1:14" ht="13.5" customHeight="1" x14ac:dyDescent="0.25">
      <c r="A189" s="832" t="str">
        <f t="shared" si="35"/>
        <v>Informal Settlements</v>
      </c>
      <c r="B189" s="724"/>
      <c r="C189" s="382"/>
      <c r="D189" s="109">
        <v>0</v>
      </c>
      <c r="E189" s="109">
        <v>0</v>
      </c>
      <c r="F189" s="109">
        <v>0</v>
      </c>
      <c r="G189" s="109">
        <v>0</v>
      </c>
      <c r="H189" s="109">
        <v>0</v>
      </c>
      <c r="I189" s="109">
        <v>0</v>
      </c>
      <c r="J189" s="173">
        <f t="shared" si="30"/>
        <v>0</v>
      </c>
      <c r="K189" s="173">
        <f t="shared" si="31"/>
        <v>0</v>
      </c>
      <c r="L189" s="109"/>
      <c r="M189" s="110"/>
      <c r="N189" s="128"/>
    </row>
    <row r="190" spans="1:14" ht="13.5" customHeight="1" x14ac:dyDescent="0.25">
      <c r="A190" s="710" t="str">
        <f t="shared" si="35"/>
        <v>Health</v>
      </c>
      <c r="B190" s="724"/>
      <c r="C190" s="711">
        <f t="shared" ref="C190:I190" si="39">SUM(C191:C197)</f>
        <v>7004858</v>
      </c>
      <c r="D190" s="270">
        <f t="shared" si="39"/>
        <v>7004858</v>
      </c>
      <c r="E190" s="270">
        <f t="shared" si="39"/>
        <v>0</v>
      </c>
      <c r="F190" s="270">
        <f t="shared" si="39"/>
        <v>0</v>
      </c>
      <c r="G190" s="270">
        <f t="shared" si="39"/>
        <v>0</v>
      </c>
      <c r="H190" s="270">
        <f t="shared" si="39"/>
        <v>0</v>
      </c>
      <c r="I190" s="270">
        <f t="shared" si="39"/>
        <v>20000</v>
      </c>
      <c r="J190" s="270">
        <f t="shared" si="30"/>
        <v>20000</v>
      </c>
      <c r="K190" s="270">
        <f t="shared" si="31"/>
        <v>7024858</v>
      </c>
      <c r="L190" s="270">
        <f>SUM(L191:L197)</f>
        <v>7409176</v>
      </c>
      <c r="M190" s="271">
        <f>SUM(M191:M197)</f>
        <v>7830530</v>
      </c>
      <c r="N190" s="128"/>
    </row>
    <row r="191" spans="1:14" ht="13.5" customHeight="1" x14ac:dyDescent="0.25">
      <c r="A191" s="832" t="str">
        <f t="shared" si="35"/>
        <v>Ambulance</v>
      </c>
      <c r="B191" s="724"/>
      <c r="C191" s="382"/>
      <c r="D191" s="109">
        <v>0</v>
      </c>
      <c r="E191" s="109">
        <v>0</v>
      </c>
      <c r="F191" s="109">
        <v>0</v>
      </c>
      <c r="G191" s="109">
        <v>0</v>
      </c>
      <c r="H191" s="109">
        <v>0</v>
      </c>
      <c r="I191" s="109">
        <v>0</v>
      </c>
      <c r="J191" s="173">
        <f t="shared" si="30"/>
        <v>0</v>
      </c>
      <c r="K191" s="173">
        <f t="shared" si="31"/>
        <v>0</v>
      </c>
      <c r="L191" s="109"/>
      <c r="M191" s="110"/>
      <c r="N191" s="128"/>
    </row>
    <row r="192" spans="1:14" ht="13.5" customHeight="1" x14ac:dyDescent="0.25">
      <c r="A192" s="832" t="str">
        <f t="shared" si="35"/>
        <v>Health Services</v>
      </c>
      <c r="B192" s="724"/>
      <c r="C192" s="382">
        <v>7004858</v>
      </c>
      <c r="D192" s="109">
        <v>7004858</v>
      </c>
      <c r="E192" s="109">
        <v>0</v>
      </c>
      <c r="F192" s="109">
        <v>0</v>
      </c>
      <c r="G192" s="109">
        <v>0</v>
      </c>
      <c r="H192" s="109">
        <v>0</v>
      </c>
      <c r="I192" s="109">
        <v>20000</v>
      </c>
      <c r="J192" s="173">
        <f t="shared" si="30"/>
        <v>20000</v>
      </c>
      <c r="K192" s="173">
        <f t="shared" si="31"/>
        <v>7024858</v>
      </c>
      <c r="L192" s="109">
        <v>7409176</v>
      </c>
      <c r="M192" s="110">
        <v>7830530</v>
      </c>
      <c r="N192" s="128"/>
    </row>
    <row r="193" spans="1:14" ht="13.5" customHeight="1" x14ac:dyDescent="0.25">
      <c r="A193" s="832" t="str">
        <f t="shared" ref="A193:A224" si="40">A71</f>
        <v>Laboratory Services</v>
      </c>
      <c r="B193" s="724"/>
      <c r="C193" s="382">
        <v>0</v>
      </c>
      <c r="D193" s="109">
        <v>0</v>
      </c>
      <c r="E193" s="109"/>
      <c r="F193" s="109"/>
      <c r="G193" s="109"/>
      <c r="H193" s="109"/>
      <c r="I193" s="109">
        <v>0</v>
      </c>
      <c r="J193" s="173">
        <f t="shared" si="30"/>
        <v>0</v>
      </c>
      <c r="K193" s="173">
        <f t="shared" si="31"/>
        <v>0</v>
      </c>
      <c r="L193" s="109"/>
      <c r="M193" s="110"/>
      <c r="N193" s="128"/>
    </row>
    <row r="194" spans="1:14" ht="13.5" customHeight="1" x14ac:dyDescent="0.25">
      <c r="A194" s="832" t="str">
        <f t="shared" si="40"/>
        <v>Food Control</v>
      </c>
      <c r="B194" s="724"/>
      <c r="C194" s="382">
        <v>0</v>
      </c>
      <c r="D194" s="109">
        <v>0</v>
      </c>
      <c r="E194" s="109"/>
      <c r="F194" s="109"/>
      <c r="G194" s="109"/>
      <c r="H194" s="109"/>
      <c r="I194" s="109">
        <v>0</v>
      </c>
      <c r="J194" s="173">
        <f t="shared" si="30"/>
        <v>0</v>
      </c>
      <c r="K194" s="173">
        <f t="shared" si="31"/>
        <v>0</v>
      </c>
      <c r="L194" s="109"/>
      <c r="M194" s="110"/>
      <c r="N194" s="128"/>
    </row>
    <row r="195" spans="1:14" ht="13.5" customHeight="1" x14ac:dyDescent="0.25">
      <c r="A195" s="832" t="str">
        <f t="shared" si="40"/>
        <v>Health Surveillance and Prevention of Communicable Diseases including immunizations</v>
      </c>
      <c r="B195" s="724"/>
      <c r="C195" s="382">
        <v>0</v>
      </c>
      <c r="D195" s="109">
        <v>0</v>
      </c>
      <c r="E195" s="109"/>
      <c r="F195" s="109"/>
      <c r="G195" s="109"/>
      <c r="H195" s="109"/>
      <c r="I195" s="109">
        <v>0</v>
      </c>
      <c r="J195" s="173">
        <f t="shared" si="30"/>
        <v>0</v>
      </c>
      <c r="K195" s="173">
        <f t="shared" si="31"/>
        <v>0</v>
      </c>
      <c r="L195" s="109"/>
      <c r="M195" s="110"/>
      <c r="N195" s="128"/>
    </row>
    <row r="196" spans="1:14" ht="13.5" customHeight="1" x14ac:dyDescent="0.25">
      <c r="A196" s="832" t="str">
        <f t="shared" si="40"/>
        <v>Vector Control</v>
      </c>
      <c r="B196" s="724"/>
      <c r="C196" s="382">
        <v>0</v>
      </c>
      <c r="D196" s="109">
        <v>0</v>
      </c>
      <c r="E196" s="109"/>
      <c r="F196" s="109"/>
      <c r="G196" s="109"/>
      <c r="H196" s="109"/>
      <c r="I196" s="109">
        <v>0</v>
      </c>
      <c r="J196" s="173">
        <f t="shared" si="30"/>
        <v>0</v>
      </c>
      <c r="K196" s="173">
        <f t="shared" si="31"/>
        <v>0</v>
      </c>
      <c r="L196" s="109"/>
      <c r="M196" s="110"/>
      <c r="N196" s="128"/>
    </row>
    <row r="197" spans="1:14" ht="13.5" customHeight="1" x14ac:dyDescent="0.25">
      <c r="A197" s="832" t="str">
        <f t="shared" si="40"/>
        <v>Chemical Safety</v>
      </c>
      <c r="B197" s="724"/>
      <c r="C197" s="382">
        <v>0</v>
      </c>
      <c r="D197" s="109">
        <v>0</v>
      </c>
      <c r="E197" s="109"/>
      <c r="F197" s="109"/>
      <c r="G197" s="109"/>
      <c r="H197" s="109"/>
      <c r="I197" s="109">
        <v>0</v>
      </c>
      <c r="J197" s="173">
        <f t="shared" si="30"/>
        <v>0</v>
      </c>
      <c r="K197" s="173">
        <f t="shared" si="31"/>
        <v>0</v>
      </c>
      <c r="L197" s="109"/>
      <c r="M197" s="110"/>
      <c r="N197" s="128"/>
    </row>
    <row r="198" spans="1:14" ht="13.5" customHeight="1" x14ac:dyDescent="0.25">
      <c r="A198" s="107" t="str">
        <f t="shared" si="40"/>
        <v>Economic and environmental services</v>
      </c>
      <c r="B198" s="724"/>
      <c r="C198" s="708">
        <f t="shared" ref="C198:I198" si="41">C199+C210+C215</f>
        <v>509516640</v>
      </c>
      <c r="D198" s="707">
        <f t="shared" si="41"/>
        <v>514016640</v>
      </c>
      <c r="E198" s="707">
        <f t="shared" si="41"/>
        <v>0</v>
      </c>
      <c r="F198" s="707">
        <f t="shared" si="41"/>
        <v>0</v>
      </c>
      <c r="G198" s="707">
        <f t="shared" si="41"/>
        <v>0</v>
      </c>
      <c r="H198" s="707">
        <f t="shared" si="41"/>
        <v>0</v>
      </c>
      <c r="I198" s="707">
        <f t="shared" si="41"/>
        <v>69097680</v>
      </c>
      <c r="J198" s="707">
        <f t="shared" si="30"/>
        <v>69097680</v>
      </c>
      <c r="K198" s="707">
        <f t="shared" si="31"/>
        <v>583114320</v>
      </c>
      <c r="L198" s="707">
        <f>L199+L210+L215</f>
        <v>531224413</v>
      </c>
      <c r="M198" s="709">
        <f>M199+M210+M215</f>
        <v>559303466</v>
      </c>
      <c r="N198" s="128"/>
    </row>
    <row r="199" spans="1:14" ht="13.5" customHeight="1" x14ac:dyDescent="0.25">
      <c r="A199" s="710" t="str">
        <f t="shared" si="40"/>
        <v>Planning and development</v>
      </c>
      <c r="B199" s="724"/>
      <c r="C199" s="711">
        <f t="shared" ref="C199:I199" si="42">SUM(C200:C209)</f>
        <v>115117318</v>
      </c>
      <c r="D199" s="270">
        <f t="shared" si="42"/>
        <v>118617318</v>
      </c>
      <c r="E199" s="270">
        <f t="shared" si="42"/>
        <v>0</v>
      </c>
      <c r="F199" s="270">
        <f t="shared" si="42"/>
        <v>0</v>
      </c>
      <c r="G199" s="270">
        <f t="shared" si="42"/>
        <v>0</v>
      </c>
      <c r="H199" s="270">
        <f t="shared" si="42"/>
        <v>0</v>
      </c>
      <c r="I199" s="270">
        <f t="shared" si="42"/>
        <v>-6380191</v>
      </c>
      <c r="J199" s="270">
        <f t="shared" si="30"/>
        <v>-6380191</v>
      </c>
      <c r="K199" s="270">
        <f t="shared" si="31"/>
        <v>112237127</v>
      </c>
      <c r="L199" s="270">
        <f>SUM(L200:L209)</f>
        <v>121725928</v>
      </c>
      <c r="M199" s="271">
        <f>SUM(M200:M209)</f>
        <v>128272547</v>
      </c>
      <c r="N199" s="128"/>
    </row>
    <row r="200" spans="1:14" ht="13.5" customHeight="1" x14ac:dyDescent="0.25">
      <c r="A200" s="832" t="str">
        <f t="shared" si="40"/>
        <v>Billboards</v>
      </c>
      <c r="B200" s="724"/>
      <c r="C200" s="382"/>
      <c r="D200" s="109">
        <v>0</v>
      </c>
      <c r="E200" s="109"/>
      <c r="F200" s="109"/>
      <c r="G200" s="109"/>
      <c r="H200" s="109"/>
      <c r="I200" s="109">
        <v>0</v>
      </c>
      <c r="J200" s="173">
        <f t="shared" si="30"/>
        <v>0</v>
      </c>
      <c r="K200" s="173">
        <f t="shared" si="31"/>
        <v>0</v>
      </c>
      <c r="L200" s="109"/>
      <c r="M200" s="110"/>
      <c r="N200" s="128"/>
    </row>
    <row r="201" spans="1:14" ht="13.5" customHeight="1" x14ac:dyDescent="0.25">
      <c r="A201" s="832" t="str">
        <f t="shared" si="40"/>
        <v>Corporate Wide Strategic Planning (IDPs, LEDs)</v>
      </c>
      <c r="B201" s="724"/>
      <c r="C201" s="382">
        <v>16208075</v>
      </c>
      <c r="D201" s="109">
        <v>16208075</v>
      </c>
      <c r="E201" s="109"/>
      <c r="F201" s="109"/>
      <c r="G201" s="109"/>
      <c r="H201" s="109"/>
      <c r="I201" s="109">
        <v>-1545197</v>
      </c>
      <c r="J201" s="173">
        <f t="shared" si="30"/>
        <v>-1545197</v>
      </c>
      <c r="K201" s="173">
        <f t="shared" si="31"/>
        <v>14662878</v>
      </c>
      <c r="L201" s="109"/>
      <c r="M201" s="110"/>
      <c r="N201" s="128"/>
    </row>
    <row r="202" spans="1:14" ht="13.5" customHeight="1" x14ac:dyDescent="0.25">
      <c r="A202" s="832" t="str">
        <f t="shared" si="40"/>
        <v>Central City Improvement District</v>
      </c>
      <c r="B202" s="724"/>
      <c r="C202" s="382"/>
      <c r="D202" s="109">
        <v>0</v>
      </c>
      <c r="E202" s="109"/>
      <c r="F202" s="109"/>
      <c r="G202" s="109"/>
      <c r="H202" s="109"/>
      <c r="I202" s="109">
        <v>0</v>
      </c>
      <c r="J202" s="173">
        <f t="shared" ref="J202:J249" si="43">SUM(E202:I202)</f>
        <v>0</v>
      </c>
      <c r="K202" s="173">
        <f t="shared" ref="K202:K249" si="44">IF(D202=0,C202+J202,D202+J202)</f>
        <v>0</v>
      </c>
      <c r="L202" s="109"/>
      <c r="M202" s="110"/>
      <c r="N202" s="128"/>
    </row>
    <row r="203" spans="1:14" ht="13.5" customHeight="1" x14ac:dyDescent="0.25">
      <c r="A203" s="832" t="str">
        <f t="shared" si="40"/>
        <v>Development Facilitation</v>
      </c>
      <c r="B203" s="724"/>
      <c r="C203" s="382"/>
      <c r="D203" s="109">
        <v>0</v>
      </c>
      <c r="E203" s="109"/>
      <c r="F203" s="109"/>
      <c r="G203" s="109"/>
      <c r="H203" s="109"/>
      <c r="I203" s="109">
        <v>0</v>
      </c>
      <c r="J203" s="173">
        <f t="shared" si="43"/>
        <v>0</v>
      </c>
      <c r="K203" s="173">
        <f t="shared" si="44"/>
        <v>0</v>
      </c>
      <c r="L203" s="109"/>
      <c r="M203" s="110"/>
      <c r="N203" s="128"/>
    </row>
    <row r="204" spans="1:14" ht="13.5" customHeight="1" x14ac:dyDescent="0.25">
      <c r="A204" s="832" t="str">
        <f t="shared" si="40"/>
        <v>Economic Development/Planning</v>
      </c>
      <c r="B204" s="724"/>
      <c r="C204" s="382">
        <v>21366327</v>
      </c>
      <c r="D204" s="109">
        <v>21366327</v>
      </c>
      <c r="E204" s="109"/>
      <c r="F204" s="109"/>
      <c r="G204" s="109"/>
      <c r="H204" s="109">
        <v>0</v>
      </c>
      <c r="I204" s="109">
        <v>-280000</v>
      </c>
      <c r="J204" s="173">
        <f t="shared" si="43"/>
        <v>-280000</v>
      </c>
      <c r="K204" s="173">
        <f t="shared" si="44"/>
        <v>21086327</v>
      </c>
      <c r="L204" s="109">
        <v>121725928</v>
      </c>
      <c r="M204" s="110">
        <v>128272547</v>
      </c>
      <c r="N204" s="128"/>
    </row>
    <row r="205" spans="1:14" ht="13.5" customHeight="1" x14ac:dyDescent="0.25">
      <c r="A205" s="832" t="str">
        <f t="shared" si="40"/>
        <v>Regional Planning and Development</v>
      </c>
      <c r="B205" s="724"/>
      <c r="C205" s="382"/>
      <c r="D205" s="109">
        <v>0</v>
      </c>
      <c r="E205" s="109"/>
      <c r="F205" s="109"/>
      <c r="G205" s="109"/>
      <c r="H205" s="109"/>
      <c r="I205" s="109">
        <v>0</v>
      </c>
      <c r="J205" s="173">
        <f t="shared" si="43"/>
        <v>0</v>
      </c>
      <c r="K205" s="173">
        <f t="shared" si="44"/>
        <v>0</v>
      </c>
      <c r="L205" s="109"/>
      <c r="M205" s="110"/>
      <c r="N205" s="128"/>
    </row>
    <row r="206" spans="1:14" ht="19.899999999999999" customHeight="1" x14ac:dyDescent="0.25">
      <c r="A206" s="832" t="str">
        <f t="shared" si="40"/>
        <v>Town Planning, Building Regulations and Enforcement, and City Engineer</v>
      </c>
      <c r="B206" s="724"/>
      <c r="C206" s="382">
        <v>40023116</v>
      </c>
      <c r="D206" s="109">
        <v>43523116</v>
      </c>
      <c r="E206" s="109"/>
      <c r="F206" s="109"/>
      <c r="G206" s="109"/>
      <c r="H206" s="109"/>
      <c r="I206" s="109">
        <v>-35000</v>
      </c>
      <c r="J206" s="173">
        <f t="shared" si="43"/>
        <v>-35000</v>
      </c>
      <c r="K206" s="173">
        <f t="shared" si="44"/>
        <v>43488116</v>
      </c>
      <c r="L206" s="109"/>
      <c r="M206" s="110"/>
      <c r="N206" s="128"/>
    </row>
    <row r="207" spans="1:14" ht="13.5" customHeight="1" x14ac:dyDescent="0.25">
      <c r="A207" s="832" t="str">
        <f t="shared" si="40"/>
        <v>Project Management Unit</v>
      </c>
      <c r="B207" s="724"/>
      <c r="C207" s="382">
        <v>37519800</v>
      </c>
      <c r="D207" s="109">
        <v>37519800</v>
      </c>
      <c r="E207" s="109"/>
      <c r="F207" s="109"/>
      <c r="G207" s="109"/>
      <c r="H207" s="109"/>
      <c r="I207" s="109">
        <v>-4519994</v>
      </c>
      <c r="J207" s="173">
        <f t="shared" si="43"/>
        <v>-4519994</v>
      </c>
      <c r="K207" s="173">
        <f t="shared" si="44"/>
        <v>32999806</v>
      </c>
      <c r="L207" s="109"/>
      <c r="M207" s="110"/>
      <c r="N207" s="128"/>
    </row>
    <row r="208" spans="1:14" ht="13.5" customHeight="1" x14ac:dyDescent="0.25">
      <c r="A208" s="832" t="str">
        <f t="shared" si="40"/>
        <v>Provincial Planning</v>
      </c>
      <c r="B208" s="724"/>
      <c r="C208" s="382"/>
      <c r="D208" s="109">
        <v>0</v>
      </c>
      <c r="E208" s="109"/>
      <c r="F208" s="109"/>
      <c r="G208" s="109"/>
      <c r="H208" s="109"/>
      <c r="I208" s="109">
        <v>0</v>
      </c>
      <c r="J208" s="173">
        <f t="shared" si="43"/>
        <v>0</v>
      </c>
      <c r="K208" s="173">
        <f t="shared" si="44"/>
        <v>0</v>
      </c>
      <c r="L208" s="109"/>
      <c r="M208" s="110"/>
      <c r="N208" s="128"/>
    </row>
    <row r="209" spans="1:14" ht="13.5" customHeight="1" x14ac:dyDescent="0.25">
      <c r="A209" s="832" t="str">
        <f t="shared" si="40"/>
        <v>Support to Local Municipalities</v>
      </c>
      <c r="B209" s="724"/>
      <c r="C209" s="382"/>
      <c r="D209" s="109">
        <v>0</v>
      </c>
      <c r="E209" s="109"/>
      <c r="F209" s="109"/>
      <c r="G209" s="109"/>
      <c r="H209" s="109"/>
      <c r="I209" s="109">
        <v>0</v>
      </c>
      <c r="J209" s="173">
        <f t="shared" si="43"/>
        <v>0</v>
      </c>
      <c r="K209" s="173">
        <f t="shared" si="44"/>
        <v>0</v>
      </c>
      <c r="L209" s="109"/>
      <c r="M209" s="110"/>
      <c r="N209" s="128"/>
    </row>
    <row r="210" spans="1:14" ht="13.5" customHeight="1" x14ac:dyDescent="0.25">
      <c r="A210" s="710" t="str">
        <f t="shared" si="40"/>
        <v>Road transport</v>
      </c>
      <c r="B210" s="724"/>
      <c r="C210" s="711">
        <f t="shared" ref="C210:I210" si="45">SUM(C211:C214)</f>
        <v>371330938</v>
      </c>
      <c r="D210" s="270">
        <f>SUM(D211:D214)</f>
        <v>372330938</v>
      </c>
      <c r="E210" s="270">
        <f t="shared" si="45"/>
        <v>0</v>
      </c>
      <c r="F210" s="270">
        <f t="shared" si="45"/>
        <v>0</v>
      </c>
      <c r="G210" s="270">
        <f t="shared" si="45"/>
        <v>0</v>
      </c>
      <c r="H210" s="270">
        <f t="shared" si="45"/>
        <v>0</v>
      </c>
      <c r="I210" s="270">
        <f t="shared" si="45"/>
        <v>73967871</v>
      </c>
      <c r="J210" s="270">
        <f t="shared" si="43"/>
        <v>73967871</v>
      </c>
      <c r="K210" s="270">
        <f t="shared" si="44"/>
        <v>446298809</v>
      </c>
      <c r="L210" s="270">
        <f>SUM(L211:L214)</f>
        <v>385551618</v>
      </c>
      <c r="M210" s="271">
        <f>SUM(M211:M214)</f>
        <v>405768830</v>
      </c>
      <c r="N210" s="128"/>
    </row>
    <row r="211" spans="1:14" ht="13.5" customHeight="1" x14ac:dyDescent="0.25">
      <c r="A211" s="832" t="str">
        <f t="shared" si="40"/>
        <v>Public Transport</v>
      </c>
      <c r="B211" s="724"/>
      <c r="C211" s="382">
        <v>78243451</v>
      </c>
      <c r="D211" s="109">
        <v>79243451</v>
      </c>
      <c r="E211" s="109"/>
      <c r="F211" s="109"/>
      <c r="G211" s="109"/>
      <c r="H211" s="109"/>
      <c r="I211" s="109">
        <v>44729150</v>
      </c>
      <c r="J211" s="173">
        <f t="shared" si="43"/>
        <v>44729150</v>
      </c>
      <c r="K211" s="173">
        <f t="shared" si="44"/>
        <v>123972601</v>
      </c>
      <c r="L211" s="109"/>
      <c r="M211" s="110"/>
      <c r="N211" s="128"/>
    </row>
    <row r="212" spans="1:14" ht="13.5" customHeight="1" x14ac:dyDescent="0.25">
      <c r="A212" s="832" t="str">
        <f t="shared" si="40"/>
        <v>Road and Traffic Regulation</v>
      </c>
      <c r="B212" s="724"/>
      <c r="C212" s="382">
        <v>108512356</v>
      </c>
      <c r="D212" s="109">
        <v>108512356</v>
      </c>
      <c r="E212" s="109"/>
      <c r="F212" s="109"/>
      <c r="G212" s="109"/>
      <c r="H212" s="109"/>
      <c r="I212" s="109">
        <v>6500000</v>
      </c>
      <c r="J212" s="173">
        <f t="shared" si="43"/>
        <v>6500000</v>
      </c>
      <c r="K212" s="173">
        <f t="shared" si="44"/>
        <v>115012356</v>
      </c>
      <c r="L212" s="109"/>
      <c r="M212" s="110"/>
      <c r="N212" s="128"/>
    </row>
    <row r="213" spans="1:14" ht="13.5" customHeight="1" x14ac:dyDescent="0.25">
      <c r="A213" s="832" t="str">
        <f t="shared" si="40"/>
        <v>Roads</v>
      </c>
      <c r="B213" s="724"/>
      <c r="C213" s="382">
        <v>184575131</v>
      </c>
      <c r="D213" s="109">
        <v>184575131</v>
      </c>
      <c r="E213" s="109">
        <v>0</v>
      </c>
      <c r="F213" s="109">
        <v>0</v>
      </c>
      <c r="G213" s="109">
        <v>0</v>
      </c>
      <c r="H213" s="109">
        <v>0</v>
      </c>
      <c r="I213" s="109">
        <v>22738721</v>
      </c>
      <c r="J213" s="173">
        <f t="shared" si="43"/>
        <v>22738721</v>
      </c>
      <c r="K213" s="173">
        <f>IF(D213=0,C213+J213,D213+J213)</f>
        <v>207313852</v>
      </c>
      <c r="L213" s="109">
        <v>385551618</v>
      </c>
      <c r="M213" s="110">
        <v>405768830</v>
      </c>
      <c r="N213" s="128"/>
    </row>
    <row r="214" spans="1:14" ht="13.5" customHeight="1" x14ac:dyDescent="0.25">
      <c r="A214" s="832" t="str">
        <f t="shared" si="40"/>
        <v>Taxi Ranks</v>
      </c>
      <c r="B214" s="724"/>
      <c r="C214" s="382"/>
      <c r="D214" s="109">
        <v>0</v>
      </c>
      <c r="E214" s="109"/>
      <c r="F214" s="109"/>
      <c r="G214" s="109"/>
      <c r="H214" s="109"/>
      <c r="I214" s="109">
        <v>0</v>
      </c>
      <c r="J214" s="173">
        <f t="shared" si="43"/>
        <v>0</v>
      </c>
      <c r="K214" s="173">
        <f>IF(D214=0,C214+J214,D214+J214)</f>
        <v>0</v>
      </c>
      <c r="L214" s="109"/>
      <c r="M214" s="110"/>
      <c r="N214" s="128"/>
    </row>
    <row r="215" spans="1:14" ht="13.5" customHeight="1" x14ac:dyDescent="0.25">
      <c r="A215" s="710" t="str">
        <f t="shared" si="40"/>
        <v>Environmental protection</v>
      </c>
      <c r="B215" s="724"/>
      <c r="C215" s="711">
        <f t="shared" ref="C215:I215" si="46">SUM(C216:C221)</f>
        <v>23068384</v>
      </c>
      <c r="D215" s="270">
        <f t="shared" si="46"/>
        <v>23068384</v>
      </c>
      <c r="E215" s="270">
        <f t="shared" si="46"/>
        <v>0</v>
      </c>
      <c r="F215" s="270">
        <f t="shared" si="46"/>
        <v>0</v>
      </c>
      <c r="G215" s="270">
        <f t="shared" si="46"/>
        <v>0</v>
      </c>
      <c r="H215" s="270">
        <f t="shared" si="46"/>
        <v>0</v>
      </c>
      <c r="I215" s="270">
        <f t="shared" si="46"/>
        <v>1510000</v>
      </c>
      <c r="J215" s="270">
        <f t="shared" si="43"/>
        <v>1510000</v>
      </c>
      <c r="K215" s="270">
        <f t="shared" si="44"/>
        <v>24578384</v>
      </c>
      <c r="L215" s="270">
        <f>SUM(L216:L221)</f>
        <v>23946867</v>
      </c>
      <c r="M215" s="271">
        <f>SUM(M216:M221)</f>
        <v>25262089</v>
      </c>
      <c r="N215" s="128"/>
    </row>
    <row r="216" spans="1:14" ht="13.5" customHeight="1" x14ac:dyDescent="0.25">
      <c r="A216" s="832" t="str">
        <f t="shared" si="40"/>
        <v>Biodiversity and Landscape</v>
      </c>
      <c r="B216" s="724"/>
      <c r="C216" s="382">
        <v>23068384</v>
      </c>
      <c r="D216" s="109">
        <v>23068384</v>
      </c>
      <c r="E216" s="109"/>
      <c r="F216" s="109"/>
      <c r="G216" s="109"/>
      <c r="H216" s="109"/>
      <c r="I216" s="109">
        <v>1510000</v>
      </c>
      <c r="J216" s="173">
        <f t="shared" si="43"/>
        <v>1510000</v>
      </c>
      <c r="K216" s="173">
        <f t="shared" si="44"/>
        <v>24578384</v>
      </c>
      <c r="L216" s="109"/>
      <c r="M216" s="110"/>
      <c r="N216" s="128"/>
    </row>
    <row r="217" spans="1:14" ht="13.5" customHeight="1" x14ac:dyDescent="0.25">
      <c r="A217" s="832" t="str">
        <f t="shared" si="40"/>
        <v>Coastal Protection</v>
      </c>
      <c r="B217" s="724"/>
      <c r="C217" s="382"/>
      <c r="D217" s="109">
        <v>0</v>
      </c>
      <c r="E217" s="109"/>
      <c r="F217" s="109"/>
      <c r="G217" s="109"/>
      <c r="H217" s="109"/>
      <c r="I217" s="109">
        <v>0</v>
      </c>
      <c r="J217" s="173">
        <f t="shared" si="43"/>
        <v>0</v>
      </c>
      <c r="K217" s="173">
        <f t="shared" si="44"/>
        <v>0</v>
      </c>
      <c r="L217" s="109"/>
      <c r="M217" s="110"/>
      <c r="N217" s="128"/>
    </row>
    <row r="218" spans="1:14" ht="13.5" customHeight="1" x14ac:dyDescent="0.25">
      <c r="A218" s="832" t="str">
        <f t="shared" si="40"/>
        <v>Indigenous Forests</v>
      </c>
      <c r="B218" s="724"/>
      <c r="C218" s="382"/>
      <c r="D218" s="109">
        <v>0</v>
      </c>
      <c r="E218" s="109"/>
      <c r="F218" s="109"/>
      <c r="G218" s="109"/>
      <c r="H218" s="109"/>
      <c r="I218" s="109">
        <v>0</v>
      </c>
      <c r="J218" s="173">
        <f t="shared" si="43"/>
        <v>0</v>
      </c>
      <c r="K218" s="173">
        <f t="shared" si="44"/>
        <v>0</v>
      </c>
      <c r="L218" s="109"/>
      <c r="M218" s="110"/>
      <c r="N218" s="128"/>
    </row>
    <row r="219" spans="1:14" ht="13.5" customHeight="1" x14ac:dyDescent="0.25">
      <c r="A219" s="832" t="str">
        <f t="shared" si="40"/>
        <v>Nature Conservation</v>
      </c>
      <c r="B219" s="724"/>
      <c r="C219" s="382">
        <v>0</v>
      </c>
      <c r="D219" s="109">
        <v>0</v>
      </c>
      <c r="E219" s="109"/>
      <c r="F219" s="109"/>
      <c r="G219" s="109"/>
      <c r="H219" s="109"/>
      <c r="I219" s="109">
        <v>0</v>
      </c>
      <c r="J219" s="173">
        <f t="shared" si="43"/>
        <v>0</v>
      </c>
      <c r="K219" s="173">
        <f t="shared" si="44"/>
        <v>0</v>
      </c>
      <c r="L219" s="109">
        <v>23946867</v>
      </c>
      <c r="M219" s="110">
        <v>25262089</v>
      </c>
      <c r="N219" s="128"/>
    </row>
    <row r="220" spans="1:14" ht="13.5" customHeight="1" x14ac:dyDescent="0.25">
      <c r="A220" s="832" t="str">
        <f t="shared" si="40"/>
        <v>Pollution Control</v>
      </c>
      <c r="B220" s="724"/>
      <c r="C220" s="382"/>
      <c r="D220" s="109"/>
      <c r="E220" s="109"/>
      <c r="F220" s="109"/>
      <c r="G220" s="109"/>
      <c r="H220" s="109"/>
      <c r="I220" s="109">
        <v>0</v>
      </c>
      <c r="J220" s="173">
        <f t="shared" si="43"/>
        <v>0</v>
      </c>
      <c r="K220" s="173">
        <f t="shared" si="44"/>
        <v>0</v>
      </c>
      <c r="L220" s="109"/>
      <c r="M220" s="110"/>
      <c r="N220" s="128"/>
    </row>
    <row r="221" spans="1:14" ht="13.5" customHeight="1" x14ac:dyDescent="0.25">
      <c r="A221" s="832" t="str">
        <f t="shared" si="40"/>
        <v>Soil Conservation</v>
      </c>
      <c r="B221" s="724"/>
      <c r="C221" s="382"/>
      <c r="D221" s="109"/>
      <c r="E221" s="109"/>
      <c r="F221" s="109"/>
      <c r="G221" s="109"/>
      <c r="H221" s="109"/>
      <c r="I221" s="109">
        <v>0</v>
      </c>
      <c r="J221" s="173">
        <f t="shared" si="43"/>
        <v>0</v>
      </c>
      <c r="K221" s="173">
        <f t="shared" si="44"/>
        <v>0</v>
      </c>
      <c r="L221" s="109"/>
      <c r="M221" s="110"/>
      <c r="N221" s="128"/>
    </row>
    <row r="222" spans="1:14" ht="13.5" customHeight="1" x14ac:dyDescent="0.25">
      <c r="A222" s="107" t="str">
        <f t="shared" si="40"/>
        <v>Trading services</v>
      </c>
      <c r="B222" s="724"/>
      <c r="C222" s="708">
        <f>C223+C227+C231+C236</f>
        <v>1673876853</v>
      </c>
      <c r="D222" s="707">
        <f t="shared" ref="D222:M222" si="47">D223+D227+D231+D236</f>
        <v>1676876851</v>
      </c>
      <c r="E222" s="707">
        <f t="shared" si="47"/>
        <v>0</v>
      </c>
      <c r="F222" s="707">
        <f t="shared" si="47"/>
        <v>0</v>
      </c>
      <c r="G222" s="707">
        <f t="shared" si="47"/>
        <v>0</v>
      </c>
      <c r="H222" s="707">
        <f t="shared" si="47"/>
        <v>0</v>
      </c>
      <c r="I222" s="707">
        <f t="shared" si="47"/>
        <v>47360817</v>
      </c>
      <c r="J222" s="707">
        <f t="shared" si="43"/>
        <v>47360817</v>
      </c>
      <c r="K222" s="707">
        <f t="shared" si="44"/>
        <v>1724237668</v>
      </c>
      <c r="L222" s="707">
        <f t="shared" si="47"/>
        <v>1791531457.125</v>
      </c>
      <c r="M222" s="709">
        <f t="shared" si="47"/>
        <v>1910997899.038125</v>
      </c>
      <c r="N222" s="128"/>
    </row>
    <row r="223" spans="1:14" ht="13.5" customHeight="1" x14ac:dyDescent="0.25">
      <c r="A223" s="710" t="str">
        <f t="shared" si="40"/>
        <v>Energy sources</v>
      </c>
      <c r="B223" s="724"/>
      <c r="C223" s="711">
        <f t="shared" ref="C223:I223" si="48">SUM(C224:C226)</f>
        <v>1020858225</v>
      </c>
      <c r="D223" s="270">
        <f t="shared" si="48"/>
        <v>1000858223</v>
      </c>
      <c r="E223" s="270">
        <f t="shared" si="48"/>
        <v>0</v>
      </c>
      <c r="F223" s="270">
        <f t="shared" si="48"/>
        <v>0</v>
      </c>
      <c r="G223" s="270">
        <f t="shared" si="48"/>
        <v>0</v>
      </c>
      <c r="H223" s="270">
        <f t="shared" si="48"/>
        <v>0</v>
      </c>
      <c r="I223" s="270">
        <f t="shared" si="48"/>
        <v>-35416109</v>
      </c>
      <c r="J223" s="270">
        <f t="shared" si="43"/>
        <v>-35416109</v>
      </c>
      <c r="K223" s="270">
        <f t="shared" si="44"/>
        <v>965442114</v>
      </c>
      <c r="L223" s="270">
        <f>SUM(L224:L226)</f>
        <v>1071910646.65</v>
      </c>
      <c r="M223" s="271">
        <f>SUM(M224:M226)</f>
        <v>1129760176.2472501</v>
      </c>
      <c r="N223" s="128"/>
    </row>
    <row r="224" spans="1:14" ht="13.5" customHeight="1" x14ac:dyDescent="0.25">
      <c r="A224" s="832" t="str">
        <f t="shared" si="40"/>
        <v xml:space="preserve">Electricity </v>
      </c>
      <c r="B224" s="724"/>
      <c r="C224" s="382">
        <v>1020858225</v>
      </c>
      <c r="D224" s="109">
        <v>1000858223</v>
      </c>
      <c r="E224" s="109"/>
      <c r="F224" s="109"/>
      <c r="G224" s="109"/>
      <c r="H224" s="109">
        <v>0</v>
      </c>
      <c r="I224" s="109">
        <v>-35416109</v>
      </c>
      <c r="J224" s="173">
        <f t="shared" si="43"/>
        <v>-35416109</v>
      </c>
      <c r="K224" s="173">
        <f t="shared" si="44"/>
        <v>965442114</v>
      </c>
      <c r="L224" s="109">
        <v>1071910646.65</v>
      </c>
      <c r="M224" s="110">
        <v>1129760176.2472501</v>
      </c>
      <c r="N224" s="128"/>
    </row>
    <row r="225" spans="1:14" ht="13.5" customHeight="1" x14ac:dyDescent="0.25">
      <c r="A225" s="832" t="str">
        <f t="shared" ref="A225:A247" si="49">A103</f>
        <v>Street Lighting and Signal Systems</v>
      </c>
      <c r="B225" s="724"/>
      <c r="C225" s="382"/>
      <c r="D225" s="109"/>
      <c r="E225" s="109"/>
      <c r="F225" s="109"/>
      <c r="G225" s="109"/>
      <c r="H225" s="109"/>
      <c r="I225" s="109">
        <v>0</v>
      </c>
      <c r="J225" s="173">
        <f t="shared" si="43"/>
        <v>0</v>
      </c>
      <c r="K225" s="173">
        <f t="shared" si="44"/>
        <v>0</v>
      </c>
      <c r="L225" s="109"/>
      <c r="M225" s="110"/>
      <c r="N225" s="128"/>
    </row>
    <row r="226" spans="1:14" ht="13.5" customHeight="1" x14ac:dyDescent="0.25">
      <c r="A226" s="832" t="str">
        <f t="shared" si="49"/>
        <v>Nonelectric Energy</v>
      </c>
      <c r="B226" s="724"/>
      <c r="C226" s="382"/>
      <c r="D226" s="109"/>
      <c r="E226" s="109"/>
      <c r="F226" s="109"/>
      <c r="G226" s="109"/>
      <c r="H226" s="109"/>
      <c r="I226" s="109">
        <v>0</v>
      </c>
      <c r="J226" s="173">
        <f t="shared" si="43"/>
        <v>0</v>
      </c>
      <c r="K226" s="173">
        <f t="shared" si="44"/>
        <v>0</v>
      </c>
      <c r="L226" s="109"/>
      <c r="M226" s="110"/>
      <c r="N226" s="128"/>
    </row>
    <row r="227" spans="1:14" ht="13.5" customHeight="1" x14ac:dyDescent="0.25">
      <c r="A227" s="710" t="str">
        <f t="shared" si="49"/>
        <v>Water management</v>
      </c>
      <c r="B227" s="724"/>
      <c r="C227" s="711">
        <f t="shared" ref="C227:I227" si="50">SUM(C228:C230)</f>
        <v>488595720</v>
      </c>
      <c r="D227" s="270">
        <f t="shared" si="50"/>
        <v>511595720</v>
      </c>
      <c r="E227" s="270">
        <f t="shared" si="50"/>
        <v>0</v>
      </c>
      <c r="F227" s="270">
        <f t="shared" si="50"/>
        <v>0</v>
      </c>
      <c r="G227" s="270">
        <f t="shared" si="50"/>
        <v>0</v>
      </c>
      <c r="H227" s="270">
        <f t="shared" si="50"/>
        <v>0</v>
      </c>
      <c r="I227" s="270">
        <f t="shared" si="50"/>
        <v>53335732</v>
      </c>
      <c r="J227" s="270">
        <f t="shared" si="43"/>
        <v>53335732</v>
      </c>
      <c r="K227" s="270">
        <f t="shared" si="44"/>
        <v>564931452</v>
      </c>
      <c r="L227" s="270">
        <f>SUM(L228:L230)</f>
        <v>532778248.47500002</v>
      </c>
      <c r="M227" s="271">
        <f>SUM(M228:M230)</f>
        <v>564272918.79087496</v>
      </c>
      <c r="N227" s="128"/>
    </row>
    <row r="228" spans="1:14" ht="13.5" customHeight="1" x14ac:dyDescent="0.25">
      <c r="A228" s="832" t="str">
        <f t="shared" si="49"/>
        <v>Water Treatment</v>
      </c>
      <c r="B228" s="724"/>
      <c r="C228" s="382">
        <v>16022241</v>
      </c>
      <c r="D228" s="109">
        <v>16022241</v>
      </c>
      <c r="E228" s="109"/>
      <c r="F228" s="109"/>
      <c r="G228" s="109"/>
      <c r="H228" s="109"/>
      <c r="I228" s="109">
        <v>7980000</v>
      </c>
      <c r="J228" s="173">
        <f t="shared" si="43"/>
        <v>7980000</v>
      </c>
      <c r="K228" s="173">
        <f t="shared" si="44"/>
        <v>24002241</v>
      </c>
      <c r="L228" s="109"/>
      <c r="M228" s="110"/>
      <c r="N228" s="128"/>
    </row>
    <row r="229" spans="1:14" ht="13.5" customHeight="1" x14ac:dyDescent="0.25">
      <c r="A229" s="832" t="str">
        <f t="shared" si="49"/>
        <v>Water Distribution</v>
      </c>
      <c r="B229" s="724"/>
      <c r="C229" s="382">
        <v>472573479</v>
      </c>
      <c r="D229" s="109">
        <v>495573479</v>
      </c>
      <c r="E229" s="109"/>
      <c r="F229" s="109"/>
      <c r="G229" s="109"/>
      <c r="H229" s="109">
        <v>0</v>
      </c>
      <c r="I229" s="109">
        <v>45355732</v>
      </c>
      <c r="J229" s="173">
        <f t="shared" si="43"/>
        <v>45355732</v>
      </c>
      <c r="K229" s="173">
        <f t="shared" si="44"/>
        <v>540929211</v>
      </c>
      <c r="L229" s="109">
        <v>532778248.47500002</v>
      </c>
      <c r="M229" s="110">
        <v>564272918.79087496</v>
      </c>
      <c r="N229" s="128"/>
    </row>
    <row r="230" spans="1:14" ht="13.5" customHeight="1" x14ac:dyDescent="0.25">
      <c r="A230" s="832" t="str">
        <f t="shared" si="49"/>
        <v>Water Storage</v>
      </c>
      <c r="B230" s="724"/>
      <c r="C230" s="382">
        <v>0</v>
      </c>
      <c r="D230" s="109">
        <v>0</v>
      </c>
      <c r="E230" s="109"/>
      <c r="F230" s="109"/>
      <c r="G230" s="109"/>
      <c r="H230" s="109"/>
      <c r="I230" s="109">
        <v>0</v>
      </c>
      <c r="J230" s="173">
        <f t="shared" si="43"/>
        <v>0</v>
      </c>
      <c r="K230" s="173">
        <f t="shared" si="44"/>
        <v>0</v>
      </c>
      <c r="L230" s="109"/>
      <c r="M230" s="110"/>
      <c r="N230" s="128"/>
    </row>
    <row r="231" spans="1:14" ht="13.5" customHeight="1" x14ac:dyDescent="0.25">
      <c r="A231" s="710" t="str">
        <f t="shared" si="49"/>
        <v>Waste water management</v>
      </c>
      <c r="B231" s="724"/>
      <c r="C231" s="711">
        <f t="shared" ref="C231:I231" si="51">SUM(C232:C235)</f>
        <v>50741273</v>
      </c>
      <c r="D231" s="270">
        <f t="shared" si="51"/>
        <v>50741273</v>
      </c>
      <c r="E231" s="270">
        <f t="shared" si="51"/>
        <v>0</v>
      </c>
      <c r="F231" s="270">
        <f t="shared" si="51"/>
        <v>0</v>
      </c>
      <c r="G231" s="270">
        <f t="shared" si="51"/>
        <v>0</v>
      </c>
      <c r="H231" s="270">
        <f t="shared" si="51"/>
        <v>0</v>
      </c>
      <c r="I231" s="270">
        <f t="shared" si="51"/>
        <v>5299994</v>
      </c>
      <c r="J231" s="270">
        <f t="shared" si="43"/>
        <v>5299994</v>
      </c>
      <c r="K231" s="270">
        <f t="shared" si="44"/>
        <v>56041267</v>
      </c>
      <c r="L231" s="270">
        <f>SUM(L232:L235)</f>
        <v>71487949</v>
      </c>
      <c r="M231" s="271">
        <f>SUM(M232:M235)</f>
        <v>95563173</v>
      </c>
      <c r="N231" s="128"/>
    </row>
    <row r="232" spans="1:14" ht="13.5" customHeight="1" x14ac:dyDescent="0.25">
      <c r="A232" s="832" t="str">
        <f t="shared" si="49"/>
        <v>Public Toilets</v>
      </c>
      <c r="B232" s="724"/>
      <c r="C232" s="382">
        <v>0</v>
      </c>
      <c r="D232" s="109">
        <v>0</v>
      </c>
      <c r="E232" s="109"/>
      <c r="F232" s="109"/>
      <c r="G232" s="109"/>
      <c r="H232" s="109"/>
      <c r="I232" s="109">
        <v>0</v>
      </c>
      <c r="J232" s="173">
        <f t="shared" si="43"/>
        <v>0</v>
      </c>
      <c r="K232" s="173">
        <f t="shared" si="44"/>
        <v>0</v>
      </c>
      <c r="L232" s="109"/>
      <c r="M232" s="110"/>
      <c r="N232" s="128"/>
    </row>
    <row r="233" spans="1:14" ht="13.5" customHeight="1" x14ac:dyDescent="0.25">
      <c r="A233" s="832" t="str">
        <f t="shared" si="49"/>
        <v>Sewerage</v>
      </c>
      <c r="B233" s="724"/>
      <c r="C233" s="382">
        <v>50741273</v>
      </c>
      <c r="D233" s="109">
        <v>50741273</v>
      </c>
      <c r="E233" s="109"/>
      <c r="F233" s="109"/>
      <c r="G233" s="109"/>
      <c r="H233" s="109"/>
      <c r="I233" s="109">
        <v>5299994</v>
      </c>
      <c r="J233" s="173">
        <f t="shared" si="43"/>
        <v>5299994</v>
      </c>
      <c r="K233" s="173">
        <f t="shared" si="44"/>
        <v>56041267</v>
      </c>
      <c r="L233" s="109">
        <v>71487949</v>
      </c>
      <c r="M233" s="110">
        <v>95563173</v>
      </c>
      <c r="N233" s="128"/>
    </row>
    <row r="234" spans="1:14" ht="13.5" customHeight="1" x14ac:dyDescent="0.25">
      <c r="A234" s="832" t="str">
        <f t="shared" si="49"/>
        <v>Storm Water Management</v>
      </c>
      <c r="B234" s="724"/>
      <c r="C234" s="382">
        <v>0</v>
      </c>
      <c r="D234" s="109">
        <v>0</v>
      </c>
      <c r="E234" s="109"/>
      <c r="F234" s="109"/>
      <c r="G234" s="109"/>
      <c r="H234" s="109"/>
      <c r="I234" s="109">
        <v>0</v>
      </c>
      <c r="J234" s="173">
        <f t="shared" si="43"/>
        <v>0</v>
      </c>
      <c r="K234" s="173">
        <f t="shared" si="44"/>
        <v>0</v>
      </c>
      <c r="L234" s="109"/>
      <c r="M234" s="110"/>
      <c r="N234" s="128"/>
    </row>
    <row r="235" spans="1:14" ht="13.5" customHeight="1" x14ac:dyDescent="0.25">
      <c r="A235" s="832" t="str">
        <f t="shared" si="49"/>
        <v>Waste Water Treatment</v>
      </c>
      <c r="B235" s="724"/>
      <c r="C235" s="382">
        <v>0</v>
      </c>
      <c r="D235" s="109">
        <v>0</v>
      </c>
      <c r="E235" s="109"/>
      <c r="F235" s="109"/>
      <c r="G235" s="109"/>
      <c r="H235" s="109"/>
      <c r="I235" s="109">
        <v>0</v>
      </c>
      <c r="J235" s="173">
        <f t="shared" si="43"/>
        <v>0</v>
      </c>
      <c r="K235" s="173">
        <f t="shared" si="44"/>
        <v>0</v>
      </c>
      <c r="L235" s="109"/>
      <c r="M235" s="110"/>
      <c r="N235" s="128"/>
    </row>
    <row r="236" spans="1:14" ht="13.5" customHeight="1" x14ac:dyDescent="0.25">
      <c r="A236" s="710" t="str">
        <f t="shared" si="49"/>
        <v>Waste management</v>
      </c>
      <c r="B236" s="724"/>
      <c r="C236" s="711">
        <f>SUM(C237:C240)</f>
        <v>113681635</v>
      </c>
      <c r="D236" s="270">
        <f>SUM(D237:D240)</f>
        <v>113681635</v>
      </c>
      <c r="E236" s="270">
        <f>SUM(E237:E240)</f>
        <v>0</v>
      </c>
      <c r="F236" s="270">
        <f t="shared" ref="F236:M236" si="52">SUM(F237:F240)</f>
        <v>0</v>
      </c>
      <c r="G236" s="270">
        <f t="shared" si="52"/>
        <v>0</v>
      </c>
      <c r="H236" s="270">
        <f t="shared" si="52"/>
        <v>0</v>
      </c>
      <c r="I236" s="270">
        <f t="shared" si="52"/>
        <v>24141200</v>
      </c>
      <c r="J236" s="270">
        <f t="shared" si="43"/>
        <v>24141200</v>
      </c>
      <c r="K236" s="270">
        <f t="shared" si="44"/>
        <v>137822835</v>
      </c>
      <c r="L236" s="270">
        <f t="shared" si="52"/>
        <v>115354613</v>
      </c>
      <c r="M236" s="271">
        <f t="shared" si="52"/>
        <v>121401631</v>
      </c>
      <c r="N236" s="128"/>
    </row>
    <row r="237" spans="1:14" ht="13.5" customHeight="1" x14ac:dyDescent="0.25">
      <c r="A237" s="832" t="str">
        <f t="shared" si="49"/>
        <v>Recycling</v>
      </c>
      <c r="B237" s="722"/>
      <c r="C237" s="382">
        <v>0</v>
      </c>
      <c r="D237" s="109">
        <v>0</v>
      </c>
      <c r="E237" s="109"/>
      <c r="F237" s="109"/>
      <c r="G237" s="109"/>
      <c r="H237" s="109"/>
      <c r="I237" s="109">
        <v>0</v>
      </c>
      <c r="J237" s="173">
        <f t="shared" si="43"/>
        <v>0</v>
      </c>
      <c r="K237" s="173">
        <f t="shared" si="44"/>
        <v>0</v>
      </c>
      <c r="L237" s="109"/>
      <c r="M237" s="110"/>
      <c r="N237" s="128"/>
    </row>
    <row r="238" spans="1:14" ht="13.5" customHeight="1" x14ac:dyDescent="0.25">
      <c r="A238" s="832" t="str">
        <f t="shared" si="49"/>
        <v>Solid Waste Disposal (Landfill Sites)</v>
      </c>
      <c r="B238" s="724"/>
      <c r="C238" s="382">
        <v>0</v>
      </c>
      <c r="D238" s="109">
        <v>0</v>
      </c>
      <c r="E238" s="109"/>
      <c r="F238" s="109"/>
      <c r="G238" s="109"/>
      <c r="H238" s="109"/>
      <c r="I238" s="109">
        <v>0</v>
      </c>
      <c r="J238" s="173">
        <f t="shared" si="43"/>
        <v>0</v>
      </c>
      <c r="K238" s="173">
        <f t="shared" si="44"/>
        <v>0</v>
      </c>
      <c r="L238" s="109"/>
      <c r="M238" s="110"/>
      <c r="N238" s="128"/>
    </row>
    <row r="239" spans="1:14" ht="13.5" customHeight="1" x14ac:dyDescent="0.25">
      <c r="A239" s="832" t="str">
        <f t="shared" si="49"/>
        <v>Solid Waste Removal</v>
      </c>
      <c r="B239" s="724"/>
      <c r="C239" s="382">
        <v>113681635</v>
      </c>
      <c r="D239" s="109">
        <v>113681635</v>
      </c>
      <c r="E239" s="109"/>
      <c r="F239" s="109"/>
      <c r="G239" s="109"/>
      <c r="H239" s="109"/>
      <c r="I239" s="109">
        <v>24141200</v>
      </c>
      <c r="J239" s="173">
        <f t="shared" si="43"/>
        <v>24141200</v>
      </c>
      <c r="K239" s="173">
        <f t="shared" si="44"/>
        <v>137822835</v>
      </c>
      <c r="L239" s="109">
        <v>115354613</v>
      </c>
      <c r="M239" s="110">
        <v>121401631</v>
      </c>
      <c r="N239" s="128"/>
    </row>
    <row r="240" spans="1:14" ht="13.5" customHeight="1" x14ac:dyDescent="0.25">
      <c r="A240" s="832" t="str">
        <f t="shared" si="49"/>
        <v>Street Cleaning</v>
      </c>
      <c r="B240" s="724"/>
      <c r="C240" s="382">
        <v>0</v>
      </c>
      <c r="D240" s="109">
        <v>0</v>
      </c>
      <c r="E240" s="109"/>
      <c r="F240" s="109"/>
      <c r="G240" s="109"/>
      <c r="H240" s="109"/>
      <c r="I240" s="109"/>
      <c r="J240" s="173">
        <f t="shared" si="43"/>
        <v>0</v>
      </c>
      <c r="K240" s="173">
        <f t="shared" si="44"/>
        <v>0</v>
      </c>
      <c r="L240" s="109"/>
      <c r="M240" s="110"/>
      <c r="N240" s="128"/>
    </row>
    <row r="241" spans="1:14" ht="13.5" customHeight="1" x14ac:dyDescent="0.25">
      <c r="A241" s="107" t="str">
        <f t="shared" si="49"/>
        <v>Other</v>
      </c>
      <c r="B241" s="722"/>
      <c r="C241" s="711">
        <f>SUM(C242:C247)</f>
        <v>0</v>
      </c>
      <c r="D241" s="270">
        <f t="shared" ref="D241:I241" si="53">SUM(D242:D247)</f>
        <v>0</v>
      </c>
      <c r="E241" s="270">
        <f t="shared" si="53"/>
        <v>0</v>
      </c>
      <c r="F241" s="270">
        <f t="shared" si="53"/>
        <v>0</v>
      </c>
      <c r="G241" s="270">
        <f t="shared" si="53"/>
        <v>0</v>
      </c>
      <c r="H241" s="270">
        <f t="shared" si="53"/>
        <v>0</v>
      </c>
      <c r="I241" s="270">
        <f t="shared" si="53"/>
        <v>0</v>
      </c>
      <c r="J241" s="270">
        <f t="shared" si="43"/>
        <v>0</v>
      </c>
      <c r="K241" s="270">
        <f t="shared" si="44"/>
        <v>0</v>
      </c>
      <c r="L241" s="270">
        <f>SUM(L242:L247)</f>
        <v>0</v>
      </c>
      <c r="M241" s="271">
        <f>SUM(M242:M247)</f>
        <v>0</v>
      </c>
      <c r="N241" s="128"/>
    </row>
    <row r="242" spans="1:14" ht="13.5" customHeight="1" x14ac:dyDescent="0.25">
      <c r="A242" s="710" t="str">
        <f t="shared" si="49"/>
        <v>Abattoirs</v>
      </c>
      <c r="B242" s="722"/>
      <c r="C242" s="382"/>
      <c r="D242" s="109"/>
      <c r="E242" s="109"/>
      <c r="F242" s="109"/>
      <c r="G242" s="109"/>
      <c r="H242" s="109"/>
      <c r="I242" s="109"/>
      <c r="J242" s="173">
        <f t="shared" si="43"/>
        <v>0</v>
      </c>
      <c r="K242" s="173">
        <f t="shared" si="44"/>
        <v>0</v>
      </c>
      <c r="L242" s="109"/>
      <c r="M242" s="110"/>
      <c r="N242" s="128"/>
    </row>
    <row r="243" spans="1:14" ht="13.5" customHeight="1" x14ac:dyDescent="0.25">
      <c r="A243" s="710" t="str">
        <f t="shared" si="49"/>
        <v>Air Transport</v>
      </c>
      <c r="B243" s="722"/>
      <c r="C243" s="382"/>
      <c r="D243" s="109"/>
      <c r="E243" s="109"/>
      <c r="F243" s="109"/>
      <c r="G243" s="109"/>
      <c r="H243" s="109"/>
      <c r="I243" s="109"/>
      <c r="J243" s="173">
        <f t="shared" si="43"/>
        <v>0</v>
      </c>
      <c r="K243" s="173">
        <f t="shared" si="44"/>
        <v>0</v>
      </c>
      <c r="L243" s="109"/>
      <c r="M243" s="110"/>
      <c r="N243" s="128"/>
    </row>
    <row r="244" spans="1:14" ht="13.5" customHeight="1" x14ac:dyDescent="0.25">
      <c r="A244" s="710" t="str">
        <f t="shared" si="49"/>
        <v xml:space="preserve">Forestry </v>
      </c>
      <c r="B244" s="722"/>
      <c r="C244" s="382"/>
      <c r="D244" s="109"/>
      <c r="E244" s="109"/>
      <c r="F244" s="109"/>
      <c r="G244" s="109"/>
      <c r="H244" s="109"/>
      <c r="I244" s="109"/>
      <c r="J244" s="173">
        <f t="shared" si="43"/>
        <v>0</v>
      </c>
      <c r="K244" s="173">
        <f t="shared" si="44"/>
        <v>0</v>
      </c>
      <c r="L244" s="109"/>
      <c r="M244" s="110"/>
      <c r="N244" s="128"/>
    </row>
    <row r="245" spans="1:14" ht="13.5" customHeight="1" x14ac:dyDescent="0.25">
      <c r="A245" s="710" t="str">
        <f t="shared" si="49"/>
        <v>Licensing and Regulation</v>
      </c>
      <c r="B245" s="722"/>
      <c r="C245" s="382"/>
      <c r="D245" s="109"/>
      <c r="E245" s="109"/>
      <c r="F245" s="109"/>
      <c r="G245" s="109"/>
      <c r="H245" s="109"/>
      <c r="I245" s="109"/>
      <c r="J245" s="173">
        <f t="shared" si="43"/>
        <v>0</v>
      </c>
      <c r="K245" s="173">
        <f t="shared" si="44"/>
        <v>0</v>
      </c>
      <c r="L245" s="109"/>
      <c r="M245" s="110"/>
      <c r="N245" s="128"/>
    </row>
    <row r="246" spans="1:14" ht="13.5" customHeight="1" x14ac:dyDescent="0.25">
      <c r="A246" s="710" t="str">
        <f t="shared" si="49"/>
        <v>Markets</v>
      </c>
      <c r="B246" s="722"/>
      <c r="C246" s="382"/>
      <c r="D246" s="109"/>
      <c r="E246" s="109"/>
      <c r="F246" s="109"/>
      <c r="G246" s="109"/>
      <c r="H246" s="109"/>
      <c r="I246" s="109"/>
      <c r="J246" s="173">
        <f t="shared" si="43"/>
        <v>0</v>
      </c>
      <c r="K246" s="173">
        <f t="shared" si="44"/>
        <v>0</v>
      </c>
      <c r="L246" s="109"/>
      <c r="M246" s="110"/>
      <c r="N246" s="128"/>
    </row>
    <row r="247" spans="1:14" ht="13.5" customHeight="1" x14ac:dyDescent="0.25">
      <c r="A247" s="710" t="str">
        <f t="shared" si="49"/>
        <v>Tourism</v>
      </c>
      <c r="B247" s="722"/>
      <c r="C247" s="382"/>
      <c r="D247" s="109"/>
      <c r="E247" s="109"/>
      <c r="F247" s="109"/>
      <c r="G247" s="109"/>
      <c r="H247" s="109"/>
      <c r="I247" s="109"/>
      <c r="J247" s="173">
        <f t="shared" si="43"/>
        <v>0</v>
      </c>
      <c r="K247" s="173">
        <f t="shared" si="44"/>
        <v>0</v>
      </c>
      <c r="L247" s="109"/>
      <c r="M247" s="110"/>
      <c r="N247" s="128"/>
    </row>
    <row r="248" spans="1:14" ht="13.5" customHeight="1" x14ac:dyDescent="0.25">
      <c r="A248" s="278" t="str">
        <f>"Total "&amp;A128</f>
        <v>Total Expenditure - Functional</v>
      </c>
      <c r="B248" s="722">
        <v>3</v>
      </c>
      <c r="C248" s="677">
        <f t="shared" ref="C248:I248" si="54">C129+C149+C198+C222+C241</f>
        <v>3679467138</v>
      </c>
      <c r="D248" s="678">
        <f t="shared" si="54"/>
        <v>3703967136</v>
      </c>
      <c r="E248" s="678">
        <f t="shared" si="54"/>
        <v>0</v>
      </c>
      <c r="F248" s="678">
        <f t="shared" si="54"/>
        <v>0</v>
      </c>
      <c r="G248" s="678">
        <f t="shared" si="54"/>
        <v>0</v>
      </c>
      <c r="H248" s="678">
        <f t="shared" si="54"/>
        <v>37920670</v>
      </c>
      <c r="I248" s="678">
        <f t="shared" si="54"/>
        <v>171880391</v>
      </c>
      <c r="J248" s="678">
        <f t="shared" si="43"/>
        <v>209801061</v>
      </c>
      <c r="K248" s="678">
        <f t="shared" si="44"/>
        <v>3913768197</v>
      </c>
      <c r="L248" s="678">
        <f>L129+L149+L198+L222+L241</f>
        <v>3931506797.7899141</v>
      </c>
      <c r="M248" s="679">
        <f>M129+M149+M198+M222+M241</f>
        <v>4180867212.8296046</v>
      </c>
      <c r="N248" s="128"/>
    </row>
    <row r="249" spans="1:14" ht="13.5" customHeight="1" x14ac:dyDescent="0.25">
      <c r="A249" s="713" t="str">
        <f>result</f>
        <v>Surplus/ (Deficit) for the year</v>
      </c>
      <c r="B249" s="725"/>
      <c r="C249" s="89">
        <f t="shared" ref="C249:I249" si="55">C126-C248</f>
        <v>1003110789</v>
      </c>
      <c r="D249" s="90">
        <f t="shared" si="55"/>
        <v>1032753791</v>
      </c>
      <c r="E249" s="90">
        <f t="shared" si="55"/>
        <v>0</v>
      </c>
      <c r="F249" s="90">
        <f t="shared" si="55"/>
        <v>0</v>
      </c>
      <c r="G249" s="90">
        <f t="shared" si="55"/>
        <v>0</v>
      </c>
      <c r="H249" s="90">
        <f t="shared" si="55"/>
        <v>62291863</v>
      </c>
      <c r="I249" s="90">
        <f t="shared" si="55"/>
        <v>-225666391</v>
      </c>
      <c r="J249" s="727">
        <f t="shared" si="43"/>
        <v>-163374528</v>
      </c>
      <c r="K249" s="727">
        <f t="shared" si="44"/>
        <v>869379263</v>
      </c>
      <c r="L249" s="90">
        <f>L126-L248</f>
        <v>808246862.23523617</v>
      </c>
      <c r="M249" s="91">
        <f>M126-M248</f>
        <v>793471570.87607241</v>
      </c>
      <c r="N249" s="128"/>
    </row>
    <row r="250" spans="1:14" ht="13.5" x14ac:dyDescent="0.25">
      <c r="A250" s="640" t="str">
        <f>head27a</f>
        <v>References</v>
      </c>
      <c r="B250" s="714"/>
      <c r="C250" s="715"/>
      <c r="D250" s="715"/>
      <c r="E250" s="715"/>
      <c r="F250" s="715"/>
      <c r="G250" s="715"/>
      <c r="H250" s="715"/>
      <c r="I250" s="715"/>
      <c r="J250" s="876"/>
      <c r="K250" s="876"/>
      <c r="L250" s="5"/>
    </row>
    <row r="251" spans="1:14" ht="13.5" x14ac:dyDescent="0.25">
      <c r="A251" s="120" t="s">
        <v>1009</v>
      </c>
      <c r="B251" s="714"/>
      <c r="C251" s="716"/>
      <c r="D251" s="716"/>
      <c r="E251" s="717"/>
      <c r="F251" s="717"/>
      <c r="G251" s="717"/>
      <c r="H251" s="717"/>
      <c r="I251" s="717"/>
      <c r="J251" s="877"/>
      <c r="K251" s="877"/>
      <c r="L251" s="5"/>
    </row>
    <row r="252" spans="1:14" ht="13.5" x14ac:dyDescent="0.25">
      <c r="A252" s="638" t="s">
        <v>1564</v>
      </c>
      <c r="B252" s="714"/>
      <c r="C252" s="716"/>
      <c r="D252" s="716"/>
      <c r="E252" s="717"/>
      <c r="F252" s="717"/>
      <c r="G252" s="717"/>
      <c r="H252" s="717"/>
      <c r="I252" s="717"/>
      <c r="J252" s="877"/>
      <c r="K252" s="877"/>
      <c r="L252" s="5"/>
    </row>
    <row r="253" spans="1:14" ht="13.5" x14ac:dyDescent="0.25">
      <c r="A253" s="120" t="s">
        <v>1565</v>
      </c>
      <c r="B253" s="714"/>
      <c r="C253" s="716"/>
      <c r="D253" s="716"/>
      <c r="E253" s="717"/>
      <c r="F253" s="717"/>
      <c r="G253" s="717"/>
      <c r="H253" s="717"/>
      <c r="I253" s="717"/>
      <c r="J253" s="877"/>
      <c r="K253" s="877"/>
      <c r="L253" s="5"/>
    </row>
    <row r="254" spans="1:14" ht="13.5" x14ac:dyDescent="0.25">
      <c r="A254" s="1413" t="s">
        <v>1566</v>
      </c>
      <c r="B254" s="1413"/>
      <c r="C254" s="1413"/>
      <c r="D254" s="1413"/>
      <c r="E254" s="1413"/>
      <c r="F254" s="1413"/>
      <c r="G254" s="1413"/>
      <c r="H254" s="1413"/>
      <c r="I254" s="1413"/>
      <c r="J254" s="1413"/>
      <c r="K254" s="1413"/>
      <c r="L254" s="5"/>
    </row>
    <row r="255" spans="1:14" ht="13.5" x14ac:dyDescent="0.25">
      <c r="A255" s="48"/>
      <c r="B255" s="121"/>
      <c r="C255" s="500"/>
      <c r="D255" s="500"/>
      <c r="E255" s="53"/>
      <c r="F255" s="53"/>
      <c r="G255" s="53"/>
      <c r="H255" s="53"/>
      <c r="I255" s="53"/>
      <c r="J255" s="545"/>
      <c r="K255" s="545"/>
      <c r="L255" s="5"/>
    </row>
    <row r="256" spans="1:14" x14ac:dyDescent="0.2">
      <c r="A256" s="830"/>
      <c r="B256" s="830"/>
      <c r="C256" s="830"/>
    </row>
    <row r="257" spans="1:3" x14ac:dyDescent="0.2">
      <c r="A257" s="830"/>
      <c r="B257" s="830"/>
      <c r="C257" s="830"/>
    </row>
    <row r="258" spans="1:3" x14ac:dyDescent="0.2">
      <c r="A258" s="830"/>
      <c r="B258" s="830"/>
      <c r="C258" s="830"/>
    </row>
    <row r="259" spans="1:3" x14ac:dyDescent="0.2">
      <c r="A259" s="830"/>
      <c r="B259" s="830"/>
      <c r="C259" s="830"/>
    </row>
    <row r="260" spans="1:3" x14ac:dyDescent="0.2">
      <c r="A260" s="830"/>
      <c r="B260" s="830"/>
      <c r="C260" s="830"/>
    </row>
    <row r="261" spans="1:3" x14ac:dyDescent="0.2">
      <c r="A261" s="830"/>
      <c r="B261" s="830"/>
      <c r="C261" s="830"/>
    </row>
    <row r="262" spans="1:3" x14ac:dyDescent="0.2">
      <c r="A262" s="830"/>
      <c r="B262" s="830"/>
      <c r="C262" s="830"/>
    </row>
    <row r="263" spans="1:3" x14ac:dyDescent="0.2">
      <c r="A263" s="830"/>
      <c r="B263" s="830"/>
      <c r="C263" s="830"/>
    </row>
    <row r="264" spans="1:3" x14ac:dyDescent="0.2">
      <c r="A264" s="830"/>
      <c r="B264" s="830"/>
      <c r="C264" s="830"/>
    </row>
    <row r="265" spans="1:3" x14ac:dyDescent="0.2">
      <c r="A265" s="830"/>
      <c r="B265" s="830"/>
      <c r="C265" s="830"/>
    </row>
    <row r="266" spans="1:3" x14ac:dyDescent="0.2">
      <c r="A266" s="830"/>
      <c r="B266" s="830"/>
      <c r="C266" s="830"/>
    </row>
    <row r="267" spans="1:3" x14ac:dyDescent="0.2">
      <c r="A267" s="830"/>
      <c r="B267" s="830"/>
      <c r="C267" s="830"/>
    </row>
    <row r="268" spans="1:3" x14ac:dyDescent="0.2">
      <c r="A268" s="830"/>
      <c r="B268" s="830"/>
      <c r="C268" s="830"/>
    </row>
    <row r="269" spans="1:3" x14ac:dyDescent="0.2">
      <c r="A269" s="830"/>
      <c r="B269" s="830"/>
      <c r="C269" s="830"/>
    </row>
    <row r="270" spans="1:3" x14ac:dyDescent="0.2">
      <c r="A270" s="830"/>
      <c r="B270" s="830"/>
      <c r="C270" s="830"/>
    </row>
    <row r="271" spans="1:3" x14ac:dyDescent="0.2">
      <c r="A271" s="830"/>
      <c r="B271" s="830"/>
      <c r="C271" s="830"/>
    </row>
    <row r="272" spans="1:3" x14ac:dyDescent="0.2">
      <c r="A272" s="830"/>
      <c r="B272" s="830"/>
      <c r="C272" s="830"/>
    </row>
    <row r="273" spans="1:3" x14ac:dyDescent="0.2">
      <c r="A273" s="830"/>
      <c r="B273" s="830"/>
      <c r="C273" s="830"/>
    </row>
  </sheetData>
  <mergeCells count="2">
    <mergeCell ref="A254:K254"/>
    <mergeCell ref="C2:K2"/>
  </mergeCells>
  <phoneticPr fontId="4" type="noConversion"/>
  <pageMargins left="0.75" right="0.75" top="1" bottom="1" header="0.5" footer="0.5"/>
  <headerFooter alignWithMargins="0"/>
  <ignoredErrors>
    <ignoredError sqref="J9:K10 J12:K24 J26:K26 J29:K49 J51:K55 J186:K210 J57:K61 J64:K88 J89:K183 J211:K249"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7E4401F70939B408F4A9CF3E0982304" ma:contentTypeVersion="1" ma:contentTypeDescription="Create a new document." ma:contentTypeScope="" ma:versionID="892be51ac872460a567cba351f69e0e7">
  <xsd:schema xmlns:xsd="http://www.w3.org/2001/XMLSchema" xmlns:xs="http://www.w3.org/2001/XMLSchema" xmlns:p="http://schemas.microsoft.com/office/2006/metadata/properties" xmlns:ns1="http://schemas.microsoft.com/sharepoint/v3" targetNamespace="http://schemas.microsoft.com/office/2006/metadata/properties" ma:root="true" ma:fieldsID="a447206dab0015f8b9f8924535193e8c"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6855B3C0-DCF8-4FBE-8B5D-1FFBB02C7A13}">
  <ds:schemaRefs>
    <ds:schemaRef ds:uri="http://schemas.microsoft.com/office/2006/documentManagement/types"/>
    <ds:schemaRef ds:uri="http://www.w3.org/XML/1998/namespace"/>
    <ds:schemaRef ds:uri="http://schemas.openxmlformats.org/package/2006/metadata/core-properties"/>
    <ds:schemaRef ds:uri="http://purl.org/dc/elements/1.1/"/>
    <ds:schemaRef ds:uri="http://schemas.microsoft.com/sharepoint/v3"/>
    <ds:schemaRef ds:uri="http://purl.org/dc/dcmitype/"/>
    <ds:schemaRef ds:uri="http://schemas.microsoft.com/office/infopath/2007/PartnerControls"/>
    <ds:schemaRef ds:uri="http://purl.org/dc/terms/"/>
    <ds:schemaRef ds:uri="http://schemas.microsoft.com/office/2006/metadata/properties"/>
  </ds:schemaRefs>
</ds:datastoreItem>
</file>

<file path=customXml/itemProps2.xml><?xml version="1.0" encoding="utf-8"?>
<ds:datastoreItem xmlns:ds="http://schemas.openxmlformats.org/officeDocument/2006/customXml" ds:itemID="{0472A1BA-82FB-4F57-975A-70E48E238D8F}">
  <ds:schemaRefs>
    <ds:schemaRef ds:uri="http://schemas.microsoft.com/sharepoint/v3/contenttype/forms"/>
  </ds:schemaRefs>
</ds:datastoreItem>
</file>

<file path=customXml/itemProps3.xml><?xml version="1.0" encoding="utf-8"?>
<ds:datastoreItem xmlns:ds="http://schemas.openxmlformats.org/officeDocument/2006/customXml" ds:itemID="{4394785F-004F-4CD2-B00A-61AC40D166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A32D023-3DD3-435A-95EA-D920CD540DCC}">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41</vt:i4>
      </vt:variant>
      <vt:variant>
        <vt:lpstr>Named Ranges</vt:lpstr>
      </vt:variant>
      <vt:variant>
        <vt:i4>167</vt:i4>
      </vt:variant>
    </vt:vector>
  </HeadingPairs>
  <TitlesOfParts>
    <vt:vector size="208" baseType="lpstr">
      <vt:lpstr>START</vt:lpstr>
      <vt:lpstr>Instructions</vt:lpstr>
      <vt:lpstr>Org structure</vt:lpstr>
      <vt:lpstr>Contacts</vt:lpstr>
      <vt:lpstr>B1-Sum</vt:lpstr>
      <vt:lpstr>B2-FinPerf SC</vt:lpstr>
      <vt:lpstr>B2B</vt:lpstr>
      <vt:lpstr>B3-FinPerf V</vt:lpstr>
      <vt:lpstr>B3B</vt:lpstr>
      <vt:lpstr>B4-FinPerf RE</vt:lpstr>
      <vt:lpstr>B5-Capex</vt:lpstr>
      <vt:lpstr>B5B</vt:lpstr>
      <vt:lpstr>B6-FinPos</vt:lpstr>
      <vt:lpstr>B7-CFlow</vt:lpstr>
      <vt:lpstr>B8-ResRecon</vt:lpstr>
      <vt:lpstr>B9-Asset</vt:lpstr>
      <vt:lpstr>B10-SerDel</vt:lpstr>
      <vt:lpstr>SB1</vt:lpstr>
      <vt:lpstr>SB2</vt:lpstr>
      <vt:lpstr>SB3</vt:lpstr>
      <vt:lpstr>SB4</vt:lpstr>
      <vt:lpstr>SB5</vt:lpstr>
      <vt:lpstr>SB6</vt:lpstr>
      <vt:lpstr>SB7</vt:lpstr>
      <vt:lpstr>SB8</vt:lpstr>
      <vt:lpstr>SB9</vt:lpstr>
      <vt:lpstr>SB10</vt:lpstr>
      <vt:lpstr>SB11</vt:lpstr>
      <vt:lpstr>SB12</vt:lpstr>
      <vt:lpstr>SB13</vt:lpstr>
      <vt:lpstr>SB14</vt:lpstr>
      <vt:lpstr>SB15</vt:lpstr>
      <vt:lpstr>SB16</vt:lpstr>
      <vt:lpstr>SB17</vt:lpstr>
      <vt:lpstr>SB18a</vt:lpstr>
      <vt:lpstr>SB18b</vt:lpstr>
      <vt:lpstr>SB18c</vt:lpstr>
      <vt:lpstr>SB18d</vt:lpstr>
      <vt:lpstr>SB18e</vt:lpstr>
      <vt:lpstr>SB19</vt:lpstr>
      <vt:lpstr>SB20</vt:lpstr>
      <vt:lpstr>_ADJ10</vt:lpstr>
      <vt:lpstr>_ADJ2</vt:lpstr>
      <vt:lpstr>_ADJ3</vt:lpstr>
      <vt:lpstr>_ADJ4</vt:lpstr>
      <vt:lpstr>_ADJ5</vt:lpstr>
      <vt:lpstr>_ADJ6</vt:lpstr>
      <vt:lpstr>_ADJ7</vt:lpstr>
      <vt:lpstr>_ADJ8</vt:lpstr>
      <vt:lpstr>_ADJ9</vt:lpstr>
      <vt:lpstr>ADJB1</vt:lpstr>
      <vt:lpstr>ADJB10</vt:lpstr>
      <vt:lpstr>ADJB11</vt:lpstr>
      <vt:lpstr>ADJB12</vt:lpstr>
      <vt:lpstr>ADJB13</vt:lpstr>
      <vt:lpstr>ADJB14</vt:lpstr>
      <vt:lpstr>ADJB15</vt:lpstr>
      <vt:lpstr>ADJB16</vt:lpstr>
      <vt:lpstr>ADJB17</vt:lpstr>
      <vt:lpstr>ADJB18a</vt:lpstr>
      <vt:lpstr>ADJB18b</vt:lpstr>
      <vt:lpstr>ADJB18c</vt:lpstr>
      <vt:lpstr>ADJB18d</vt:lpstr>
      <vt:lpstr>ADJB18e</vt:lpstr>
      <vt:lpstr>ADJB19</vt:lpstr>
      <vt:lpstr>ADJB2</vt:lpstr>
      <vt:lpstr>ADJB20</vt:lpstr>
      <vt:lpstr>ADJB3</vt:lpstr>
      <vt:lpstr>ADJB4</vt:lpstr>
      <vt:lpstr>ADJB5</vt:lpstr>
      <vt:lpstr>ADJB6</vt:lpstr>
      <vt:lpstr>ADJB7</vt:lpstr>
      <vt:lpstr>ADJB8</vt:lpstr>
      <vt:lpstr>ADJB9</vt:lpstr>
      <vt:lpstr>adjsum</vt:lpstr>
      <vt:lpstr>Asset_Class</vt:lpstr>
      <vt:lpstr>Asset_sub_class</vt:lpstr>
      <vt:lpstr>basedesc</vt:lpstr>
      <vt:lpstr>Cash1</vt:lpstr>
      <vt:lpstr>Cash2</vt:lpstr>
      <vt:lpstr>Consolques</vt:lpstr>
      <vt:lpstr>Instructions!Date</vt:lpstr>
      <vt:lpstr>Date</vt:lpstr>
      <vt:lpstr>desc</vt:lpstr>
      <vt:lpstr>Instructions!FinYear</vt:lpstr>
      <vt:lpstr>Head1</vt:lpstr>
      <vt:lpstr>Head10</vt:lpstr>
      <vt:lpstr>Head11</vt:lpstr>
      <vt:lpstr>Head1A</vt:lpstr>
      <vt:lpstr>Head1B</vt:lpstr>
      <vt:lpstr>Head2</vt:lpstr>
      <vt:lpstr>Head24</vt:lpstr>
      <vt:lpstr>head27</vt:lpstr>
      <vt:lpstr>head27a</vt:lpstr>
      <vt:lpstr>Head29</vt:lpstr>
      <vt:lpstr>Head2A</vt:lpstr>
      <vt:lpstr>Head3</vt:lpstr>
      <vt:lpstr>Head30</vt:lpstr>
      <vt:lpstr>Head31</vt:lpstr>
      <vt:lpstr>Head32</vt:lpstr>
      <vt:lpstr>Head33</vt:lpstr>
      <vt:lpstr>Head34</vt:lpstr>
      <vt:lpstr>Head35</vt:lpstr>
      <vt:lpstr>Head36</vt:lpstr>
      <vt:lpstr>Head37</vt:lpstr>
      <vt:lpstr>Head38</vt:lpstr>
      <vt:lpstr>Head39</vt:lpstr>
      <vt:lpstr>Head3a</vt:lpstr>
      <vt:lpstr>Head4</vt:lpstr>
      <vt:lpstr>Head40</vt:lpstr>
      <vt:lpstr>Head41</vt:lpstr>
      <vt:lpstr>Head42</vt:lpstr>
      <vt:lpstr>Head43</vt:lpstr>
      <vt:lpstr>Head44</vt:lpstr>
      <vt:lpstr>Head45</vt:lpstr>
      <vt:lpstr>head46</vt:lpstr>
      <vt:lpstr>Head47</vt:lpstr>
      <vt:lpstr>Head48</vt:lpstr>
      <vt:lpstr>Head49</vt:lpstr>
      <vt:lpstr>Head5</vt:lpstr>
      <vt:lpstr>Head50</vt:lpstr>
      <vt:lpstr>Head51</vt:lpstr>
      <vt:lpstr>Head52</vt:lpstr>
      <vt:lpstr>Head53</vt:lpstr>
      <vt:lpstr>Head54</vt:lpstr>
      <vt:lpstr>Head55</vt:lpstr>
      <vt:lpstr>Head56</vt:lpstr>
      <vt:lpstr>Head57</vt:lpstr>
      <vt:lpstr>Head58</vt:lpstr>
      <vt:lpstr>Head59</vt:lpstr>
      <vt:lpstr>Head5A</vt:lpstr>
      <vt:lpstr>Head5b</vt:lpstr>
      <vt:lpstr>Head6</vt:lpstr>
      <vt:lpstr>Head7</vt:lpstr>
      <vt:lpstr>Head8</vt:lpstr>
      <vt:lpstr>Head9</vt:lpstr>
      <vt:lpstr>Headings</vt:lpstr>
      <vt:lpstr>IUDF</vt:lpstr>
      <vt:lpstr>Instructions!MTREF</vt:lpstr>
      <vt:lpstr>MTREF</vt:lpstr>
      <vt:lpstr>MTSF</vt:lpstr>
      <vt:lpstr>muni</vt:lpstr>
      <vt:lpstr>MuniEntities</vt:lpstr>
      <vt:lpstr>MuniType</vt:lpstr>
      <vt:lpstr>'Lookup and lists'!NatCapexGrantNames</vt:lpstr>
      <vt:lpstr>NatCapexGrantNames</vt:lpstr>
      <vt:lpstr>'Lookup and lists'!NatOpexGrantNames</vt:lpstr>
      <vt:lpstr>NatOpexGrantNames</vt:lpstr>
      <vt:lpstr>'Org structure'!Orgstructurevotes</vt:lpstr>
      <vt:lpstr>'B10-SerDel'!Print_Area</vt:lpstr>
      <vt:lpstr>'B1-Sum'!Print_Area</vt:lpstr>
      <vt:lpstr>'B3-FinPerf V'!Print_Area</vt:lpstr>
      <vt:lpstr>'B5-Capex'!Print_Area</vt:lpstr>
      <vt:lpstr>'B6-FinPos'!Print_Area</vt:lpstr>
      <vt:lpstr>'B8-ResRecon'!Print_Area</vt:lpstr>
      <vt:lpstr>'B9-Asset'!Print_Area</vt:lpstr>
      <vt:lpstr>Contacts!Print_Area</vt:lpstr>
      <vt:lpstr>Instructions!Print_Area</vt:lpstr>
      <vt:lpstr>'SB1'!Print_Area</vt:lpstr>
      <vt:lpstr>'SB10'!Print_Area</vt:lpstr>
      <vt:lpstr>'SB11'!Print_Area</vt:lpstr>
      <vt:lpstr>'SB12'!Print_Area</vt:lpstr>
      <vt:lpstr>'SB13'!Print_Area</vt:lpstr>
      <vt:lpstr>'SB14'!Print_Area</vt:lpstr>
      <vt:lpstr>'SB15'!Print_Area</vt:lpstr>
      <vt:lpstr>'SB16'!Print_Area</vt:lpstr>
      <vt:lpstr>'SB17'!Print_Area</vt:lpstr>
      <vt:lpstr>SB18a!Print_Area</vt:lpstr>
      <vt:lpstr>'SB2'!Print_Area</vt:lpstr>
      <vt:lpstr>'SB20'!Print_Area</vt:lpstr>
      <vt:lpstr>'SB3'!Print_Area</vt:lpstr>
      <vt:lpstr>'SB4'!Print_Area</vt:lpstr>
      <vt:lpstr>'SB5'!Print_Area</vt:lpstr>
      <vt:lpstr>'SB6'!Print_Area</vt:lpstr>
      <vt:lpstr>'SB7'!Print_Area</vt:lpstr>
      <vt:lpstr>'SB9'!Print_Area</vt:lpstr>
      <vt:lpstr>'SB3'!Print_Titles</vt:lpstr>
      <vt:lpstr>'Lookup and lists'!ProvCapexGrantNames</vt:lpstr>
      <vt:lpstr>ProvCapexGrantNames</vt:lpstr>
      <vt:lpstr>'Lookup and lists'!ProvOpexGrantNames</vt:lpstr>
      <vt:lpstr>ProvOpexGrantNames</vt:lpstr>
      <vt:lpstr>RandM</vt:lpstr>
      <vt:lpstr>result</vt:lpstr>
      <vt:lpstr>SFPerf1</vt:lpstr>
      <vt:lpstr>SFPerf2</vt:lpstr>
      <vt:lpstr>SFpos1</vt:lpstr>
      <vt:lpstr>SFpos2</vt:lpstr>
      <vt:lpstr>Tablc8</vt:lpstr>
      <vt:lpstr>Vdesc</vt:lpstr>
      <vt:lpstr>'Org structure'!Vote</vt:lpstr>
      <vt:lpstr>'Org structure'!Vote1</vt:lpstr>
      <vt:lpstr>'Org structure'!Vote10</vt:lpstr>
      <vt:lpstr>'Org structure'!Vote11</vt:lpstr>
      <vt:lpstr>'Org structure'!Vote12</vt:lpstr>
      <vt:lpstr>'Org structure'!Vote13</vt:lpstr>
      <vt:lpstr>'Org structure'!Vote14</vt:lpstr>
      <vt:lpstr>'Org structure'!Vote15</vt:lpstr>
      <vt:lpstr>'Org structure'!Vote2</vt:lpstr>
      <vt:lpstr>'Org structure'!Vote3</vt:lpstr>
      <vt:lpstr>'Org structure'!Vote4</vt:lpstr>
      <vt:lpstr>'Org structure'!Vote5</vt:lpstr>
      <vt:lpstr>'Org structure'!Vote6</vt:lpstr>
      <vt:lpstr>'Org structure'!Vote7</vt:lpstr>
      <vt:lpstr>'Org structure'!Vote8</vt:lpstr>
      <vt:lpstr>'Org structure'!Vote9</vt:lpstr>
      <vt:lpstr>Y_N</vt:lpstr>
      <vt:lpstr>'Lookup and lists'!YesNo</vt:lpstr>
      <vt:lpstr>YesNo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Elsabe Rossouw</dc:creator>
  <cp:lastModifiedBy>Zinzi Mphahlele</cp:lastModifiedBy>
  <cp:lastPrinted>2016-12-14T06:17:31Z</cp:lastPrinted>
  <dcterms:created xsi:type="dcterms:W3CDTF">2009-03-24T13:39:17Z</dcterms:created>
  <dcterms:modified xsi:type="dcterms:W3CDTF">2021-02-23T14:43:41Z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ies>
</file>