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5255" windowHeight="7935" firstSheet="4" activeTab="9"/>
  </bookViews>
  <sheets>
    <sheet name="COVER" sheetId="1" r:id="rId1"/>
    <sheet name="INTRODUCTION" sheetId="2" r:id="rId2"/>
    <sheet name="FINANCIAL PROJECTIONS" sheetId="3" r:id="rId3"/>
    <sheet name="CAPITAL WORKS PLAN" sheetId="4" r:id="rId4"/>
    <sheet name="BSD" sheetId="5" r:id="rId5"/>
    <sheet name="GGPP" sheetId="6" r:id="rId6"/>
    <sheet name="MTOD" sheetId="7" r:id="rId7"/>
    <sheet name="LED" sheetId="8" r:id="rId8"/>
    <sheet name="FV" sheetId="9" r:id="rId9"/>
    <sheet name="DETAILED CWP" sheetId="10" r:id="rId10"/>
    <sheet name="APPROVAL" sheetId="11" r:id="rId11"/>
  </sheets>
  <externalReferences>
    <externalReference r:id="rId14"/>
  </externalReferences>
  <definedNames>
    <definedName name="desc">'[1]Template names'!$B$30</definedName>
    <definedName name="Head10">'[1]Template names'!$B$16</definedName>
    <definedName name="Head11">'[1]Template names'!$B$17</definedName>
    <definedName name="head27">'[1]Template names'!$B$33</definedName>
    <definedName name="head27a">'[1]Template names'!$B$34</definedName>
    <definedName name="Head9">'[1]Template names'!$B$15</definedName>
    <definedName name="muni">'[1]Template names'!$B$93</definedName>
    <definedName name="_xlnm.Print_Area" localSheetId="4">'BSD'!$A$1:$Q$25</definedName>
    <definedName name="_xlnm.Print_Area" localSheetId="2">'FINANCIAL PROJECTIONS'!$A$1:$Q$98</definedName>
    <definedName name="_xlnm.Print_Area" localSheetId="8">'FV'!$A$1:$P$12</definedName>
    <definedName name="_xlnm.Print_Area" localSheetId="5">'GGPP'!$A$1:$P$27</definedName>
    <definedName name="_xlnm.Print_Area" localSheetId="1">'INTRODUCTION'!$A$1:$B$8</definedName>
    <definedName name="_xlnm.Print_Area" localSheetId="7">'LED'!$A$1:$P$7</definedName>
    <definedName name="_xlnm.Print_Area" localSheetId="6">'MTOD'!$A$1:$P$7</definedName>
    <definedName name="_xlnm.Print_Titles" localSheetId="4">'BSD'!$1:$1</definedName>
    <definedName name="_xlnm.Print_Titles" localSheetId="3">'CAPITAL WORKS PLAN'!$1:$2</definedName>
    <definedName name="_xlnm.Print_Titles" localSheetId="9">'DETAILED CWP'!$1:$2</definedName>
    <definedName name="_xlnm.Print_Titles" localSheetId="8">'FV'!$1:$1</definedName>
    <definedName name="_xlnm.Print_Titles" localSheetId="5">'GGPP'!$1:$1</definedName>
    <definedName name="_xlnm.Print_Titles" localSheetId="7">'LED'!$1:$1</definedName>
    <definedName name="_xlnm.Print_Titles" localSheetId="6">'MTOD'!$1:$1</definedName>
    <definedName name="TableA25">'[1]Template names'!$B$137</definedName>
    <definedName name="TableA26">'[1]Template names'!$B$138</definedName>
  </definedNames>
  <calcPr fullCalcOnLoad="1"/>
</workbook>
</file>

<file path=xl/sharedStrings.xml><?xml version="1.0" encoding="utf-8"?>
<sst xmlns="http://schemas.openxmlformats.org/spreadsheetml/2006/main" count="4264" uniqueCount="1361">
  <si>
    <t>KPI No</t>
  </si>
  <si>
    <t>KPA</t>
  </si>
  <si>
    <t>Pillar</t>
  </si>
  <si>
    <t>Municipal IDP Priority</t>
  </si>
  <si>
    <t>IDP Strategic Objective</t>
  </si>
  <si>
    <t>Municipal Programme</t>
  </si>
  <si>
    <t>Operating Strategy</t>
  </si>
  <si>
    <t>Key Performance Indicator (KPI)</t>
  </si>
  <si>
    <t>Unit of Measure (UoM)</t>
  </si>
  <si>
    <t>Performance Baseline 2017/18</t>
  </si>
  <si>
    <t>Annual Target 2018/19</t>
  </si>
  <si>
    <t>BSD_TL01</t>
  </si>
  <si>
    <t xml:space="preserve">Service Delivery </t>
  </si>
  <si>
    <t>Smart living</t>
  </si>
  <si>
    <t>Provision of basic services, which include electricity, water, sanitation and refuse removal</t>
  </si>
  <si>
    <t>To ensure provision of basic and environmental services in a sustainable way</t>
  </si>
  <si>
    <t>Energy</t>
  </si>
  <si>
    <t>BSD_TL02</t>
  </si>
  <si>
    <t>km</t>
  </si>
  <si>
    <t>New</t>
  </si>
  <si>
    <t>BSD_TL03</t>
  </si>
  <si>
    <t>Expanding smart metering</t>
  </si>
  <si>
    <t>#</t>
  </si>
  <si>
    <t>BSD_TL04</t>
  </si>
  <si>
    <t>Households with access to electricity</t>
  </si>
  <si>
    <t>%</t>
  </si>
  <si>
    <t>BSD_TL05</t>
  </si>
  <si>
    <t>number of retrofits done to reduce consumption</t>
  </si>
  <si>
    <t>BSD_TL06</t>
  </si>
  <si>
    <t>Sanitation</t>
  </si>
  <si>
    <t>Upgrade existing Polokwane waste water plant</t>
  </si>
  <si>
    <t>BSD_TL07</t>
  </si>
  <si>
    <t>Water</t>
  </si>
  <si>
    <t>Replace old existing asbestos cement pipes that is causing water loss</t>
  </si>
  <si>
    <t>Replaced at least 100km asbestos pipes.</t>
  </si>
  <si>
    <t>BSD_TL08</t>
  </si>
  <si>
    <t>Replacement of old water meters in the city</t>
  </si>
  <si>
    <t>15 000</t>
  </si>
  <si>
    <t>BSD_TL09</t>
  </si>
  <si>
    <t>Increase existing water sources - Oliphant’s, Ebenezer,  Molepo, Seshego, Hout River, Dap Naude (increase water treatment plant).</t>
  </si>
  <si>
    <t>Ml</t>
  </si>
  <si>
    <r>
      <t>17.8</t>
    </r>
    <r>
      <rPr>
        <sz val="8"/>
        <color indexed="8"/>
        <rFont val="Calibri"/>
        <family val="2"/>
      </rPr>
      <t> </t>
    </r>
  </si>
  <si>
    <t>BSD_TL10</t>
  </si>
  <si>
    <t>Increase existing boreholes by development of new bore holes.</t>
  </si>
  <si>
    <t>BSD_TL11</t>
  </si>
  <si>
    <t>Increase access to water supply.</t>
  </si>
  <si>
    <t>BSD_TL12</t>
  </si>
  <si>
    <t>Service Delivery</t>
  </si>
  <si>
    <t>Smart Mobility</t>
  </si>
  <si>
    <t>Improving transport, roads and bridges</t>
  </si>
  <si>
    <t>Promotion of economic growth, job creation and sustainable human settlements</t>
  </si>
  <si>
    <t>Transport, Roads and storm water</t>
  </si>
  <si>
    <t>Implement MIG programme.  Increase allocation per financial year to allow quick reduction of backlog</t>
  </si>
  <si>
    <t>BSD_TL13</t>
  </si>
  <si>
    <t>BSD_TL14</t>
  </si>
  <si>
    <t>Construct storm water in existing towns (Mankweng and Seshego)</t>
  </si>
  <si>
    <t>Km of Storm water constructed in existing towns (Mankweng and Seshego) by 30 June 2019</t>
  </si>
  <si>
    <t>BSD_TL15</t>
  </si>
  <si>
    <t>Fleet Management</t>
  </si>
  <si>
    <t>Review fleet contract upon expiry</t>
  </si>
  <si>
    <t>BSD_TL16</t>
  </si>
  <si>
    <t>Smart Living</t>
  </si>
  <si>
    <t>BSD_TL17</t>
  </si>
  <si>
    <t>BSD_TL18</t>
  </si>
  <si>
    <t>Improving sports and recreational facilities and promotion of social cohesion</t>
  </si>
  <si>
    <t>Sports and Recreation</t>
  </si>
  <si>
    <t>Encourage the formation of clubs and promotion of capacity building of sports administrators (Coaches and referees)</t>
  </si>
  <si>
    <t>BSD_TL19</t>
  </si>
  <si>
    <t>Smart Environment</t>
  </si>
  <si>
    <t>Development of municipal capacity to manager disaster risk and protection of environment</t>
  </si>
  <si>
    <t>To ensure the provision of basic and environmental services in a sustainable way to our communities</t>
  </si>
  <si>
    <t>Community Health</t>
  </si>
  <si>
    <t>Obtain authorization from Capricorn District Municipality to render the service on their behalf</t>
  </si>
  <si>
    <t>Number of Health (Food premises and outlets) Inspections conducted by 30 June 2019</t>
  </si>
  <si>
    <t>BSD_TL20</t>
  </si>
  <si>
    <t>Waste Management</t>
  </si>
  <si>
    <t>Address Waste Management backlog in rural areas.</t>
  </si>
  <si>
    <t>BSD_TL21</t>
  </si>
  <si>
    <t>To promote recycling and ensure that waste generated is managed and disposed of in an environmentally friendly manner</t>
  </si>
  <si>
    <t>BSD_TL22</t>
  </si>
  <si>
    <t>Development of municipal capacity to manage disaster risk and protection of environment</t>
  </si>
  <si>
    <t>Disaster Management and Fire Services</t>
  </si>
  <si>
    <t>Conduct Hazard identification and assessment programme.</t>
  </si>
  <si>
    <t>1 Disaster Management Plan reviewed by 30 June</t>
  </si>
  <si>
    <t>BSD_TL23</t>
  </si>
  <si>
    <t>Conduct reblading programme.</t>
  </si>
  <si>
    <t>2600 km</t>
  </si>
  <si>
    <t>1800km</t>
  </si>
  <si>
    <t>BSD_TL24</t>
  </si>
  <si>
    <t>Transportation (Infrastructure)</t>
  </si>
  <si>
    <t>Plan and construct infrastructure</t>
  </si>
  <si>
    <t>Transportation (Communications and Marketing)</t>
  </si>
  <si>
    <t>Provide safe, reliable, affordable, sustainable public transport system</t>
  </si>
  <si>
    <t xml:space="preserve">New </t>
  </si>
  <si>
    <t>GGPP_TL01</t>
  </si>
  <si>
    <t xml:space="preserve">Good Governance and Public Participation </t>
  </si>
  <si>
    <t>Smart Governance</t>
  </si>
  <si>
    <t>Promotion of good governance and the participation of local communities in the municipal affairs</t>
  </si>
  <si>
    <t>To ensure community confidence in the system of local government</t>
  </si>
  <si>
    <t>IDP</t>
  </si>
  <si>
    <t>Ensure involvement and participation of all stakeholders</t>
  </si>
  <si>
    <t>GGPP_TL02</t>
  </si>
  <si>
    <t>Ensure long-term planning capacity, monitoring and evaluation</t>
  </si>
  <si>
    <t>Facilitate and monitor the identified needs falling without the municipality's mandate</t>
  </si>
  <si>
    <t>GGPP_TL03</t>
  </si>
  <si>
    <t>GGPP_TL04</t>
  </si>
  <si>
    <t>To ensure budgeting processes are informed by community needs and priorities by 2018</t>
  </si>
  <si>
    <t>GGPP_TL05</t>
  </si>
  <si>
    <t>PMS</t>
  </si>
  <si>
    <t xml:space="preserve">Date </t>
  </si>
  <si>
    <t>GGPP_TL06</t>
  </si>
  <si>
    <t>GGPP_TL07</t>
  </si>
  <si>
    <t xml:space="preserve">Communicate and share performance information </t>
  </si>
  <si>
    <t>GGPP_TL08</t>
  </si>
  <si>
    <t>GGPP_TL09</t>
  </si>
  <si>
    <t>GGPP_TL10</t>
  </si>
  <si>
    <t>ICT</t>
  </si>
  <si>
    <t>Continuous improvement of Corporate Governance of and Governance of ICT</t>
  </si>
  <si>
    <t>GGPP_TL11</t>
  </si>
  <si>
    <t>To ensure efficiency and effectiveness of municipal administration</t>
  </si>
  <si>
    <t>Legal</t>
  </si>
  <si>
    <t>Review and implement delegations of powers to ensure that all managers act and take decisions within their scope</t>
  </si>
  <si>
    <t>Reviewed delegations of powers by 31 Aug 2018</t>
  </si>
  <si>
    <t>GGPP_TL12</t>
  </si>
  <si>
    <t>GGPP_TL13</t>
  </si>
  <si>
    <t>Secretariat Services</t>
  </si>
  <si>
    <t>Ensuring that Mayoral Committee meetings are convened as per cooperate calendar.</t>
  </si>
  <si>
    <t>GGPP_TL14</t>
  </si>
  <si>
    <t>Ensuring that Council meetings are convened as per cooperate calendar.</t>
  </si>
  <si>
    <t>GGPP_TL15</t>
  </si>
  <si>
    <t>Ensuring that Portfolio meetings are convened as per cooperate calendar.</t>
  </si>
  <si>
    <t>GGPP_TL16</t>
  </si>
  <si>
    <t>Human Resources/ Labour Relations</t>
  </si>
  <si>
    <t>Monitor the corporate calendar.</t>
  </si>
  <si>
    <t>GGPP_TL17</t>
  </si>
  <si>
    <t>Good Governance and Public Participation</t>
  </si>
  <si>
    <t>Organisational Development</t>
  </si>
  <si>
    <t>Develop integrated long term asset management plan</t>
  </si>
  <si>
    <t>Integrated long term asset management plan developed by 30 June 2019</t>
  </si>
  <si>
    <t>GGPP_TL18</t>
  </si>
  <si>
    <t> Develop integrated long term asset management plan</t>
  </si>
  <si>
    <t>GGPP_TL19</t>
  </si>
  <si>
    <t>To ensure social protection and education outcomes</t>
  </si>
  <si>
    <t>Special Focus</t>
  </si>
  <si>
    <t>Liaise with the Department of Health and developmental partners to reduce HIV.  Establish Ward AIDS Councils. Implement the 90/90/90/ Fast track Strategy for municipalities  to reduce HIV By 2020</t>
  </si>
  <si>
    <t>GGPP_TL20</t>
  </si>
  <si>
    <t>Internal Audit</t>
  </si>
  <si>
    <t>Cooperating closely with other external oversight bodies to better coordinate oversight activities with a view to providing effective audit coverage and minimising any overlaps</t>
  </si>
  <si>
    <t>GGPP_TL21</t>
  </si>
  <si>
    <t>Communicate effectively with  management to receive effective feedback on the preparation and reporting on the implementation of audit work plans</t>
  </si>
  <si>
    <t>GGPP_TL22</t>
  </si>
  <si>
    <t>Regular review and improving the quality of audit reports by increasing the use of available information technology tool to gather, analyse and present factual data to enhance the accuracy, completeness and tidiness of audit reports</t>
  </si>
  <si>
    <t>GGPP_TL23</t>
  </si>
  <si>
    <t>Public Participation</t>
  </si>
  <si>
    <t>Increase functionality and effectiveness of ward committee structures</t>
  </si>
  <si>
    <t>GGPP_TL24</t>
  </si>
  <si>
    <t>GGPP_TL25</t>
  </si>
  <si>
    <t>Risk Management</t>
  </si>
  <si>
    <t>Roll-out of risk management services within all levels of the municipalities by identifying potentials risks within the municipality</t>
  </si>
  <si>
    <t>Creating fraud culture in y and  Promote Fraud Hotline in the Municipal area</t>
  </si>
  <si>
    <t xml:space="preserve">Incorporate Risk Management in the IDP and Budgeting process by identifying strategic risk and budgeting for mitigation action </t>
  </si>
  <si>
    <t xml:space="preserve">Increase functionality, effectiveness and accountability of Risk Management at Directors level </t>
  </si>
  <si>
    <t>MTOD_TL01</t>
  </si>
  <si>
    <t>Municipal Transformation and Organisational Development</t>
  </si>
  <si>
    <t>Smart People</t>
  </si>
  <si>
    <t>Occupational Health and Safety</t>
  </si>
  <si>
    <t>Expand OHS capacity</t>
  </si>
  <si>
    <t>MTOD_TL02</t>
  </si>
  <si>
    <t>Human Resources Management</t>
  </si>
  <si>
    <t>MTOD_TL03</t>
  </si>
  <si>
    <t>Build capacity of employees through training</t>
  </si>
  <si>
    <t>MTOD_TL04</t>
  </si>
  <si>
    <t xml:space="preserve">Targeted recruitment </t>
  </si>
  <si>
    <t>MTOD_TL05</t>
  </si>
  <si>
    <t xml:space="preserve">Targeted awarding of bursary </t>
  </si>
  <si>
    <t>MTOD_TL06</t>
  </si>
  <si>
    <t>Build capacity of municipal officials and the community on skills.</t>
  </si>
  <si>
    <t>Build capacity of municipal officials around IR matters</t>
  </si>
  <si>
    <t>LED_TL01</t>
  </si>
  <si>
    <t>Local Economic Development</t>
  </si>
  <si>
    <t>LED_TL02</t>
  </si>
  <si>
    <t>LED_TL03</t>
  </si>
  <si>
    <t>Smart Economy</t>
  </si>
  <si>
    <t>Strengthen the local economic development structures and expansion of expanded public works programme</t>
  </si>
  <si>
    <t>LED</t>
  </si>
  <si>
    <t>Implement Tourism strategy</t>
  </si>
  <si>
    <t>LED_TL06</t>
  </si>
  <si>
    <t>Sustainable Livelihoods</t>
  </si>
  <si>
    <t>LED - SMMEs</t>
  </si>
  <si>
    <t>EPWP</t>
  </si>
  <si>
    <t>Number of job opportunities created through the EPWP by 30 June 2019 (Temporary Job Opportunities)</t>
  </si>
  <si>
    <t xml:space="preserve">Assist SMME to attend exhibitions </t>
  </si>
  <si>
    <t>FV_TL01</t>
  </si>
  <si>
    <t>Financial Viability</t>
  </si>
  <si>
    <t>Promotion of sound financial management to ensure financial sustainability</t>
  </si>
  <si>
    <t>Budget and Reporting</t>
  </si>
  <si>
    <t>Improve internal and integrated  financial reporting processes to ensure all SBU's are using accurate financial information</t>
  </si>
  <si>
    <t>FV_TL02</t>
  </si>
  <si>
    <t>FV_TL03</t>
  </si>
  <si>
    <t>FV_TL04</t>
  </si>
  <si>
    <t>None</t>
  </si>
  <si>
    <t>FV_TL05</t>
  </si>
  <si>
    <t xml:space="preserve">Budget and Reporting </t>
  </si>
  <si>
    <t>FV_TL06</t>
  </si>
  <si>
    <t>Expenditure Management</t>
  </si>
  <si>
    <t>Accurate cash flow planning (SBUs to supply cash flow projections on projects at the beginning of each financial year)</t>
  </si>
  <si>
    <t>Timeous payment of all the creditors with 30 days upon receipt of invoice</t>
  </si>
  <si>
    <t>FV_TL07</t>
  </si>
  <si>
    <t>To build up reserves (sinking funds) to pay back loans and asset replacement funds</t>
  </si>
  <si>
    <t>FV_TL08</t>
  </si>
  <si>
    <t>FV_TL09</t>
  </si>
  <si>
    <t>Revenue Management</t>
  </si>
  <si>
    <t xml:space="preserve">Develop and enforce business processes and procedures </t>
  </si>
  <si>
    <t xml:space="preserve">Number of Households with access to free basic services to all qualifying people in the municipal's area of jurisdiction </t>
  </si>
  <si>
    <t>FV_TL10</t>
  </si>
  <si>
    <t>Percentage collection of revenue billed, total billed vs total collected.</t>
  </si>
  <si>
    <t>FV_TL11</t>
  </si>
  <si>
    <t>Supply Chain Management</t>
  </si>
  <si>
    <t>Follow up  and adherence to demand management plan</t>
  </si>
  <si>
    <t>Timeous appointment of service providers within 90 days in line with the National Treasury Norm on appointment of contractors</t>
  </si>
  <si>
    <t>Bankable projects for implementation on alternative funding model</t>
  </si>
  <si>
    <t xml:space="preserve">Increase electricity capacity by: building substations and install underground cables </t>
  </si>
  <si>
    <t>Increase electricity capacity by:  - building substations and install underground cables</t>
  </si>
  <si>
    <t>2000 installation of extra smart meters</t>
  </si>
  <si>
    <t>14250 retrofitted street lights</t>
  </si>
  <si>
    <t>13200 retrofitted street lights-</t>
  </si>
  <si>
    <t>22 000 Meters replaced.</t>
  </si>
  <si>
    <t>Quarter 1 (Jul-Sep)</t>
  </si>
  <si>
    <t>Quarter 2 (Oct-Dec)</t>
  </si>
  <si>
    <t>Quarter 3 (Jan-Mar)</t>
  </si>
  <si>
    <t>Quarter 4 (Apr-Jun)</t>
  </si>
  <si>
    <t>Portfolio of Evidence</t>
  </si>
  <si>
    <t>MULTI YEAR BUDGET</t>
  </si>
  <si>
    <t>Funding</t>
  </si>
  <si>
    <t>2018/19</t>
  </si>
  <si>
    <t>2019/20</t>
  </si>
  <si>
    <t>2020/21</t>
  </si>
  <si>
    <t>Description</t>
  </si>
  <si>
    <t>Clusters - SPME</t>
  </si>
  <si>
    <t>Thusong Service Centre (TSC) -Mankweng</t>
  </si>
  <si>
    <t>CRR</t>
  </si>
  <si>
    <t>R</t>
  </si>
  <si>
    <t>Mobile service sites at Molepo Chuene Maja Cluster (Rampheri Village)</t>
  </si>
  <si>
    <t>N</t>
  </si>
  <si>
    <t xml:space="preserve">Upgrading of  Mohlonong centre (Aganang cluster) 
</t>
  </si>
  <si>
    <t>U</t>
  </si>
  <si>
    <t>Renovation of existing Cluster offices in Moletjie, Sebayeng, Molepo/ Chuene /Maja Clusters</t>
  </si>
  <si>
    <t xml:space="preserve">Cluster offices Construction at Seshego </t>
  </si>
  <si>
    <t>Upgrading of existing Cluster offices in Moletjie ,Sebayeng &amp; Molepo/ Chuene/ Maja clusters</t>
  </si>
  <si>
    <t>Construction of  mobile service sites (Moletjie &amp; Mankweng)</t>
  </si>
  <si>
    <t xml:space="preserve">Construction of Municipal Depots in all Clusters </t>
  </si>
  <si>
    <t>T</t>
  </si>
  <si>
    <t>Facility Management- Community Development</t>
  </si>
  <si>
    <t>D</t>
  </si>
  <si>
    <t>Civic Centre refurbishment</t>
  </si>
  <si>
    <t>Renovation of municipal wide offices</t>
  </si>
  <si>
    <t>Municipal Furniture and Office Equipment</t>
  </si>
  <si>
    <t>Refurbishment of City Library and Auditorium</t>
  </si>
  <si>
    <t>Upgrading of Seshego Library</t>
  </si>
  <si>
    <t>Furniture and Equipment Molepo library</t>
  </si>
  <si>
    <t>Modular Library Dikgale</t>
  </si>
  <si>
    <t>Modular Library Bloodriver /Perskebult</t>
  </si>
  <si>
    <t>Construction of Mankweng  Traffic and Licensing Testing Centre</t>
  </si>
  <si>
    <t>Civic Centre Aircon Upgrade</t>
  </si>
  <si>
    <t>Refurbishment of Municipal Public toilets (municipal wide)</t>
  </si>
  <si>
    <t>Renovation for the dilapidated AIDS Centre</t>
  </si>
  <si>
    <t>Construction of Mankweng  Water and Sanitation Centre</t>
  </si>
  <si>
    <t>Refurbishment of Mankweng Library</t>
  </si>
  <si>
    <t>Refurbishment of Mankweng Fire Department</t>
  </si>
  <si>
    <t>Construction of the integrated Control Center (Traffic Ladanna)</t>
  </si>
  <si>
    <t>Extension of the Fire and Traffic Training Facility at Ladanna</t>
  </si>
  <si>
    <t>Extension of offices Workshop (Water, Roads and  Waste Management) at Ladanna</t>
  </si>
  <si>
    <t>Construction of new Standby Staff facility at Ladanna</t>
  </si>
  <si>
    <t>Refurbishment of Nirvana Hall</t>
  </si>
  <si>
    <t xml:space="preserve">Extension of offices at ladanna electrical workshop </t>
  </si>
  <si>
    <t>Control Centre  Services - Community Services</t>
  </si>
  <si>
    <t>Installation of CCTV cameras in boreholes (Municipal Wide)</t>
  </si>
  <si>
    <t>Access Control</t>
  </si>
  <si>
    <t>Hand held radios</t>
  </si>
  <si>
    <t xml:space="preserve">Roads &amp; Stormwater - Engineering </t>
  </si>
  <si>
    <t xml:space="preserve">Chebeng to Makweya internal streets </t>
  </si>
  <si>
    <t>MIG</t>
  </si>
  <si>
    <t>Sebayeng ring road</t>
  </si>
  <si>
    <t>Tarring of Arterial road in  SDA1 (Lithuli and Madiba park)</t>
  </si>
  <si>
    <t>Tarring Ntsime to Sefateng</t>
  </si>
  <si>
    <t>Upgrading Semenya to Matekereng</t>
  </si>
  <si>
    <t>Tarring of internal streets in  Toronto</t>
  </si>
  <si>
    <t>Upgrading Internal Street in Seshego Zone 8 and zone 2</t>
  </si>
  <si>
    <t>Upgrading of Ramongoana bus and Taxi roads</t>
  </si>
  <si>
    <t>Upgrading of Ntshitshane Road</t>
  </si>
  <si>
    <t>Upgrading of internal streets linked with Excelsior  Street in Mankweng unit A</t>
  </si>
  <si>
    <t>Upgrading of Arterial road in Ga Rampheri</t>
  </si>
  <si>
    <t>Upgrading of access roads to Maja Moshate  (Molepo Chuene Maja cluster)</t>
  </si>
  <si>
    <t>Upgrading Makanye Road (Ga-Thoka)</t>
  </si>
  <si>
    <t>Rehabilitation of streets in Seshego Cluster</t>
  </si>
  <si>
    <t>upgrading  of stormwater system in municipal area (Vuk'uphile)</t>
  </si>
  <si>
    <t>Upgrading of internal streets  in Seshego Zone 1</t>
  </si>
  <si>
    <t>Upgrading of internal streets  in Seshego Zone 2</t>
  </si>
  <si>
    <t>Upgrading of internal streets  in Seshego Zone 3</t>
  </si>
  <si>
    <t>Upgrading of internal streets  in Seshego Zone 4</t>
  </si>
  <si>
    <t>Upgrading of internal streets  in Seshego Zone 5</t>
  </si>
  <si>
    <t>Upgrading of internal streets  in Seshego Zone 6</t>
  </si>
  <si>
    <t>Upgrading of internal streets  in Seshego Zone  8</t>
  </si>
  <si>
    <t>Upgrading  of internal Streets in Mankweng unit E (Vuk'uphile)</t>
  </si>
  <si>
    <t>Traffic Lights and Signs (Municipal Wide)</t>
  </si>
  <si>
    <t>Installation of road signage (Municipal Wide)</t>
  </si>
  <si>
    <t>Upgrading of Storm Water Canal in Seshego Zone 2</t>
  </si>
  <si>
    <t>NDPG</t>
  </si>
  <si>
    <t>Seshego Hospital link - Upgrading of township road &amp; Bookelo street</t>
  </si>
  <si>
    <t>Triangle Park - landscapping and street lighting Seshego Zone 2</t>
  </si>
  <si>
    <t>Construction of Stormwater culvert and NMT Facilities Skotipola, Kgoro and Dinkwe</t>
  </si>
  <si>
    <t>ndpg</t>
  </si>
  <si>
    <t>Mohlonong to Kalkspruit upgrading of road from gravel to tar</t>
  </si>
  <si>
    <t>Lonsdale to Percy clinic via Flora upgrading of road from gravel to tar</t>
  </si>
  <si>
    <t>Upgrading of roads in Molepo/Chuene/Maja  Cluster</t>
  </si>
  <si>
    <t>Upgrading of roads in Sebayeng/Dikgale Cluster</t>
  </si>
  <si>
    <t>Upgrading of roads in Mankweng Cluster</t>
  </si>
  <si>
    <t>Upgrading of roads in Moletjie Cluster</t>
  </si>
  <si>
    <t>Upgrading of roads in Seshego  Cluster</t>
  </si>
  <si>
    <t xml:space="preserve">Construction of NMT at Magazyn Street </t>
  </si>
  <si>
    <t>KWBANK</t>
  </si>
  <si>
    <t>Upgrading of roads in Aganang Cluster</t>
  </si>
  <si>
    <t>Rehabilitation of streets in city cluster (Concession Program)</t>
  </si>
  <si>
    <t>b</t>
  </si>
  <si>
    <t>Water Supply and reticulation - Engineering</t>
  </si>
  <si>
    <t>Olifantspoort RWS (Mmotong wa Perekisi)</t>
  </si>
  <si>
    <t xml:space="preserve">Mothapo RWS </t>
  </si>
  <si>
    <t>Moletjie East RWS</t>
  </si>
  <si>
    <t>Moletjie North RWS</t>
  </si>
  <si>
    <t>Sebayeng/Dikgale RWS</t>
  </si>
  <si>
    <t>Moletjie South RWS</t>
  </si>
  <si>
    <t>Houtriver RWS phase 10</t>
  </si>
  <si>
    <t>Chuene Maja RWS phase 9</t>
  </si>
  <si>
    <t>Molepo RWS phase 10</t>
  </si>
  <si>
    <t>Laastehoop RWS phase 10</t>
  </si>
  <si>
    <t>Mankweng RWS phase 10</t>
  </si>
  <si>
    <t>Boyne RWS phase 10</t>
  </si>
  <si>
    <t xml:space="preserve"> Water Conservation &amp; Water Demand Management (Installation of Smart Meters) at Mankweng</t>
  </si>
  <si>
    <t>WSIG</t>
  </si>
  <si>
    <t>Segwasi RWS Planning</t>
  </si>
  <si>
    <t>Badimong RWS phase 10 Planning</t>
  </si>
  <si>
    <t>Extension 78 water reticulation</t>
  </si>
  <si>
    <t>Upgrading  of  laboratory at Polokwane Sewer plant</t>
  </si>
  <si>
    <t>Extension 78 sewer reticulation</t>
  </si>
  <si>
    <t xml:space="preserve">Extension 106 sewer &amp; water reticulation </t>
  </si>
  <si>
    <t>Roodeport Reservoir Construction</t>
  </si>
  <si>
    <t>Aganang RWS 1 Planning</t>
  </si>
  <si>
    <t>Aganang RWS 2</t>
  </si>
  <si>
    <t>Asbestos (AC) Pipes in Seshego, Annadale &amp; CBD</t>
  </si>
  <si>
    <t>RBIG</t>
  </si>
  <si>
    <t>Raise dam wall Dap Naude</t>
  </si>
  <si>
    <t>Upgrade of Seshego Water works</t>
  </si>
  <si>
    <t>Upgrade of Mashashane Water works</t>
  </si>
  <si>
    <t xml:space="preserve">Upgrading of pipeline from Dap to Menz </t>
  </si>
  <si>
    <t>Polokwane Water Network Upgrading (1)</t>
  </si>
  <si>
    <t>PolokwanWater Network Upgrading(2)</t>
  </si>
  <si>
    <t>Polokwane Central Groundwater development</t>
  </si>
  <si>
    <t>Asset Renewals of Water Network (CBD)</t>
  </si>
  <si>
    <t>Asset Renewals of Waste Water Network (CBD)</t>
  </si>
  <si>
    <t>Sewer Reticulation - Engineering</t>
  </si>
  <si>
    <t>bulk outfall sewers</t>
  </si>
  <si>
    <t>Regional waste Water treatment plant</t>
  </si>
  <si>
    <t>PLEDGE/RBIG</t>
  </si>
  <si>
    <t>Refurbishment of Polokwane Waste Water Treatment Works</t>
  </si>
  <si>
    <t>Plants and Equipment’s</t>
  </si>
  <si>
    <t xml:space="preserve">Energy Services - Engineering </t>
  </si>
  <si>
    <t>Illumination of public areas ( main street into ext40,and75 from Nelson Mandela Voortrekker street , Ext 40 from Matlala road, Ext 71,73</t>
  </si>
  <si>
    <t>Illumination of public areas ( High Mast lights) various rural areas</t>
  </si>
  <si>
    <t>Replacement of oil RMU with SF6/ Vacuum in Industria and Nirvana</t>
  </si>
  <si>
    <t>SCADA on RTU in Superbia &amp; Epsilon</t>
  </si>
  <si>
    <t>Replacement of overhead lines by underground  cables CBD</t>
  </si>
  <si>
    <t>Replacement of Fiber  glass enclosures in Flora, Fauna Park and NIrvana</t>
  </si>
  <si>
    <t>Planning and design New Bakone to IOTA 66KV double circuit GOAT line</t>
  </si>
  <si>
    <t>Build 66KV/Bakone substation</t>
  </si>
  <si>
    <t>Electrification Of Urban Households in Extension 78 and 40</t>
  </si>
  <si>
    <t>Design and Construct permanent distribution substation at Thornhill</t>
  </si>
  <si>
    <t>Increase NMD from ESKOM at Alpha 11KV Distribution substation</t>
  </si>
  <si>
    <t>Power factor corrections in various Municipal Substations</t>
  </si>
  <si>
    <t>Plant and Equipment</t>
  </si>
  <si>
    <t>Installation of 3x 185 mm² cables from Sterpark to Iota sub</t>
  </si>
  <si>
    <t>installation of 1 x 185 mm² cable from delta to bendor sub</t>
  </si>
  <si>
    <t>Increase license area assets</t>
  </si>
  <si>
    <t>Retrofit 66kV Relays at Gamma, Alpha &amp; Sigma Substations</t>
  </si>
  <si>
    <t>Replace 66kV Bus Bars &amp; Breakers at Gamma Substation</t>
  </si>
  <si>
    <t>Replacement of Fences at Gamma, Sigma, Alpha, Beta, Sterpark &amp; Florapark Substations (vuk'uphile)</t>
  </si>
  <si>
    <t>Upgrade Gamma Substation and install additional 20MVA transformer</t>
  </si>
  <si>
    <t>Design and Construction of New Pietersburg 11kv substation</t>
  </si>
  <si>
    <t>Install additional 95MMX11KV cable to complete a ring in Debron to Koppiesfontein</t>
  </si>
  <si>
    <t>Supply power to new Pietersburg substation</t>
  </si>
  <si>
    <t>Replacement of undersized XLPE cables with PILCSTAcable in Nirvana &amp; CBD</t>
  </si>
  <si>
    <t>Construction of new 66 KV Substations as per master plan in Tweefontein</t>
  </si>
  <si>
    <t>Construction of new 66 KV Lines as per master plan in Tweefontein</t>
  </si>
  <si>
    <t>Design and Construction of new 11 KV Substations to strengthern capacity in Johnson Park</t>
  </si>
  <si>
    <t>Installation of 11KV cables to new substations</t>
  </si>
  <si>
    <t>Installation of Check Meters at Main substations</t>
  </si>
  <si>
    <t>Installation of power banks at Main substations</t>
  </si>
  <si>
    <t>Lowering Pole mount boxes to ground mounted in Westernburg, Zone 1 Zone8, Zone5,  Ext 71,73,75,9A, 9L</t>
  </si>
  <si>
    <t>Power Generation (SSEG) at Municipal Buildings</t>
  </si>
  <si>
    <t>Disaster and Fire - Community Services</t>
  </si>
  <si>
    <t>Acquisition of fire Equipment</t>
  </si>
  <si>
    <t>6 floto pumps</t>
  </si>
  <si>
    <t>10 Largee bore hoses with stotz coupling</t>
  </si>
  <si>
    <t>150X 80 Fire hoses with instantaneous couplings</t>
  </si>
  <si>
    <t>Miscellaneous equipment and gear</t>
  </si>
  <si>
    <t>Planning for extension of fire training Centre</t>
  </si>
  <si>
    <t>3 Heavy hydraulic equipment</t>
  </si>
  <si>
    <t>4 portable pump</t>
  </si>
  <si>
    <t>16 x Multipurpose branches Monitors</t>
  </si>
  <si>
    <t>Traffic  &amp; Licencing - Community Services</t>
  </si>
  <si>
    <t xml:space="preserve">Purchase alcohol testers </t>
  </si>
  <si>
    <t>Upgrading of logistics offices</t>
  </si>
  <si>
    <t>Upgrading- Traffic Auditorium, parade room and Training Facility</t>
  </si>
  <si>
    <t>Upgrading of  city vehicle test station</t>
  </si>
  <si>
    <t xml:space="preserve">Procurement of AARTO equipments </t>
  </si>
  <si>
    <t>Procurement of office cleaning equipment’s</t>
  </si>
  <si>
    <t>Computerized Learners license</t>
  </si>
  <si>
    <t>Procurement of 2 X Metro counters (law enforcement)</t>
  </si>
  <si>
    <t>Procurement of 7 X Pro-laser 4 Speed equipment’s</t>
  </si>
  <si>
    <t>Environmental Health  - Community Services</t>
  </si>
  <si>
    <t>Vehicle exhaust gas analysis</t>
  </si>
  <si>
    <t>Environmental Management - Community Services</t>
  </si>
  <si>
    <t>Grass cutting equipment’s</t>
  </si>
  <si>
    <t>Development of a Botanical garden(Protected area Ster park)</t>
  </si>
  <si>
    <t>Development of a park at Ext 44 and 76</t>
  </si>
  <si>
    <t xml:space="preserve">Upgrading of Tom Naude Park   </t>
  </si>
  <si>
    <t>Zone 4 Park Expansion  Phase 2</t>
  </si>
  <si>
    <t>Upgrading of Security at Game Reserve</t>
  </si>
  <si>
    <t>Upgrading of Environmental Education Centre</t>
  </si>
  <si>
    <t>Construction of ablution facilities at Tom Naude Park</t>
  </si>
  <si>
    <t xml:space="preserve">Development of Ablution facilities  at  Various Municipal Parks </t>
  </si>
  <si>
    <t>Animal Pound</t>
  </si>
  <si>
    <t>Upgrading of Ga- Kgoroshi community centre</t>
  </si>
  <si>
    <t xml:space="preserve"> Development of  regional/ cluster parks </t>
  </si>
  <si>
    <t xml:space="preserve"> Development of  regional/ cluster cemeteries </t>
  </si>
  <si>
    <t>Waste Management - Community Services</t>
  </si>
  <si>
    <t>30 m3 skip containers</t>
  </si>
  <si>
    <t>Extension of landfill site(weltevrede)</t>
  </si>
  <si>
    <t>Extension of offices(Ladanna)</t>
  </si>
  <si>
    <t>Rural transfer station ( Sengatane)</t>
  </si>
  <si>
    <t>Rural transfer station (Dikgale)</t>
  </si>
  <si>
    <t>Rural transfer Station(Makotopong)</t>
  </si>
  <si>
    <t>770 L Refuse Containers</t>
  </si>
  <si>
    <t>240 litre bins</t>
  </si>
  <si>
    <t>6 &amp;9 M3 Skip containers</t>
  </si>
  <si>
    <t>Sport &amp; Recreation - Community Development</t>
  </si>
  <si>
    <t>Construction of an RDP Combo Sport Complex at Molepo Area- 2</t>
  </si>
  <si>
    <t>Construction of Mankweng Sport facility-2</t>
  </si>
  <si>
    <t>Sport stadium in Ga-Maja</t>
  </si>
  <si>
    <t>EXT 44/77 Sports and Recreation Facility</t>
  </si>
  <si>
    <t>Grass Cutting equipment</t>
  </si>
  <si>
    <t>Upgrading of  Mankweng Stadium-roadworks</t>
  </si>
  <si>
    <t>Upgrading of Tibane  Stadium</t>
  </si>
  <si>
    <t>Rehabilitation of Swimming Pool</t>
  </si>
  <si>
    <t xml:space="preserve"> Upgrading of Mohlonong Stadium</t>
  </si>
  <si>
    <t>Security Services - Community Services</t>
  </si>
  <si>
    <t>Walk through metal detector</t>
  </si>
  <si>
    <t>Upgrading of offices at Itsoseng for Security Services</t>
  </si>
  <si>
    <t>Supply and installation of Safes</t>
  </si>
  <si>
    <t>Supply and installation of Guard tracking devices</t>
  </si>
  <si>
    <t>Supply and delivery of  guard houses</t>
  </si>
  <si>
    <t>Cultural Services - Community Development</t>
  </si>
  <si>
    <t>Collection development - Books</t>
  </si>
  <si>
    <t>New Exhibition Irish House</t>
  </si>
  <si>
    <t>Information Services - Corporate and Shared Services</t>
  </si>
  <si>
    <t>Provision of Laptops, PCs and Peripheral Devices</t>
  </si>
  <si>
    <t>Implementation  of ICT Strategy</t>
  </si>
  <si>
    <t>Network Upgrade</t>
  </si>
  <si>
    <t>City Planning - Planning and Economic Development</t>
  </si>
  <si>
    <t>Township establishment-Farm Volgestruisfontein 667 LS</t>
  </si>
  <si>
    <t>Township establishment - Nirvana</t>
  </si>
  <si>
    <t>Township establishment-Portion 74 and 75 of Ivy Dale Agricultural Holdings</t>
  </si>
  <si>
    <t xml:space="preserve">Integrated feasibility studies for logistics and Industrial hub </t>
  </si>
  <si>
    <t>Installation of engineering  services at Polokwane extension 108, 72, 78, 79, 106, 107, 126, 127, 133, 134, 121, Nivarna x5, southern gateway x1 and Ivy Park 35 (water, electricity, sewerage network and roads)</t>
  </si>
  <si>
    <t>Acquisition of land</t>
  </si>
  <si>
    <t>Upgrading of the R293 area Townships</t>
  </si>
  <si>
    <t xml:space="preserve"> GIS  - Planning and Economic Development</t>
  </si>
  <si>
    <t xml:space="preserve">Procurement of a drone for aerial imagery </t>
  </si>
  <si>
    <t>LED - Planning and Economic Development</t>
  </si>
  <si>
    <t>Transport Operations(IPRTS)- Transport and Services</t>
  </si>
  <si>
    <t>Implementation of IRPTS Infrastructure</t>
  </si>
  <si>
    <t>PTISG</t>
  </si>
  <si>
    <t>AFC</t>
  </si>
  <si>
    <t>PTNG</t>
  </si>
  <si>
    <t>PTMS</t>
  </si>
  <si>
    <t>Buses</t>
  </si>
  <si>
    <t>Control Centre</t>
  </si>
  <si>
    <t>Infrastructure</t>
  </si>
  <si>
    <t>Upgrad &amp; constr of Trunk route 108/2017</t>
  </si>
  <si>
    <t>Construction of bus depot Civil works 108/2017</t>
  </si>
  <si>
    <t>Construction of bus station Civil works  108/2017</t>
  </si>
  <si>
    <t>Daytime lay-over 108/2017</t>
  </si>
  <si>
    <t>CBD Transit Mall 108/2017</t>
  </si>
  <si>
    <t>Construction &amp; provision of Depot Upper structures</t>
  </si>
  <si>
    <t>Construction &amp; provision of Station Upperstructures</t>
  </si>
  <si>
    <t>Refurbishment of Daytime Layover Buildings</t>
  </si>
  <si>
    <t>OHS Management</t>
  </si>
  <si>
    <t>Environmental Management Seshego &amp; SDA1</t>
  </si>
  <si>
    <t>Environmental Management in Polokwane City</t>
  </si>
  <si>
    <t xml:space="preserve">Compensation </t>
  </si>
  <si>
    <t>Acquisition of buses</t>
  </si>
  <si>
    <t>PTISG Pledge</t>
  </si>
  <si>
    <t>Supply Chain Management - Budget and Treasury Services</t>
  </si>
  <si>
    <t>Upgrading of stores</t>
  </si>
  <si>
    <t>GT</t>
  </si>
  <si>
    <t>Municipal Infrastructure Grant</t>
  </si>
  <si>
    <t>Public Transport Network Grant</t>
  </si>
  <si>
    <t>PTIG</t>
  </si>
  <si>
    <t>Neighbourhood Development Grant</t>
  </si>
  <si>
    <t>Water Services Infrastructure Grant</t>
  </si>
  <si>
    <t>Regional Bulk Infrastructure Grant</t>
  </si>
  <si>
    <t>Total DoRA Allocations</t>
  </si>
  <si>
    <t>PTIG Pledge</t>
  </si>
  <si>
    <t>Donation</t>
  </si>
  <si>
    <t>KFWbank</t>
  </si>
  <si>
    <t>RBIG Pledge</t>
  </si>
  <si>
    <t>RBIG/PLEDGE</t>
  </si>
  <si>
    <t>TOTAL FUNDING</t>
  </si>
  <si>
    <t>INTRODUCTION</t>
  </si>
  <si>
    <t xml:space="preserve">In terms of the Local Government: Municipal Finance Management Act, Act 56 of 2003, Section 69(3)(a) states that the Accounting Officer must no later than 14 days after the approval of an annual budget submit to the mayor a draft service delivery and budget implementation plan for the budget year. And further section 53 (1) (c) (ii)  states that a Mayor of the Municipality must approve the service delivery and budget implementation plan of the municipality within 28 days after the approval of the final budget. 
MFMA Circular 13 of 2005 gives effect to the provisions of Section 53 (1) (c)(ii) of the Local Government: Municipal Finance Management Act. The Circular states that the Service Delivery and Budget Implementation Plan give effect to the Integrated Development Plan and the Budget of the Municipality. It provides a vital link and alignment between the Integrated Development and the Budget of the Municipality.
</t>
  </si>
  <si>
    <t>LEGISLATION FRAMEWORK</t>
  </si>
  <si>
    <t xml:space="preserve">Section 1 of the Local Government: Municipal Finance Management Act, Act 56 of 2003 defines the Service Delivery and Budget Implementation Plan as:
“a detailed plan approved by the mayor of a municipality in terms of section 53 (1) (c) (ii) for implementing the municipality’s delivery of services and the execution of its annual budget and which must include (as part of the top-layer) the following:
(a) Projections for each month of – 
(i) Revenue to be collected by source; and 
(ii) Operational and capital expenditure, by vote
(b) Service delivery targets and performance indicators for each quarter”
Section 69 (3) (a) of the MFMA requires the accounting officer to submit a draft to the mayor no later than 14 days after the approval of the budget and drafts of the performance agreements as required in terms of Section 57 (1) (b) of the Municipal Systems Act.
Section 53 (1) (c) requires that a municipality’s Service Delivery and Budget Implementation Plan be approved by the Mayor within 28 days after the approval of the budget.
The mayor must ensure that the revenue and expenditure projection for each month and the service delivery targets and performance indicators as set out in the SDBIP are made public with 14 days after approval. The SDBIP may be revised at lower layers of the plan by the municipal manager and directors taking into consideration each months or quarterly actual performance. The top-layer SDBIP and its targets cannot be revised without notifying council, any changes to the top-layer SDBIP targets, performance indicators must be approved by council following the adjustment budget in terms of section 54 (1) (c) of the MFMA. The council approval is meant to avoid a situation where service delivery targets may be revised downwards in the event of poor performance. 
</t>
  </si>
  <si>
    <t>SDBIP METHODOLOGY</t>
  </si>
  <si>
    <t xml:space="preserve">The IDP objectives need to be quantified and translated into key performance indicators. The budget is then aligned to the objectives, projects and activities to enable the SDBIP to serve as a monitoring tool for service delivery.
The SDBIP is a layered plan that comprises the top layer as well as the lower layer SDBIP. The top layer deals with consolidated service delivery targets and time frames for top management, whereas the lower layer consists of detailed outputs that are broken down into smaller outputs and then linked and assigned to middle and lower managers.
The following are the minimum required components of a top-layer SDBIP:
(a) Monthly projections of revenue to be collected for each source
(b) Monthly projections of expenditure (operating and capital) and revenue for each vote
(c) Quarterly projections of service delivery targets and performance indicators for each vote
(d) Ward information for expenditure and service delivery
(e) Detailed capital works plan broken down by ward over three years
The diagram below shows the process for approving the SDBIP including how the departmental SDBIPs roll up into the draft SDBIP:
</t>
  </si>
  <si>
    <t>POLOKWANE MUNICIPALITY STRATEGIC INTENT AND OBJECTIVES</t>
  </si>
  <si>
    <t>POLOKWANE MUNICIPALITY’S IDP STRATEGIC OBJECTIVES</t>
  </si>
  <si>
    <t>SERVICE DELIVERY AND BUDGET IMPLEMENTATION PLAN REPORTING CYCLE</t>
  </si>
  <si>
    <t xml:space="preserve">The Service Delivery and Budget Implementation Plan is a management tool that will be used by the Executive Management Committee to monitor institutional performance, departmental performance, SBU performance and individual performance of employees. The Service Delivery and Budget Implementation Plan will be used by Mayoral Committee and Council to play oversight on the performance of the municipality and will be used as the basis of reporting municipal performance to the community of Polokwane and all interested stakeholders. It will serve as a early warning system for poor performance and will allow for timeous intervention to correct poor performance.
The reporting cycle of this Service Delivery and Budget Implementation Plan is aligned to the Council approved PMS Framework and the PMS Policy. Reporting will be done:
</t>
  </si>
  <si>
    <t>SDBIP APPROVAL</t>
  </si>
  <si>
    <t>n/a</t>
  </si>
  <si>
    <t>na</t>
  </si>
  <si>
    <t>36.25</t>
  </si>
  <si>
    <t>Council Approved Delegation of Powers</t>
  </si>
  <si>
    <t>Council Meeting Notices, Agenda and Minutes</t>
  </si>
  <si>
    <t>Ward AIDS Council Reports and Establishment Notice</t>
  </si>
  <si>
    <t>Approved Internal and External AG Tracking Register</t>
  </si>
  <si>
    <t>Council Approved Annual Internal Audit Plan for 2018/19</t>
  </si>
  <si>
    <t>Audit Committee Notices, Agendas and Minutes</t>
  </si>
  <si>
    <t>Ward Committee Reports, Mihutes and Notices of meetings</t>
  </si>
  <si>
    <t>Council Resolutions on Ward Committee Reports</t>
  </si>
  <si>
    <t>Risk Awareness Campaigns notices and Attendance Registers</t>
  </si>
  <si>
    <t>Reviewed and Approved Risk Register</t>
  </si>
  <si>
    <t xml:space="preserve">Risk Management Notices, Agenda and  Minutes </t>
  </si>
  <si>
    <t>GRAP Compliant Asset Register</t>
  </si>
  <si>
    <t>LLF Notices, Agendas, Minutes and Attendance Registers</t>
  </si>
  <si>
    <t>Council Approved Long Term Asset Plan</t>
  </si>
  <si>
    <t>Council Approved Corporate Calendar of meetings. Portfolio Committee Notices, Agendas, Minutes and Attendance Registers</t>
  </si>
  <si>
    <t>Council Approved Corporate Calendar of meetings. Mayoral Committee notices, Agendas, and Attendance Registers</t>
  </si>
  <si>
    <t>Council Approved Oversight Report on the 2017/18 Annual Report</t>
  </si>
  <si>
    <t>Council Resolution on Quarterly Performance Reports and Quarterly Reports</t>
  </si>
  <si>
    <t>Council Resolution on Draft Annual Report for 2017/18 financial year</t>
  </si>
  <si>
    <t>Council Resolution on the 2019/20 Final IDP</t>
  </si>
  <si>
    <t>IDP, Budget and PMS Steering Committee Notices and Agenda, Minutes and Attendance Registers</t>
  </si>
  <si>
    <t>Council Resolution on IDP, Budget and PMS Process Plan</t>
  </si>
  <si>
    <t>IDP Rep Forum Notices, Agenda and Attendance Registers</t>
  </si>
  <si>
    <t>Signed and Dated WSP</t>
  </si>
  <si>
    <t>Submission letter and Signed EE Plan</t>
  </si>
  <si>
    <t>Register of External Students with the ID numbers and bursaries enrolled for, Bursary Contracts</t>
  </si>
  <si>
    <t>List of Students and their details with the names of internships awarded to them</t>
  </si>
  <si>
    <t>Code of Conduct Training Notice, Attendance Register</t>
  </si>
  <si>
    <t>OHS Audit Report</t>
  </si>
  <si>
    <t>Executive Management Approved AG Audit Action Plan for the 2017/18 AG Report</t>
  </si>
  <si>
    <t>Mscoa Compliant Report from National Treasury</t>
  </si>
  <si>
    <t>Invest Report</t>
  </si>
  <si>
    <t>Revenue Report</t>
  </si>
  <si>
    <t xml:space="preserve">Indigent Register and details of Indigent Benefiaries </t>
  </si>
  <si>
    <t>Demand Management Plan and Appointment letters</t>
  </si>
  <si>
    <t>Quarterly Capital Implementatiion Report</t>
  </si>
  <si>
    <t>MFMA S71 Report</t>
  </si>
  <si>
    <t>MFMA S71 Report, Debtors Age Analysis Report</t>
  </si>
  <si>
    <t>Expenditure Report</t>
  </si>
  <si>
    <t>Promote the creation of sustainable jobs</t>
  </si>
  <si>
    <t>Skills audit and training of SMMEs</t>
  </si>
  <si>
    <t>Economic Development</t>
  </si>
  <si>
    <t xml:space="preserve">Reports and Attandace register </t>
  </si>
  <si>
    <t>List of SMME incubated and the programme attended. Reports on SMME Incubation</t>
  </si>
  <si>
    <t>Copy of EPWP Job Creation report submitted to DPW</t>
  </si>
  <si>
    <t>Exhibition reports</t>
  </si>
  <si>
    <t>List of tourism operators offered support and the programme attended. Reports on SMME</t>
  </si>
  <si>
    <t>List of street traders capacited and program attended. Reports</t>
  </si>
  <si>
    <t xml:space="preserve">Progress reports and Completion certificates </t>
  </si>
  <si>
    <t xml:space="preserve">Electricity reduction assesment report </t>
  </si>
  <si>
    <t>Fleet reports</t>
  </si>
  <si>
    <t>Pictures, Report and minutes</t>
  </si>
  <si>
    <t xml:space="preserve">Food premises and outlets) Inspections reports </t>
  </si>
  <si>
    <t>Waste Management Monthly reports, Waste Management Operational Routes, Equipments and Staff employed to collect waste.</t>
  </si>
  <si>
    <t xml:space="preserve">Reviewed and approved Disaster Management Plan, Council resolution and minutes </t>
  </si>
  <si>
    <t xml:space="preserve">Progress reports </t>
  </si>
  <si>
    <t>Invitation, Agenda and Minutes</t>
  </si>
  <si>
    <t>Project Number</t>
  </si>
  <si>
    <t>Key Performance Area</t>
  </si>
  <si>
    <t>Polokwane Strategic Objective (IDP Objective)</t>
  </si>
  <si>
    <t xml:space="preserve">Project Name/Description </t>
  </si>
  <si>
    <t>Type of Project - New/Renewal</t>
  </si>
  <si>
    <t>Project Location</t>
  </si>
  <si>
    <t>Ward No.</t>
  </si>
  <si>
    <t>Project Owner</t>
  </si>
  <si>
    <t>Sources of Funding</t>
  </si>
  <si>
    <t>Implementing Agent</t>
  </si>
  <si>
    <t>Original Budget</t>
  </si>
  <si>
    <t xml:space="preserve">Quarterly Project Implementation Milestones </t>
  </si>
  <si>
    <t>Annual Project Output (30 June 2019)</t>
  </si>
  <si>
    <t>PoE (Evidence to verify Performance</t>
  </si>
  <si>
    <t>Improved efficiency and effectiveness of Municipal administration</t>
  </si>
  <si>
    <t>Clusters</t>
  </si>
  <si>
    <t xml:space="preserve">Director SPME </t>
  </si>
  <si>
    <t>Total Clusters - SPME</t>
  </si>
  <si>
    <t>Basic Service Delivery</t>
  </si>
  <si>
    <t>Increased access to municipal services to all households</t>
  </si>
  <si>
    <t xml:space="preserve">Infrastructure/Facility Maintenance </t>
  </si>
  <si>
    <t>Director Community development</t>
  </si>
  <si>
    <t>Library Dikgale</t>
  </si>
  <si>
    <t>Library Bloodriver /Perskebult</t>
  </si>
  <si>
    <t>Total Facility Management- Community Development</t>
  </si>
  <si>
    <t>Improved social protection and education outcomes</t>
  </si>
  <si>
    <t>Security Services</t>
  </si>
  <si>
    <t>Installation of CCTV cameras</t>
  </si>
  <si>
    <t xml:space="preserve">Director Community Services </t>
  </si>
  <si>
    <t>Total Control Centre  Services - Community Services</t>
  </si>
  <si>
    <t>Roads and Stormwater</t>
  </si>
  <si>
    <t>Makweya</t>
  </si>
  <si>
    <t xml:space="preserve">Director Engineering </t>
  </si>
  <si>
    <t>Polokwane Municipality</t>
  </si>
  <si>
    <t>Construction of Layer works and drainage system</t>
  </si>
  <si>
    <t>Finalizing layer works and Surfacin, cleaning of site.</t>
  </si>
  <si>
    <t>Project completion</t>
  </si>
  <si>
    <t>Completion of Chebeng to Makweya road</t>
  </si>
  <si>
    <t>Appointment letter, Project progress report, Payment certificate, Completion certificate</t>
  </si>
  <si>
    <t>Sebayeng</t>
  </si>
  <si>
    <t>Completion of Sebayeng road phase 3</t>
  </si>
  <si>
    <t>Lithuli</t>
  </si>
  <si>
    <t>Appointment of contractor and site establishment</t>
  </si>
  <si>
    <t>Multiyear project. Completion of phase 1</t>
  </si>
  <si>
    <t>Ntsime</t>
  </si>
  <si>
    <t>project completion</t>
  </si>
  <si>
    <t>Completion of Ntsima to Sefateng road phase 3</t>
  </si>
  <si>
    <t>Semenya</t>
  </si>
  <si>
    <t>Completion of Semenya to Matekereng road phase 3</t>
  </si>
  <si>
    <t>Moletjie cluster</t>
  </si>
  <si>
    <t>Appointmnet of consultant</t>
  </si>
  <si>
    <t>Scoping report</t>
  </si>
  <si>
    <t>Prelimenary report and Detailed design report</t>
  </si>
  <si>
    <t>Tender advert</t>
  </si>
  <si>
    <t>Tender advert of project</t>
  </si>
  <si>
    <t xml:space="preserve">Upgrading Internal Street in Seshego Zone 8 </t>
  </si>
  <si>
    <t>Zone 8</t>
  </si>
  <si>
    <t>Appointment of a Contractor,Site establishment and road bed preparartions</t>
  </si>
  <si>
    <t>Finalizing layer works and Surfacing, cleaning of site.</t>
  </si>
  <si>
    <t>Completion of Street in Zone 8</t>
  </si>
  <si>
    <t>Ramongwana</t>
  </si>
  <si>
    <t>Completion of Ramongwana road phase 3</t>
  </si>
  <si>
    <t>Ntshitshane</t>
  </si>
  <si>
    <t>Completion of Ntshitshane road phase 3</t>
  </si>
  <si>
    <t>Toronto</t>
  </si>
  <si>
    <t>Completion of Toronto road phase 3</t>
  </si>
  <si>
    <t>unit E</t>
  </si>
  <si>
    <t>Handover of site to Learner contractors, site establishment and roadbed preparations</t>
  </si>
  <si>
    <t>Completion of Street in Mankweng</t>
  </si>
  <si>
    <t>Mankweng</t>
  </si>
  <si>
    <t>Completion of Street linked to Excelsior Strret</t>
  </si>
  <si>
    <t xml:space="preserve">Makanye </t>
  </si>
  <si>
    <t>construction of Layer works and drainage system</t>
  </si>
  <si>
    <t>Completion of road in Makanye</t>
  </si>
  <si>
    <t>Rampheri</t>
  </si>
  <si>
    <t>Completion of road in Rampheri</t>
  </si>
  <si>
    <t>Chuene</t>
  </si>
  <si>
    <t>Completion of road in Maja Moshate</t>
  </si>
  <si>
    <t>municipal wide</t>
  </si>
  <si>
    <t>Handover of site to Learner contractors, site establishment and excavations</t>
  </si>
  <si>
    <t>Excavations and pipe laying of stormwater units</t>
  </si>
  <si>
    <t>Finalising of concrete works and cleaning</t>
  </si>
  <si>
    <t>Completion of stormwater culverts</t>
  </si>
  <si>
    <t>Seshego Cluster</t>
  </si>
  <si>
    <t>Handover of site to Learner contractors, site establishment and setting out</t>
  </si>
  <si>
    <t xml:space="preserve">Removal and excavation of existing pavement material </t>
  </si>
  <si>
    <t>Repair base failure and surface failure  and new asphalt surfacing</t>
  </si>
  <si>
    <t>Completion of identified street</t>
  </si>
  <si>
    <t>Zone 1</t>
  </si>
  <si>
    <t>Appointment of contractor and site establishment  and roadbed preparations</t>
  </si>
  <si>
    <t>Completion of Street in Zone 1</t>
  </si>
  <si>
    <t>Upgrading Internal Streets in Seshego Zone2</t>
  </si>
  <si>
    <t>Zone 2</t>
  </si>
  <si>
    <t>Completion of Street in Zone 2</t>
  </si>
  <si>
    <t>Triangle Park- land scaping and street lighting Seshego Zone 2</t>
  </si>
  <si>
    <t>Appointment of contractor and site establishment  and clearing of site</t>
  </si>
  <si>
    <t>Construction of fence, installation of lighting,  walkways and grassing.</t>
  </si>
  <si>
    <t>Installation of jungle gyms, outdoor gym and lanscaping.</t>
  </si>
  <si>
    <t>Completion of the triangle park</t>
  </si>
  <si>
    <t>Zone 3</t>
  </si>
  <si>
    <t>Completion of Street in Zone 3</t>
  </si>
  <si>
    <t>Zone 4</t>
  </si>
  <si>
    <t>Completion of Street in Zone 4</t>
  </si>
  <si>
    <t>Zone 5</t>
  </si>
  <si>
    <t>Completion of Street in Zone 5</t>
  </si>
  <si>
    <t>Seshego zone  8</t>
  </si>
  <si>
    <t>Seshego Hospital link-Upgrading of township road &amp; Bookelo street</t>
  </si>
  <si>
    <t>Seshego Zone 2</t>
  </si>
  <si>
    <t>Completion of Seshego Hospital Link</t>
  </si>
  <si>
    <t>Construction of stormwater culvert and NMT facilities between skotipola, kgoro and dinkwe</t>
  </si>
  <si>
    <t>Trench excavations for electrical works, cabling, streetlighting, block paving</t>
  </si>
  <si>
    <t xml:space="preserve">Landscaping and finishing off and clearing </t>
  </si>
  <si>
    <t>Completion of Construction of stormwater culvert and NMT facilities between skotipola, kgoro and dinkwe</t>
  </si>
  <si>
    <t xml:space="preserve"> Detailed design stage and tender advert</t>
  </si>
  <si>
    <t>Appointment of contractor, Site establishment and exposing exising services</t>
  </si>
  <si>
    <t>Erection of 1 new signalised traffic lights, and Concret footings for traffic lights and road signs</t>
  </si>
  <si>
    <t>Installation of road signage as and when required</t>
  </si>
  <si>
    <t>Mohlonong</t>
  </si>
  <si>
    <t>Completion of Mohlonong to Kalkspruit upgrading of road from gravel to tar</t>
  </si>
  <si>
    <t>Rehabilitation of streets in Municipal Wide(Concession Program)</t>
  </si>
  <si>
    <t>LOAN</t>
  </si>
  <si>
    <t>Detailed design and appointment of contractor</t>
  </si>
  <si>
    <t>Site establishment and identification of existing services</t>
  </si>
  <si>
    <t>Polokwane Drive- upgrade from single to dual carriage way</t>
  </si>
  <si>
    <t>Appointment of contractor and site establishment and roadbed preparations</t>
  </si>
  <si>
    <t>Continuation of Construction of Layer works and drainage system</t>
  </si>
  <si>
    <t>Installation of electrical works</t>
  </si>
  <si>
    <t>Project is a multiyear</t>
  </si>
  <si>
    <t>Construction of NMT at Ditlou Str, Freedom Str. Zondi Str, Kgoro, Realeboga and Braam</t>
  </si>
  <si>
    <t xml:space="preserve">Finalising the Construction of layerworks and block paving </t>
  </si>
  <si>
    <t>Completion  of NMT at Ditlou Str, Freedom Str. Zondi Str, Kgoro, Realeboga and Braam</t>
  </si>
  <si>
    <t>Construction of NMT at Magazyn Street and Vermekuwet</t>
  </si>
  <si>
    <t>CBD</t>
  </si>
  <si>
    <t>KFWBANK</t>
  </si>
  <si>
    <t>Preliminary and detailed design stage</t>
  </si>
  <si>
    <t xml:space="preserve">Construction of layerworks and block paving </t>
  </si>
  <si>
    <t>Finalising the Construction of layerworks and block paving . Project completion</t>
  </si>
  <si>
    <t>completion of NMT at Magazyn Street</t>
  </si>
  <si>
    <t xml:space="preserve">Total Roads &amp; Stormwater - Engineering </t>
  </si>
  <si>
    <t>Water Supply and Reticulation Programme</t>
  </si>
  <si>
    <t>Polokwane Groundwater development</t>
  </si>
  <si>
    <t>Total Water Supply and reticulation - Engineering</t>
  </si>
  <si>
    <t>Total Sewer Reticulation - Engineering</t>
  </si>
  <si>
    <t>Electrification/Energy Programme</t>
  </si>
  <si>
    <t>Ext 40 and 75</t>
  </si>
  <si>
    <t>Advertise bid, evaluate and appoint contractor</t>
  </si>
  <si>
    <t>Execute the work</t>
  </si>
  <si>
    <t>Test, commissioning and switching on</t>
  </si>
  <si>
    <t>50 street lights installed in the area</t>
  </si>
  <si>
    <t>Adverts, appointment letters, SLAs, payment certificate</t>
  </si>
  <si>
    <t>Municipal wide</t>
  </si>
  <si>
    <t>11 High Mast lights installed</t>
  </si>
  <si>
    <t>Superbia</t>
  </si>
  <si>
    <t>Appointment of Contractor, site handover and site establishment.</t>
  </si>
  <si>
    <t>66KV substation connected to SCADA t</t>
  </si>
  <si>
    <t>Appointment letters, adverts, payment certificate, completion certificate</t>
  </si>
  <si>
    <t>Flora, Fauna and Nirvana</t>
  </si>
  <si>
    <t>300 meter box enclosures replaced</t>
  </si>
  <si>
    <t>Requisitions, invoices, job cards</t>
  </si>
  <si>
    <t>Bakone SS</t>
  </si>
  <si>
    <t>Quotations for servitudes, minutes, payment certificates</t>
  </si>
  <si>
    <t xml:space="preserve">Minutes of meetings, Progress report,  payment certificates, </t>
  </si>
  <si>
    <t>Ext 78 and 40</t>
  </si>
  <si>
    <t>Appointment letters, minutes, payment certificates.</t>
  </si>
  <si>
    <t>Thornhill</t>
  </si>
  <si>
    <t>Consultant appointment, development of bid document and advertise</t>
  </si>
  <si>
    <t>Evaluate and appoint contractor, site handover and site establishment.</t>
  </si>
  <si>
    <t>Gamma SS</t>
  </si>
  <si>
    <t>Various Sub Stations</t>
  </si>
  <si>
    <t>New Pietersburg</t>
  </si>
  <si>
    <t>Westernburg, Zone 1 Zone8, Zone5,  Ext 71,73,75,9A, 9L</t>
  </si>
  <si>
    <t xml:space="preserve">Total Energy Services - Engineering </t>
  </si>
  <si>
    <t>Disaster and Fire Programme</t>
  </si>
  <si>
    <t>Total Disaster and Fire - Community Services</t>
  </si>
  <si>
    <t>Traffic and Licensing</t>
  </si>
  <si>
    <t>Total Traffic  &amp; Licencing - Community Services</t>
  </si>
  <si>
    <t>Improved provision of basic and environmental services in a sustainable way to our communities</t>
  </si>
  <si>
    <t>Environmental Management</t>
  </si>
  <si>
    <t>Total Environmental Management - Community Services</t>
  </si>
  <si>
    <t>Rural transfer Station Planning (Molepo)</t>
  </si>
  <si>
    <t>Total Waste Management - Community Services</t>
  </si>
  <si>
    <t>Sport &amp; Recreation</t>
  </si>
  <si>
    <t xml:space="preserve">Director Community Development </t>
  </si>
  <si>
    <t>Sebayeng/Dikgale Sports Complex (Planning)</t>
  </si>
  <si>
    <t>Rehabilitation of Swimming Pool to be commercialized</t>
  </si>
  <si>
    <t>Total Sport &amp; Recreation - Community Development</t>
  </si>
  <si>
    <t>Director Community Development</t>
  </si>
  <si>
    <t>Total Security Services - Community Services</t>
  </si>
  <si>
    <t>ICT Programme</t>
  </si>
  <si>
    <t xml:space="preserve">Director Corporate and Shared Services </t>
  </si>
  <si>
    <t>Total Information Services - Corporate and Shared Services</t>
  </si>
  <si>
    <t>Spatial Rationale</t>
  </si>
  <si>
    <t>Increased economic growth ,job creation and Sustainable human settlement</t>
  </si>
  <si>
    <t>Human Settlement/City Planning</t>
  </si>
  <si>
    <t xml:space="preserve">Director Planning and Economic Development </t>
  </si>
  <si>
    <r>
      <t xml:space="preserve">Township establishment  at  portion 151-160 of the </t>
    </r>
    <r>
      <rPr>
        <b/>
        <sz val="10"/>
        <rFont val="Calibri"/>
        <family val="2"/>
      </rPr>
      <t>Farm Sterkloop</t>
    </r>
    <r>
      <rPr>
        <sz val="10"/>
        <rFont val="Calibri"/>
        <family val="2"/>
      </rPr>
      <t xml:space="preserve"> 688 LS for PHA mixed land use</t>
    </r>
  </si>
  <si>
    <t>Planning for Installation of engineering  services at Polokwane extension 108, 72, 78, 79, 106, 107, 126, 127, 133, 134, 121, Nivarna x5, southern gateway x1 and Ivy Park 35 (water, electricity, sewerage network and roads)</t>
  </si>
  <si>
    <t>Total City Planning - Planning and Economic Development</t>
  </si>
  <si>
    <t>Transportation Services</t>
  </si>
  <si>
    <t xml:space="preserve">Director Transportation Services </t>
  </si>
  <si>
    <t>Compensation</t>
  </si>
  <si>
    <t>PT facility upgrade</t>
  </si>
  <si>
    <t>Upgrad &amp; constr of Trunk route 108/2017 WP1</t>
  </si>
  <si>
    <t>PTNG Pledge</t>
  </si>
  <si>
    <t>Construction of bus depot Civil works 108/2017 WP3</t>
  </si>
  <si>
    <t>Construction of bus station Civil works  108/2017 WP4</t>
  </si>
  <si>
    <t xml:space="preserve">PTNG </t>
  </si>
  <si>
    <t>Daytime lay-over 108/2017 WP2</t>
  </si>
  <si>
    <t>CBD Transit Mall 108/2017 WP4</t>
  </si>
  <si>
    <t>OHS Management Rev2Light</t>
  </si>
  <si>
    <t xml:space="preserve">Environmental Management Seshego &amp; SDA1 </t>
  </si>
  <si>
    <t xml:space="preserve">Environmental Management in Polokwane City </t>
  </si>
  <si>
    <t>Upgrade &amp; rehab of Trunk Ext in Seshego &amp; SDA1 109/2017</t>
  </si>
  <si>
    <t>Rehabilitation of Feeder Routes in Polokwane 110/2017</t>
  </si>
  <si>
    <t>Total Transport Operations(IPRTS)- Transport and Services</t>
  </si>
  <si>
    <t>Supply chain management</t>
  </si>
  <si>
    <t xml:space="preserve">Chief Financial Officer </t>
  </si>
  <si>
    <t>Total Supply Chain Management - Budget and Treasury Services</t>
  </si>
  <si>
    <t>Total Capital Expenditure</t>
  </si>
  <si>
    <t>Medium Term Revenue and Expenditure Framework</t>
  </si>
  <si>
    <t>R thousand</t>
  </si>
  <si>
    <t>July</t>
  </si>
  <si>
    <t>August</t>
  </si>
  <si>
    <t>Sept.</t>
  </si>
  <si>
    <t>October</t>
  </si>
  <si>
    <t>November</t>
  </si>
  <si>
    <t>December</t>
  </si>
  <si>
    <t>January</t>
  </si>
  <si>
    <t>February</t>
  </si>
  <si>
    <t>March</t>
  </si>
  <si>
    <t>April</t>
  </si>
  <si>
    <t>May</t>
  </si>
  <si>
    <t>June</t>
  </si>
  <si>
    <t>1. Surplus (Deficit) must reconcile with Budgeted Financial Performance</t>
  </si>
  <si>
    <t>check</t>
  </si>
  <si>
    <t>LIM354 Polokwane - Supporting Table SA25 Consolidated budgeted monthly revenue and expenditure</t>
  </si>
  <si>
    <t>Ref</t>
  </si>
  <si>
    <t>Budget Year 2018/19</t>
  </si>
  <si>
    <t>Budget Year +1 2019/20</t>
  </si>
  <si>
    <t>Budget Year +2 2020/21</t>
  </si>
  <si>
    <t>Revenue By Source</t>
  </si>
  <si>
    <t>Property rates</t>
  </si>
  <si>
    <t>Service charges - electricity revenue</t>
  </si>
  <si>
    <t>Service charges - water revenue</t>
  </si>
  <si>
    <t>Service charges - sanitation revenue</t>
  </si>
  <si>
    <t>Service charges - refuse revenue</t>
  </si>
  <si>
    <t>Service charges - other</t>
  </si>
  <si>
    <t xml:space="preserve">              –  </t>
  </si>
  <si>
    <t xml:space="preserve">                –  </t>
  </si>
  <si>
    <t>Rental of facilities and equipment</t>
  </si>
  <si>
    <t>Interest earned - external investments</t>
  </si>
  <si>
    <t>Interest earned - outstanding debtors</t>
  </si>
  <si>
    <t>Dividends received</t>
  </si>
  <si>
    <t>Fines, penalties and forfeits</t>
  </si>
  <si>
    <t>Licences and permits</t>
  </si>
  <si>
    <t>Agency services</t>
  </si>
  <si>
    <t>Transfers and subsidies</t>
  </si>
  <si>
    <t>Other revenue</t>
  </si>
  <si>
    <t>Gains on disposal of PPE</t>
  </si>
  <si>
    <t>Total Revenue (excluding capital transfers and contributions)</t>
  </si>
  <si>
    <t>Expenditure By Type</t>
  </si>
  <si>
    <t>Employee related costs</t>
  </si>
  <si>
    <t>Remuneration of councillors</t>
  </si>
  <si>
    <t>Debt impairment</t>
  </si>
  <si>
    <t>Depreciation &amp; asset impairment</t>
  </si>
  <si>
    <t>Finance charges</t>
  </si>
  <si>
    <t>Bulk purchases</t>
  </si>
  <si>
    <t>Other materials</t>
  </si>
  <si>
    <t>Contracted services</t>
  </si>
  <si>
    <t>Other expenditure</t>
  </si>
  <si>
    <t>Loss on disposal of PPE</t>
  </si>
  <si>
    <t>Total Expenditure</t>
  </si>
  <si>
    <t>Surplus/(Deficit)</t>
  </si>
  <si>
    <t>Transfers and subsidies - capital (monetary allocations) (National / Provincial and District)</t>
  </si>
  <si>
    <t>Transfers and subsidies - capital (monetary allocations) (National / Provincial Departmental Agencies, Households, Non-profit Institutions, Private Enterprises, Public Corporatons, Higher Educational Institutions)</t>
  </si>
  <si>
    <t xml:space="preserve">Transfers and subsidies - capital (in-kind - all) </t>
  </si>
  <si>
    <t>Surplus/(Deficit) after capital transfers &amp; contributions</t>
  </si>
  <si>
    <t>Taxation</t>
  </si>
  <si>
    <t>Attributable to minorities</t>
  </si>
  <si>
    <t>Share of surplus/ (deficit) of associate</t>
  </si>
  <si>
    <t>References</t>
  </si>
  <si>
    <t xml:space="preserve">               -   </t>
  </si>
  <si>
    <t>LIM354 Polokwane - Supporting Table SA26 Consolidated budgeted monthly revenue and expenditure (municipal vote)</t>
  </si>
  <si>
    <t>Revenue by Vote</t>
  </si>
  <si>
    <t>Vote 1 - COUNCIL</t>
  </si>
  <si>
    <t>Vote 2 - Office of the Municipal Manger</t>
  </si>
  <si>
    <t>Vote 3 - Strategic Planning Monitoring and Evaluation</t>
  </si>
  <si>
    <t>Vote 4 - Engineering Services</t>
  </si>
  <si>
    <t>Vote 5 -  Community Services</t>
  </si>
  <si>
    <t>Vote 6 - Community Development</t>
  </si>
  <si>
    <t>Vote 7 - Corporate  and Shared Services</t>
  </si>
  <si>
    <t>Vote 8 - Planning and Economic Development</t>
  </si>
  <si>
    <t>Vote 9 - Budget and Treasury</t>
  </si>
  <si>
    <t>Vote 10 - Transport Operations</t>
  </si>
  <si>
    <t>Vote 11 - [NAME OF VOTE 11]</t>
  </si>
  <si>
    <t>Vote 12 - [NAME OF VOTE 12]</t>
  </si>
  <si>
    <t>Vote 13 - [NAME OF VOTE 13]</t>
  </si>
  <si>
    <t>Vote 14 - [NAME OF VOTE 14]</t>
  </si>
  <si>
    <t>Vote 15 - [NAME OF VOTE 15]</t>
  </si>
  <si>
    <t>Total Revenue by Vote</t>
  </si>
  <si>
    <t>Expenditure by Vote to be appropriated</t>
  </si>
  <si>
    <t>Total Expenditure by Vote</t>
  </si>
  <si>
    <t>Surplus/(Deficit) before assoc.</t>
  </si>
  <si>
    <t>Appointment of Contractor, site handover.</t>
  </si>
  <si>
    <t>Site establishment, excavations and pipe laying, equipping of boreholes.</t>
  </si>
  <si>
    <t>Continue with excavations and pipe laying. Construction of pump house. Eskom connection and all other water connection.</t>
  </si>
  <si>
    <t>Continue with excavations and pipe laying. Construction of pump house. Eskom connection and all other water connection.Commissioning and issuing completion certificate.</t>
  </si>
  <si>
    <t>Boreholes equipped, pump house, bulk line and distribution line.</t>
  </si>
  <si>
    <t>Appointment letter, progress reports, minutes, payment certificates, completion certificate.</t>
  </si>
  <si>
    <t>Approval of technical report and tender advert</t>
  </si>
  <si>
    <t>Appointment of Contractor, site handover and establishment</t>
  </si>
  <si>
    <t>excavations and pipe laying, equipping of boreholes.</t>
  </si>
  <si>
    <t>Finalisation of excavation and pipe laying. Construction of pump house. Eskom connection and all other water connection.</t>
  </si>
  <si>
    <t>Installation of smart meters municipal wide</t>
  </si>
  <si>
    <t>Progress report</t>
  </si>
  <si>
    <t>Appointment of consultant</t>
  </si>
  <si>
    <t>Preparation  of design reports</t>
  </si>
  <si>
    <t>Tender advert for appointment of contractor</t>
  </si>
  <si>
    <t>Detailed design presentation</t>
  </si>
  <si>
    <t>n/a  budget insufficient</t>
  </si>
  <si>
    <t>Tender advert after confirmation of 19/20 FY budget</t>
  </si>
  <si>
    <t>Continue with excavations and pipe laying. Construction of pump house.  all other water connection.</t>
  </si>
  <si>
    <t>Continue with excavations and pipe laying. Construction of pump house.  all other water connection.Commissioning and issuing completion certificate.</t>
  </si>
  <si>
    <t>Completion of sewer and water reticulation</t>
  </si>
  <si>
    <t>Asbestos pipes replacements, installation of fire hydrants and reinstatements.  House connections</t>
  </si>
  <si>
    <t>Asbestos pipes replacements, installation of fire hydrants and reinstatements. House connections</t>
  </si>
  <si>
    <t>Asbestos pipes replacements, installation of fire hydrants and reinstatements. House connections. Installations of PRV</t>
  </si>
  <si>
    <t>Asbestos pipes replacements, installation of fire hydrants and reinstatements. House connections.  Installations of PRV</t>
  </si>
  <si>
    <t xml:space="preserve"> progress reports, minutes, payment certificates, </t>
  </si>
  <si>
    <t>Drilling, testing and equiping of boreholes</t>
  </si>
  <si>
    <t>Renewals of pipeworks( eg pressure control valves)</t>
  </si>
  <si>
    <t>Progress report, List of components renewed</t>
  </si>
  <si>
    <t>renewal of pump station mechanical and electrical componenets</t>
  </si>
  <si>
    <t>Renewals of pipeworks( eg air valves)</t>
  </si>
  <si>
    <t>Project is a multiyear (24 months)</t>
  </si>
  <si>
    <t>Preliminary design stage</t>
  </si>
  <si>
    <t>Detailed design stage</t>
  </si>
  <si>
    <t>Tender  advert</t>
  </si>
  <si>
    <t>Appointment of contractor</t>
  </si>
  <si>
    <t>Design reports, tender advert, appointment letter</t>
  </si>
  <si>
    <t>oreder material</t>
  </si>
  <si>
    <t>plant poles and install cables and lights</t>
  </si>
  <si>
    <t>order poles, lights and dig foundations</t>
  </si>
  <si>
    <t>install poles and lights</t>
  </si>
  <si>
    <t>order materials</t>
  </si>
  <si>
    <t>install RTUs</t>
  </si>
  <si>
    <t>order materials, prepare boxes at training centre</t>
  </si>
  <si>
    <t>replace the fibre enclosures</t>
  </si>
  <si>
    <t>Order materialr</t>
  </si>
  <si>
    <t>Installation of poles</t>
  </si>
  <si>
    <t>Poles installed</t>
  </si>
  <si>
    <t xml:space="preserve">Poles installed </t>
  </si>
  <si>
    <t>Prepare civil works and grounds</t>
  </si>
  <si>
    <t>Build the substation</t>
  </si>
  <si>
    <t>Install switch gears</t>
  </si>
  <si>
    <t>Order materialr and plant poles</t>
  </si>
  <si>
    <t>Stringing and transformer installat</t>
  </si>
  <si>
    <t>electrified households</t>
  </si>
  <si>
    <t>order material</t>
  </si>
  <si>
    <t xml:space="preserve">build structure and </t>
  </si>
  <si>
    <t>install switch gear</t>
  </si>
  <si>
    <t>completed 11 kv switching substation</t>
  </si>
  <si>
    <t>N/A</t>
  </si>
  <si>
    <t>get quotations and orders</t>
  </si>
  <si>
    <t>purchase</t>
  </si>
  <si>
    <t>receive items</t>
  </si>
  <si>
    <t>Meetings to negotiate</t>
  </si>
  <si>
    <t>meetings to negotiate</t>
  </si>
  <si>
    <t>cost the transfers</t>
  </si>
  <si>
    <t>report agreements</t>
  </si>
  <si>
    <t>Designs</t>
  </si>
  <si>
    <t>Prepare tender documents</t>
  </si>
  <si>
    <t>Advertise bids</t>
  </si>
  <si>
    <t>Appoint contractors</t>
  </si>
  <si>
    <t>Replace the fences</t>
  </si>
  <si>
    <t>Evaluate and prepare the following bids</t>
  </si>
  <si>
    <t>Advertise tender</t>
  </si>
  <si>
    <t>Evaluate and award</t>
  </si>
  <si>
    <t>Build substation</t>
  </si>
  <si>
    <t>Construct civil works</t>
  </si>
  <si>
    <t>Measure and order switch gears</t>
  </si>
  <si>
    <t>order meters</t>
  </si>
  <si>
    <t>install meters</t>
  </si>
  <si>
    <t xml:space="preserve">report on operations and </t>
  </si>
  <si>
    <t>install meters mobexes and transfer meters</t>
  </si>
  <si>
    <t>test and commission</t>
  </si>
  <si>
    <t>Establishment, excavations, mass earthworks, Road layers</t>
  </si>
  <si>
    <t>Road layer, BT Base, patching and milling on existing lanes, surfacing, kerbing and storm water drainage.</t>
  </si>
  <si>
    <t>Road markings, Rumble blocks, road signs and finishing</t>
  </si>
  <si>
    <t>0.6km New BRT lanes &amp; rehabilitation of mixed traffic lanes</t>
  </si>
  <si>
    <t>Appointment letter, site meeting minutes, progress reports</t>
  </si>
  <si>
    <t>Establishment, excavations, mass earthworks, pavement layers, fencing</t>
  </si>
  <si>
    <t>Installation of stormwater systems, construction of pavement layers and platforms for buildings, concrete paving &amp; kerbing, fencing</t>
  </si>
  <si>
    <t xml:space="preserve">Fenced Depot site, paved bus parking area with, fueling and washbay facility areas, with stormwater drainage systems  </t>
  </si>
  <si>
    <t>Establishment, excavations, mass earthworks, demolishing of public toilets, pavement layers</t>
  </si>
  <si>
    <t>Pavement layers, rehabilitation and upgrading of roadways, construction of paving and kerbing</t>
  </si>
  <si>
    <t>Bus lanes, rehabilitated road ways, busstation platforms, paved station precinct</t>
  </si>
  <si>
    <t xml:space="preserve">Site establishment, demolishing of existing parking area, excavations, mass earthworks and layerworks, installation of stormwater systems, </t>
  </si>
  <si>
    <t>Construction of concrete paving and kerbing, perimeter fencing.</t>
  </si>
  <si>
    <t xml:space="preserve">Provision of secured (fenced)  paved parking area. (holding area) with stormwater drainage systems </t>
  </si>
  <si>
    <t>Rehabilitation of mixed traffic lanes, construction of que jump lanes at intersections</t>
  </si>
  <si>
    <t>Rehabilitation of mixed traffic lanes, construction of que jump lanes at intersections. Provision of UTC traffic signals, roadmarkings</t>
  </si>
  <si>
    <t>Que jump lanes and UTC systems at intersections, rehabilitated road ways</t>
  </si>
  <si>
    <t xml:space="preserve">Foundation Excavations, construction of Maintenance building with service pits, storeroom, fueling and washby floors </t>
  </si>
  <si>
    <t>Construction of Maintenance building with service pits, storeroom, fueling and washby facilities, temporary offices, restsrooms and guardhouse</t>
  </si>
  <si>
    <t xml:space="preserve">Fenced Depot site, paved bus- and staff parking area with Maintenance and storeroom buildings, offices, restrooms, guardhouse, fueling and washbay facilities  </t>
  </si>
  <si>
    <t>Construction of 2 module stations structers and roofing</t>
  </si>
  <si>
    <t>Installation of kiosk, ticket vending machine, server room, turnstiles, office, ablution AFC &amp; APTMS equipment, paving and landscaping.</t>
  </si>
  <si>
    <t>2 equiped station modules with office, ablution, fare gates, server room, ticket vending machine, APTMS &amp; AFC equipment, paved station precinct, hawkers facilities, signage &amp; landscaping</t>
  </si>
  <si>
    <t xml:space="preserve">Removal of old interior finishing and equipment. Repaint and tile ablution and admin building, internal walls and drywalling, </t>
  </si>
  <si>
    <t xml:space="preserve"> Partitioning &amp; Fitment of ablution equipment and furniture. (store room &amp; wash bay)</t>
  </si>
  <si>
    <t>Ablution facility, rest rooms, offices, canteen, server room, store room and washbay, parking areas</t>
  </si>
  <si>
    <t>OHS management - complaince and monitoring</t>
  </si>
  <si>
    <t>OHS management, complaince and monitoring</t>
  </si>
  <si>
    <t>OHS Compliance</t>
  </si>
  <si>
    <t>Monthly audit reports, close-out report</t>
  </si>
  <si>
    <t xml:space="preserve">Environmental Management - compliance and monitoring </t>
  </si>
  <si>
    <t>Environmental Compliance</t>
  </si>
  <si>
    <t>Establishment, excavations and relocation of services, mass earthworks, installation of stormwater pipe systems</t>
  </si>
  <si>
    <t>Construction of pavement layers, stormwater drainage, milling of existing road prism, concrete kerbing, surfacing, road markings and road signs &amp; finishing</t>
  </si>
  <si>
    <t xml:space="preserve">1.25 km upgraded and widened street section. </t>
  </si>
  <si>
    <t>Establishment, relocation of services, deep milling of road layers</t>
  </si>
  <si>
    <t>Completion of road structural layers, prime, surfacing and road markings</t>
  </si>
  <si>
    <t>1km rehabilitated mixed traffic lanes</t>
  </si>
  <si>
    <t>Preparing of Bid document and finalising of construction estimate. Completion of planning.</t>
  </si>
  <si>
    <t>Cpmpletion of planning phase.</t>
  </si>
  <si>
    <t>Bid document. Drawings</t>
  </si>
  <si>
    <t>Identification of site, Design development</t>
  </si>
  <si>
    <t>Approval of designs</t>
  </si>
  <si>
    <t>Preparation of Bid document and final construction estimates</t>
  </si>
  <si>
    <t>Advertising of Bid and Adjudication.</t>
  </si>
  <si>
    <t>Planning</t>
  </si>
  <si>
    <t>Installation of new alluminium windows, new mechanical ventilation, new electrical layouts.</t>
  </si>
  <si>
    <t xml:space="preserve">Installation of new partitions, floor finishes, new electrical layouts and sanitary fittings. </t>
  </si>
  <si>
    <t>Completion of Ground floor west wing</t>
  </si>
  <si>
    <t>Refurbishment of Civic Centre ground floor</t>
  </si>
  <si>
    <t>Payments, progress reports, completion certificates</t>
  </si>
  <si>
    <t>Installation of aircons at Libraries</t>
  </si>
  <si>
    <t>Installation of carports at Traffic Ladanna</t>
  </si>
  <si>
    <t>Installation of aircons and carports</t>
  </si>
  <si>
    <t>Supply office furniture</t>
  </si>
  <si>
    <t>Delivery of office furniture</t>
  </si>
  <si>
    <t>Delivery notes, Payments</t>
  </si>
  <si>
    <t>Waterproofing, painting, electrical</t>
  </si>
  <si>
    <t>Job cards, payments</t>
  </si>
  <si>
    <t>Installation of aircons, aluminium doors</t>
  </si>
  <si>
    <t>Installation of aircon plant for Civic Centre North wing</t>
  </si>
  <si>
    <t>Appointment of Service provider,Bulk civil works for roads and parking,finishes for the main pavilion</t>
  </si>
  <si>
    <t>External buildings,Bulk services installation viz:water,sewerage,external lights and stormwater drainage</t>
  </si>
  <si>
    <t>Building finishes,seats,soccer pitch and baseball drainage</t>
  </si>
  <si>
    <t>Refurbishment of old courts(Basketball,netball</t>
  </si>
  <si>
    <t>Completed roads and parking area;pavilion;completely refurbished basket and netball and netball courts</t>
  </si>
  <si>
    <t>Appointment letters,Project reports,  certificates;pictures</t>
  </si>
  <si>
    <t>Fencing;Bulk earthworks for all structures;Combi couts,ablution block;connection of water services</t>
  </si>
  <si>
    <t>Borehole and septic tank;parking</t>
  </si>
  <si>
    <t>Start with the construction of the community hall,excavation of the foundation;Construction of the concrete footing;construction of the floor</t>
  </si>
  <si>
    <t>Construction of a community hall-;construction of the superstructure;Erection of the trusses,laying the roof cover;lighting,painting ;finishing off</t>
  </si>
  <si>
    <t>Complete combi courts,ablution facility;borehole;septic tank;connection os services;community hall;lighting</t>
  </si>
  <si>
    <t>Appointment letters,Project reports, certificates;pictures</t>
  </si>
  <si>
    <t>Lum Resolution
ROD
General Plan approval</t>
  </si>
  <si>
    <t xml:space="preserve">Township Regsiter
</t>
  </si>
  <si>
    <t>Proclamation</t>
  </si>
  <si>
    <t>Proclaimed Township
Serviced Township</t>
  </si>
  <si>
    <t>LUM Resolution
Final Layout
ROD
Approved General Plan
Township Register
Proclamation Notice</t>
  </si>
  <si>
    <t>Bid Specification approval</t>
  </si>
  <si>
    <t>Project Advertisement, Evaluation, Adjudication and Appointment letter</t>
  </si>
  <si>
    <t>Draft Layout
CoE
Environmental Management Plan
Township Application</t>
  </si>
  <si>
    <t xml:space="preserve">LUM Resolution
Township Layout </t>
  </si>
  <si>
    <t xml:space="preserve">LUM Resolution
Final Layout
ROD
Approved General Plan
Township Register
Proclamation Notice
</t>
  </si>
  <si>
    <t xml:space="preserve">LUM Resolution
ROD
Approved General Plan </t>
  </si>
  <si>
    <t>Serviced Township</t>
  </si>
  <si>
    <t>A spreadsheet of subserviced townships sent to Engineering department, IUDF funding to assist with services. Discussions with Engineering underway</t>
  </si>
  <si>
    <t>Planning and outlining the installation of internal and external cameras</t>
  </si>
  <si>
    <t>Installation of cameras on biuldings that does not have cameras at all</t>
  </si>
  <si>
    <t>Installation of cameras in the CBD at the hot spot areas as would be identified</t>
  </si>
  <si>
    <t>Installation of cameras at biuldings that need to be added</t>
  </si>
  <si>
    <t xml:space="preserve">Planning the installation and purchase of two way radios </t>
  </si>
  <si>
    <t xml:space="preserve">Installing base radios </t>
  </si>
  <si>
    <t>Purchasing two way radios for end users</t>
  </si>
  <si>
    <t>Planning and outlining the installation of Access control at various biulding</t>
  </si>
  <si>
    <t>Conducting assessment for the installation access at all Municipal premises</t>
  </si>
  <si>
    <t>Installation of access (biometric and card readers)40%</t>
  </si>
  <si>
    <t>Installation of access (biometric and card readers)60%</t>
  </si>
  <si>
    <t>Filtration system and completion</t>
  </si>
  <si>
    <t>Project progress report and pictures</t>
  </si>
  <si>
    <t xml:space="preserve">Plant room maintenance and Pumps instalation </t>
  </si>
  <si>
    <t>Rehabilitated swimming pools</t>
  </si>
  <si>
    <t>Project complete</t>
  </si>
  <si>
    <t>invoices</t>
  </si>
  <si>
    <t>specification and advertisement</t>
  </si>
  <si>
    <t>Evaluate and appoint contractor and site handover .</t>
  </si>
  <si>
    <t>project implementation</t>
  </si>
  <si>
    <t>completion of the project</t>
  </si>
  <si>
    <t>upgraded offices</t>
  </si>
  <si>
    <t xml:space="preserve">N/A  </t>
  </si>
  <si>
    <t>Test certificates and project reports</t>
  </si>
  <si>
    <r>
      <t xml:space="preserve">Township establishment  at  portion 151-160 of the </t>
    </r>
    <r>
      <rPr>
        <b/>
        <sz val="10"/>
        <color indexed="8"/>
        <rFont val="Calibri"/>
        <family val="2"/>
      </rPr>
      <t>Farm Sterkloop</t>
    </r>
    <r>
      <rPr>
        <sz val="10"/>
        <color indexed="8"/>
        <rFont val="Calibri"/>
        <family val="2"/>
      </rPr>
      <t xml:space="preserve"> 688 LS for PHA mixed land use</t>
    </r>
  </si>
  <si>
    <r>
      <t xml:space="preserve">Vision </t>
    </r>
    <r>
      <rPr>
        <b/>
        <sz val="10"/>
        <color indexed="8"/>
        <rFont val="Calibri"/>
        <family val="2"/>
      </rPr>
      <t>“The Ultimate in Innovation and Sustainable Development”</t>
    </r>
    <r>
      <rPr>
        <sz val="10"/>
        <color indexed="8"/>
        <rFont val="Calibri"/>
        <family val="2"/>
      </rPr>
      <t xml:space="preserve">
Mission </t>
    </r>
    <r>
      <rPr>
        <b/>
        <sz val="10"/>
        <color indexed="8"/>
        <rFont val="Calibri"/>
        <family val="2"/>
      </rPr>
      <t>“Provide cost effective services which promote sustainable livelihood through socio economic development and good governance”</t>
    </r>
    <r>
      <rPr>
        <sz val="10"/>
        <color indexed="8"/>
        <rFont val="Calibri"/>
        <family val="2"/>
      </rPr>
      <t xml:space="preserve"> 
Value Statement </t>
    </r>
    <r>
      <rPr>
        <b/>
        <sz val="10"/>
        <color indexed="8"/>
        <rFont val="Calibri"/>
        <family val="2"/>
      </rPr>
      <t>"Sustainable Development through Responsive
Innovation"</t>
    </r>
    <r>
      <rPr>
        <sz val="10"/>
        <color indexed="8"/>
        <rFont val="Calibri"/>
        <family val="2"/>
      </rPr>
      <t xml:space="preserve">
Values 
• Sustainable Development
• Innovation
• Responsiveness 
</t>
    </r>
  </si>
  <si>
    <t>Registration of Notarial Lease</t>
  </si>
  <si>
    <t xml:space="preserve">Township Appilcation Advertisements
</t>
  </si>
  <si>
    <t>General Plan approval
Township Regsiter</t>
  </si>
  <si>
    <t>Registered Notarial Lease
ROD
General Plan 
Township Register
Proclamation
Logistic Hub
Truck Inn</t>
  </si>
  <si>
    <t>Township Regsiter</t>
  </si>
  <si>
    <t>implementatation</t>
  </si>
  <si>
    <t>Bid specification, approval and advertisement</t>
  </si>
  <si>
    <t>Bid evaluation, adjudication and awarding</t>
  </si>
  <si>
    <t xml:space="preserve">completed fence </t>
  </si>
  <si>
    <t>Invoices</t>
  </si>
  <si>
    <t>Project specification and bid advertisement.</t>
  </si>
  <si>
    <t xml:space="preserve">Awarding processes </t>
  </si>
  <si>
    <t xml:space="preserve">Payment and Closure </t>
  </si>
  <si>
    <t>Contractor already on site ( Phase 2 to continue- progress report</t>
  </si>
  <si>
    <t>Contractor on site</t>
  </si>
  <si>
    <t xml:space="preserve">Contractor on site </t>
  </si>
  <si>
    <t>Project completion and handing over</t>
  </si>
  <si>
    <t>Conjusive working environment.</t>
  </si>
  <si>
    <t>Completion certificate</t>
  </si>
  <si>
    <t>Imstallation and renewal of equipments</t>
  </si>
  <si>
    <t xml:space="preserve">Compliance with Road Traffic Regulations   </t>
  </si>
  <si>
    <t>Completion certificate and Invoice</t>
  </si>
  <si>
    <t>Appoint the consultant to prepare the design report and approval of the design scope</t>
  </si>
  <si>
    <t>Consultant to submit the drawings for approval by Housing and Building Inspection section. Preparation of bid document and of cost estimate</t>
  </si>
  <si>
    <t>Advertise tender and appoint contractors</t>
  </si>
  <si>
    <t>Site handover to the contractor and implementation</t>
  </si>
  <si>
    <t>Approved drawings</t>
  </si>
  <si>
    <t>Finalization of Specification</t>
  </si>
  <si>
    <t>Service Provider apointment</t>
  </si>
  <si>
    <t>50% Implementation of ITIL processes</t>
  </si>
  <si>
    <t>100% Implementation ITIL processes</t>
  </si>
  <si>
    <t>Proper IT Service Management</t>
  </si>
  <si>
    <t>Project Handover Report</t>
  </si>
  <si>
    <t>Appoinment of Service Provider</t>
  </si>
  <si>
    <t>30% Implementation</t>
  </si>
  <si>
    <t>70% Implementation</t>
  </si>
  <si>
    <t>100% Implementation</t>
  </si>
  <si>
    <t>Reliable connectivity to cluster offices</t>
  </si>
  <si>
    <t xml:space="preserve">Planting of 30 trees, establishment of 3 flowerbeds. </t>
  </si>
  <si>
    <t>Drilling and equipping of borehole. Procuring paving bricks and kerbs</t>
  </si>
  <si>
    <t>Paving and kebing of  3 shade houses each measuring 48 square metres</t>
  </si>
  <si>
    <t>Complete and usable recreational park</t>
  </si>
  <si>
    <t>Works orders, Invoices, Delivery notes.</t>
  </si>
  <si>
    <t>Submission of specification for the supply and delivery of (Bonox) game fence .400m perimeter.</t>
  </si>
  <si>
    <t xml:space="preserve">Appointment of service provider for the supply and delivery of (Bonox) Game fence </t>
  </si>
  <si>
    <t xml:space="preserve">Procurement of material (Bonox) Game fencing) </t>
  </si>
  <si>
    <t xml:space="preserve">Implementation of the project ( Fencing) of approximately </t>
  </si>
  <si>
    <t>Prepare and submit a report to BAC for the appointment of the architect to design Ablution facility</t>
  </si>
  <si>
    <t xml:space="preserve">Appointment of the architect to plan, design and determine the Project specification and BOQ for Ablution Facility. </t>
  </si>
  <si>
    <t>Submission of Layout plans and Design</t>
  </si>
  <si>
    <t>Appointment of the contractor</t>
  </si>
  <si>
    <t>Submission of Approved designs and appointment of a contractor</t>
  </si>
  <si>
    <t>BAC Reports, Appointment letters, Plans and designs, payment certificates</t>
  </si>
  <si>
    <t>Plans and designs</t>
  </si>
  <si>
    <t>ReportsDesigns</t>
  </si>
  <si>
    <t>Submit the report for the establishment of the animal pound to Council</t>
  </si>
  <si>
    <t>Repair the available sites through annual contractors</t>
  </si>
  <si>
    <t>Invite proposals from bidders</t>
  </si>
  <si>
    <t>Operate and manage the animal pound.</t>
  </si>
  <si>
    <t>An operational animal pound. Lesser roaming animals</t>
  </si>
  <si>
    <t xml:space="preserve">Report. Invoices. Appointment letter. SLA </t>
  </si>
  <si>
    <t>Planting of 20 additional trees, procurement of 90 kerbs</t>
  </si>
  <si>
    <t>Electrification and kerbing of childrens play area</t>
  </si>
  <si>
    <t>Drilling and equipping of a borehole.</t>
  </si>
  <si>
    <t xml:space="preserve">Connecting electricity to the borehole. </t>
  </si>
  <si>
    <t>Electrified facility</t>
  </si>
  <si>
    <t>Invoices, Works orders</t>
  </si>
  <si>
    <t>Procurement of contractor (Tender documents have been prepared)</t>
  </si>
  <si>
    <t>Upgrading water supply system and providing additional ablution facilities</t>
  </si>
  <si>
    <t>Project completion and finalisation</t>
  </si>
  <si>
    <t>NA</t>
  </si>
  <si>
    <t>Water supply system, tank and ablutions completed</t>
  </si>
  <si>
    <t>Contract/ SLA/ progress reports, site meeting minutes as-built documents</t>
  </si>
  <si>
    <t>Continue with the replacement and repair of mechanical and electrical equipment as well as structural repairs to return the WWTW to a functional condition</t>
  </si>
  <si>
    <t>Conclude project, reports, as-built plans and Operations manual</t>
  </si>
  <si>
    <t>All elements (inlet, sedimentation tanks, aeration basin, biofilters, and pump stations refurbished.</t>
  </si>
  <si>
    <t>Progress reports, Site meetings, design reports, quotations as built plans and Maintenance and Operation Plan</t>
  </si>
  <si>
    <t>Concluding reporting and documentation, close out report and as-built plans</t>
  </si>
  <si>
    <t>Functioning water supply system, lawns and athletics track</t>
  </si>
  <si>
    <t>Construction of Retaining structure, lawns (artificial grass), augmentation of water system and  gravel athletics  track</t>
  </si>
  <si>
    <t>Site handover to contractor, Site establishment.</t>
  </si>
  <si>
    <t>Upgrading of Building 2 main entrance and offices.</t>
  </si>
  <si>
    <t>Construction of Boundary wall and Guard house, Construction of new Warehouse</t>
  </si>
  <si>
    <t xml:space="preserve">Completion of works </t>
  </si>
  <si>
    <t>Upgrading of Building 2 main entrance and offices.Construction of Boundary wall and Guard house, Construction of new Warehouse.</t>
  </si>
  <si>
    <t>Appointment of consultant, Identification of site, Design development</t>
  </si>
  <si>
    <t>Appointment of consultant for scoping, designs and procurement</t>
  </si>
  <si>
    <t>Raplacing inlets control system and refurbishment of outlet pipe manifold in Krugersburg.</t>
  </si>
  <si>
    <t>Finalisation of  Raplacing inlets control system and refurbishment of outlet pipe manifold</t>
  </si>
  <si>
    <t>Refurbished inlets at Krugersburg</t>
  </si>
  <si>
    <t>Refurbishment of pumpstations and pressure control systems in Polokwane</t>
  </si>
  <si>
    <t>Continuation of Refurbishment of pumpstations and pressure control systems in Polokwane</t>
  </si>
  <si>
    <t>Phase 1 of project completed</t>
  </si>
  <si>
    <t>Refurbished pumpstations and pressure control systems in Polokwane</t>
  </si>
  <si>
    <t>Completion of paving for vehicle parking area.</t>
  </si>
  <si>
    <t>Provision of the shopping list for teaching aids and  educational displays.</t>
  </si>
  <si>
    <t>Purchasing of teaching aids and  educational displays.</t>
  </si>
  <si>
    <t>Receiving and placing of educational displays and teaching aids</t>
  </si>
  <si>
    <t>Updated and effective Environmental Education Centre</t>
  </si>
  <si>
    <t>Invoices, Works orders and educational material</t>
  </si>
  <si>
    <t>construction of the transfer station. Site hand over done on 14 may 2018</t>
  </si>
  <si>
    <t>construction of the transfer station</t>
  </si>
  <si>
    <t>construction and completion</t>
  </si>
  <si>
    <t>complaeted transfer station</t>
  </si>
  <si>
    <t>completion certificate and invoices</t>
  </si>
  <si>
    <t>construction of te transfer station</t>
  </si>
  <si>
    <t>completed transfer station</t>
  </si>
  <si>
    <t>evaluation and awarding</t>
  </si>
  <si>
    <t>construction</t>
  </si>
  <si>
    <t>Constructed transfere station</t>
  </si>
  <si>
    <t>completion and invoices</t>
  </si>
  <si>
    <t>Site hand over and establishment to be done on 28 June 2018. contractor appointed on 25 May 2018</t>
  </si>
  <si>
    <t>Appointment of service provider</t>
  </si>
  <si>
    <t>Operations</t>
  </si>
  <si>
    <t>Appointment of Service provider</t>
  </si>
  <si>
    <t>Install PTMS elements: Server, Video walls</t>
  </si>
  <si>
    <t>Designs of Taxi Facility upgrades</t>
  </si>
  <si>
    <t>Construction</t>
  </si>
  <si>
    <t>Engage Industry on Compensation survey results and sign off Compensation Survey Results</t>
  </si>
  <si>
    <t>Sign off Compensation Offers</t>
  </si>
  <si>
    <t>Witdrawal of 125 minibus taxis and settle compensation (payment of compensation on withdrawal of Operating Licences)</t>
  </si>
  <si>
    <t>Signed Compensation Offers, Settle Compensation and removal of 125 minibus taxis from Phas1 A footprint</t>
  </si>
  <si>
    <t>Attendance Register, signed Compensation Survey Results, signed Compensation Offers, cancelled Operating Licences and the vehicles or scrapping certificate</t>
  </si>
  <si>
    <t>Appointment of the Service provider</t>
  </si>
  <si>
    <t>Operations of leeto la Polokwane system</t>
  </si>
  <si>
    <t>Not applicable for Quarter 4, as Compensation process is planned to be completed by end of Third Quarter.</t>
  </si>
  <si>
    <t>n/A</t>
  </si>
  <si>
    <t>Testing of the bus operations through station,laybuys</t>
  </si>
  <si>
    <t xml:space="preserve">Implementation of the bus schedule operations </t>
  </si>
  <si>
    <t>Operation of the bus schedule operations by Vehicle Operating Company (VOC)</t>
  </si>
  <si>
    <t>Leeto la Polokwane operating from  CBD to Seshego, Flora Park and Westerburg</t>
  </si>
  <si>
    <t>Bus Schedule, Approved Routes, VOC Contract, SLA for the supply and delivery of the busses</t>
  </si>
  <si>
    <t>Appointment letter for the service provider, Bid Document, SLA, Advertisement of the Fare Collection Service Provider</t>
  </si>
  <si>
    <t>Advertisement of tender to procure (PTMS) monitoring system to be installed in busses and control centre</t>
  </si>
  <si>
    <t>Advertisement of tender to procure AFC to be installed in busses</t>
  </si>
  <si>
    <t>Appointment letter , SLA of the fare collection service provider</t>
  </si>
  <si>
    <t>4249 (Cummulative)</t>
  </si>
  <si>
    <t>3500 (Cummulative)</t>
  </si>
  <si>
    <t>2000 (Cummulative)</t>
  </si>
  <si>
    <t>700 (Cummulative)</t>
  </si>
  <si>
    <t xml:space="preserve">POLOKWANE MUNICIPALITY SERVICE DELIVERY PRIORITIES </t>
  </si>
  <si>
    <t xml:space="preserve"> • Provision of basic services, which include electricity provision, water and sanitation and refuse removal
• Strengthen the local economic development structures and expansion of expanded public works programme
• Upgrading of informal settlements and promotion of sustainable human settlements
• Overhaul of ageing service delivery infrastructure and maintenance of municipal facilities
• Improving transport, roads and bridges
• Improving sports and recreational facilities and promotion of social cohesion
• Development of municipal capacity to manage disaster risk and protection of environment
• Ensure long-term planning capacity, monitoring and evaluation 
• Promotion of sound financial management to ensure financial sustainability
• Promotion of good governance and the participation of local communities in the municipal affairs</t>
  </si>
  <si>
    <t xml:space="preserve">• To ensure efficiency and effectiveness of Municipal administration
• To ensure the provision of basic and environmental services in a sustainable way to our communities
• To ensure social protection and education outcomes
• Promotion of economic growth ,job creation and Sustainable human settlement
• To ensure community confidence in the system of local government
• To enhance Financial Viability and Financial Management
</t>
  </si>
  <si>
    <t>Number of new substations built by 30 June 2019</t>
  </si>
  <si>
    <t>Kilometre of underground cables installed by 30 June 2019</t>
  </si>
  <si>
    <t>Number of new smart meters installed by 30 June 2019</t>
  </si>
  <si>
    <t>Percentage Electricity reduction consumption losses by 30 June 2019. Difference between electricity purchased and electricity sold</t>
  </si>
  <si>
    <t>Number of old water meters replaced in the city by 30 June 2019</t>
  </si>
  <si>
    <t>ML capacity of water treatment plants increased by 30 June 2019</t>
  </si>
  <si>
    <t>Number of new boreholes developed (drilled and equipped) by 30 June 2019</t>
  </si>
  <si>
    <t>Km of roads upgraded from gravel to tar by 30 June 2019</t>
  </si>
  <si>
    <t>KM of TE constructed at Moletjie by 30 June 2019</t>
  </si>
  <si>
    <t xml:space="preserve">Number of Ward AIDS Councils established by 30 June 2019  </t>
  </si>
  <si>
    <t>Number of Workshops/Trainning organised by the municipality in partnerships with sector partners offered to SMME's by 30 June 2019</t>
  </si>
  <si>
    <t>LED_TL04</t>
  </si>
  <si>
    <t>LED_TL05</t>
  </si>
  <si>
    <t>Kilometre of old asbestos cement pipes replaced by 30 June 2019</t>
  </si>
  <si>
    <t>Km of roads renewed (Asset Renewal Programme/Existing tar roads) by 30 June 2019</t>
  </si>
  <si>
    <t>Percentage availability of municipality service delivery fleet vehicles for operational purpose (fleet availability norm is 75%) by 30 June 2019</t>
  </si>
  <si>
    <t>Number of promotion events conducted to build capacity of sport administrators by 30 June 2019</t>
  </si>
  <si>
    <t>Number of rural villages supplied with weekly waste removal services by 30 June 2019</t>
  </si>
  <si>
    <t>Review Disaster Management Plan (Annual review) by 30 June 2019</t>
  </si>
  <si>
    <t>Km fire break reblading conducted by 30 June 2019</t>
  </si>
  <si>
    <t>Km of Trunk route constructed by 30 June 2019</t>
  </si>
  <si>
    <t>Number of affected Taxi and Bus operators integrated into Leeto La Polokwane by 30 June 2019</t>
  </si>
  <si>
    <t>Number of IDP, Budget and PMS Rep Forums held by 30 June 2019</t>
  </si>
  <si>
    <t>Approval of the current financial year IDP, Budget and PMS Schedule (Process Plan) by 30 August 2018 (S21 of the MFMA)</t>
  </si>
  <si>
    <t>Number of IDP, Budget and PMS Steering Committee Meeting held by 30 June 2019</t>
  </si>
  <si>
    <t>Submitting the next financial year Final IDP and Budget to Council for adoption by 31 May 2019 (One month before the start of the new financial year)</t>
  </si>
  <si>
    <t>Tabling Draft Annual Report for previous financial year to Council by 31 January 2019. (s121 - 129 MFMA)</t>
  </si>
  <si>
    <t>Number of Quarterly Performance Reports submitted to Council in line with MFMA S52 (d), by 30 June 2019</t>
  </si>
  <si>
    <t>Tabling the Oversight Report on the previous financial year Annual Report to Council by 31 March 2019 (Section 121-129 MFMA)</t>
  </si>
  <si>
    <t>Annual review of the Delegations of powers to ensure effective administration by 31 August 2018</t>
  </si>
  <si>
    <t>Number of Mayoral Committee meetings scheduled and convened by 30 June 2019</t>
  </si>
  <si>
    <t>Number of Council sittings scheduled and convened by 30 June 2019 (In line with the provisions of MSA)</t>
  </si>
  <si>
    <t>Number of Portfolio Committee meetings scheduled and convened by 30 June 2019</t>
  </si>
  <si>
    <t>Number of Local Labour Forum meetings convened and held by 30 June 2019</t>
  </si>
  <si>
    <t>Conduct municipal wide asset register verification in line with GRAP standards by 31 August 2018</t>
  </si>
  <si>
    <t>Development of the External and Internal Audit Tracking Register for previous financial year AG Report by 5 February 2019</t>
  </si>
  <si>
    <t>Adoption of Annual Internal Audit Plan and  3 year rolling strategic plan by 30 June 2019</t>
  </si>
  <si>
    <t>Number of Audit Committee Meetings scheduled and convened in terms of the adopted schedule by 30 June 2019</t>
  </si>
  <si>
    <t>Number of Ward Committee meetings scheduled and convened per ward by 30 June 2019 (Functionality of ward committees)</t>
  </si>
  <si>
    <t>Number of Ward Committee Reports developed and submitted to Council by 30 June 2019</t>
  </si>
  <si>
    <t>Number of risk assessments conducted by 30 June 2019</t>
  </si>
  <si>
    <t>Number of Fraud awareness Campaign held conducted by 30 June 2019</t>
  </si>
  <si>
    <t>Reviewal of institutional strategic  risk register by 30 June 2019</t>
  </si>
  <si>
    <t>Number of Risk Management Committee scheduled and convened by 30 June 2019</t>
  </si>
  <si>
    <t>Conduct OHS audit by 30 June 2019</t>
  </si>
  <si>
    <t>Submission of Reviewed of WSP to LGSETA by 30 April 2019</t>
  </si>
  <si>
    <t>Submission of Employment Equity Plan to the Department of Labour by 30 June 2019</t>
  </si>
  <si>
    <t>Number of new External Students awarded study bursaries for the next academic year by 30th June 2019</t>
  </si>
  <si>
    <t>Number of Graduate students awarded  Internships/Experimental/Learnership at Polokwane Municipality  by the 30 June 2019</t>
  </si>
  <si>
    <t>Number of training on application and understanding of code of conduct for all employees  by 30 June 2019</t>
  </si>
  <si>
    <t>Number of street traders capacitated through municipal sponsored training by June 2019</t>
  </si>
  <si>
    <t>Number of exhibition/Flee Markets facilitate the municipality by 30 June 2019</t>
  </si>
  <si>
    <t>Development of the Audit Action Plan for the current financial year AG Report by 31 January 2019</t>
  </si>
  <si>
    <t>Municipal compliance to MSCOA by 30 June2019</t>
  </si>
  <si>
    <t>Number of reserve to be established by 30 June 2019</t>
  </si>
  <si>
    <t>Percentage of municipality capital budget actually spent on capital projects by 30 June 2019</t>
  </si>
  <si>
    <t>Municipal debt coverage by 30 June 2019</t>
  </si>
  <si>
    <t>Municipal outstanding service debtors by 30 June 2019</t>
  </si>
  <si>
    <t>Municipal cost coverage by 30 June 2019</t>
  </si>
  <si>
    <t xml:space="preserve">Number of job opportunities created through Municipal sponsored trading </t>
  </si>
  <si>
    <t>Number of tourism and investment promotion trade shows by 30 June 2019</t>
  </si>
  <si>
    <t>Total Number of HH/Denominator (CS 2016)</t>
  </si>
  <si>
    <t>96.7% (2667)</t>
  </si>
  <si>
    <t xml:space="preserve">Approximately 2350 VIP toilets. 59.5% (142274 HH) </t>
  </si>
  <si>
    <t>Increase percentage of Households with access to sanitation from 59.5% (142274 HH) to 60.3% (144074 HH) by 30 June 2019</t>
  </si>
  <si>
    <t>Approximately 1800 VIP toilets. 60.3%  (144074 HH)</t>
  </si>
  <si>
    <t xml:space="preserve">Increase percentage of Households with access to electrification from 95.6% (228594 HH) to 96.7% (231261 HH) by 30 June 2019. </t>
  </si>
  <si>
    <t>Access to water supply. 82.3% (196792 HH)</t>
  </si>
  <si>
    <t>83.2% (2160HH)</t>
  </si>
  <si>
    <t>Increase percentage of Households with access to Water from 82.3% (196792)  to 83.2% (198952 HH) by 30 June 2019</t>
  </si>
  <si>
    <t>43.07% (102987)</t>
  </si>
  <si>
    <t>Percent of Households with access to waste removal services from 43.07% (102987) to 43.9% (103035 HH)by 30 June 2019</t>
  </si>
  <si>
    <t>43.09% (48 HH)</t>
  </si>
  <si>
    <t>43.09% 48 HH)</t>
  </si>
  <si>
    <t>95.6% (228594 HH)</t>
  </si>
  <si>
    <t>Number ICT Steering Committee meeting held by 30 June 2019</t>
  </si>
  <si>
    <t>Invitations, Agend, Minutes and Attendance Registers</t>
  </si>
  <si>
    <t>ICT Assessment reports and Minutes</t>
  </si>
  <si>
    <t>Number of quarterly reports on the performance of ICT Service providers by 30 June 2019</t>
  </si>
  <si>
    <t>GGPP_TL26</t>
  </si>
  <si>
    <t xml:space="preserve">
FINAL 
TOP-LAYER
SERVICE DELIVERY AND BUDGET IMPLEMENTATION PLAN (SDBIP)
 2018/19 
</t>
  </si>
  <si>
    <t>Mankweng Cluster</t>
  </si>
  <si>
    <t>Rampheri - Maja</t>
  </si>
  <si>
    <t>Chuene/Maja/Molepo Cluster</t>
  </si>
  <si>
    <t>Polokwane</t>
  </si>
  <si>
    <t xml:space="preserve">Pcity Cluster </t>
  </si>
  <si>
    <t>Seshego</t>
  </si>
  <si>
    <t>Dikgale</t>
  </si>
  <si>
    <t>Bloodriver /Perskebult</t>
  </si>
  <si>
    <t xml:space="preserve">Mankweng  </t>
  </si>
  <si>
    <t>09,10,15,16,18,35,36,38</t>
  </si>
  <si>
    <t>6, 31</t>
  </si>
  <si>
    <t>25,26</t>
  </si>
  <si>
    <t xml:space="preserve">Municipal wide </t>
  </si>
  <si>
    <t>11,12,13,14,17,37</t>
  </si>
  <si>
    <t>40,42</t>
  </si>
  <si>
    <t xml:space="preserve">City Cluster </t>
  </si>
  <si>
    <t>12, 13, 14,17</t>
  </si>
  <si>
    <t>10, 16,36,37</t>
  </si>
  <si>
    <t>15, 36, 38</t>
  </si>
  <si>
    <t xml:space="preserve">29,31,32,33 </t>
  </si>
  <si>
    <t>18,35</t>
  </si>
  <si>
    <t>1,2</t>
  </si>
  <si>
    <t>27, 25, 31, 7, 26</t>
  </si>
  <si>
    <t>28,30, 31, 34</t>
  </si>
  <si>
    <t>40,41,42,43,44 &amp; 45</t>
  </si>
  <si>
    <t xml:space="preserve">City and Seshego Cluster </t>
  </si>
  <si>
    <t>08 19,20,21,22,23 &amp; 39</t>
  </si>
  <si>
    <t>9 19,20,21,22,23 &amp; 39</t>
  </si>
  <si>
    <t>11,12,13,14,17,37,08,19,20,21,22,23,39</t>
  </si>
  <si>
    <t>8,14</t>
  </si>
  <si>
    <t xml:space="preserve">11,12,13, 14,17,37
19,20,21,22,23
</t>
  </si>
  <si>
    <t>19,20,21,22,23, 39</t>
  </si>
  <si>
    <t>19,20,21,22,23</t>
  </si>
  <si>
    <t xml:space="preserve">20, 21, 19 </t>
  </si>
  <si>
    <t>8, 14,19</t>
  </si>
  <si>
    <t>8,11,12,13,14,37,37,19,20,21,22,23,39</t>
  </si>
  <si>
    <t>8,11,12,13,14,37,37</t>
  </si>
  <si>
    <t xml:space="preserve">City  </t>
  </si>
  <si>
    <t xml:space="preserve">City </t>
  </si>
  <si>
    <t xml:space="preserve">22, 19, 20, 39, 25, 26, 32, 31
</t>
  </si>
  <si>
    <t>Municipal Wide</t>
  </si>
  <si>
    <t xml:space="preserve">1,2,3,4,5 </t>
  </si>
  <si>
    <t xml:space="preserve">Ga-Maja </t>
  </si>
  <si>
    <t>Ext 44/77</t>
  </si>
  <si>
    <t xml:space="preserve">Tibane </t>
  </si>
  <si>
    <t>Sebayeng/Dikgale</t>
  </si>
  <si>
    <t xml:space="preserve">Aganang </t>
  </si>
  <si>
    <t xml:space="preserve">Municipal Wide </t>
  </si>
  <si>
    <t>108, 72, 78, 79, 106, 107, 126, 127, 133, 134, 121, Nivarna x5, southern gateway x1 and Ivy Park 35</t>
  </si>
  <si>
    <t>108, 72, 78, 79, 106, 107, 126, 127, 133, 134, 121, Nivarna x5, southern gateway x1 and Ivy Park 34</t>
  </si>
  <si>
    <t>8, 13, 14, 17, 19</t>
  </si>
</sst>
</file>

<file path=xl/styles.xml><?xml version="1.0" encoding="utf-8"?>
<styleSheet xmlns="http://schemas.openxmlformats.org/spreadsheetml/2006/main">
  <numFmts count="11">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_(* #,##0.00_);_(* \(#,##0.00\);_(* &quot;-&quot;??_);_(@_)"/>
    <numFmt numFmtId="165" formatCode="_-* #,##0.00_-;\-* #,##0.00_-;_-* &quot;-&quot;??_-;_-@_-"/>
    <numFmt numFmtId="166" formatCode="_-* #,##0_-;\-* #,##0_-;_-* &quot;-&quot;??_-;_-@_-"/>
  </numFmts>
  <fonts count="54">
    <font>
      <sz val="11"/>
      <color theme="1"/>
      <name val="Calibri"/>
      <family val="2"/>
    </font>
    <font>
      <sz val="11"/>
      <color indexed="8"/>
      <name val="Calibri"/>
      <family val="2"/>
    </font>
    <font>
      <b/>
      <sz val="11"/>
      <color indexed="8"/>
      <name val="Calibri"/>
      <family val="2"/>
    </font>
    <font>
      <sz val="10"/>
      <color indexed="8"/>
      <name val="Calibri"/>
      <family val="2"/>
    </font>
    <font>
      <sz val="8"/>
      <color indexed="8"/>
      <name val="Calibri"/>
      <family val="2"/>
    </font>
    <font>
      <b/>
      <sz val="10"/>
      <color indexed="8"/>
      <name val="Calibri"/>
      <family val="2"/>
    </font>
    <font>
      <b/>
      <sz val="10"/>
      <name val="Calibri"/>
      <family val="2"/>
    </font>
    <font>
      <sz val="10"/>
      <name val="Calibri"/>
      <family val="2"/>
    </font>
    <font>
      <b/>
      <u val="single"/>
      <sz val="10"/>
      <color indexed="8"/>
      <name val="Calibri"/>
      <family val="2"/>
    </font>
    <font>
      <i/>
      <u val="single"/>
      <sz val="10"/>
      <color indexed="8"/>
      <name val="Calibri"/>
      <family val="2"/>
    </font>
    <font>
      <i/>
      <sz val="10"/>
      <color indexed="8"/>
      <name val="Calibri"/>
      <family val="2"/>
    </font>
    <font>
      <b/>
      <i/>
      <sz val="10"/>
      <color indexed="8"/>
      <name val="Calibri"/>
      <family val="2"/>
    </font>
    <font>
      <sz val="10"/>
      <color indexed="8"/>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0"/>
      <color theme="1"/>
      <name val="Calibri"/>
      <family val="2"/>
    </font>
    <font>
      <b/>
      <sz val="10"/>
      <color theme="1"/>
      <name val="Calibri"/>
      <family val="2"/>
    </font>
    <font>
      <b/>
      <u val="single"/>
      <sz val="10"/>
      <color theme="1"/>
      <name val="Calibri"/>
      <family val="2"/>
    </font>
    <font>
      <i/>
      <u val="single"/>
      <sz val="10"/>
      <color theme="1"/>
      <name val="Calibri"/>
      <family val="2"/>
    </font>
    <font>
      <i/>
      <sz val="10"/>
      <color theme="1"/>
      <name val="Calibri"/>
      <family val="2"/>
    </font>
    <font>
      <b/>
      <sz val="10"/>
      <color rgb="FF000000"/>
      <name val="Calibri"/>
      <family val="2"/>
    </font>
    <font>
      <sz val="10"/>
      <color rgb="FF000000"/>
      <name val="Calibri"/>
      <family val="2"/>
    </font>
    <font>
      <b/>
      <i/>
      <sz val="10"/>
      <color theme="1"/>
      <name val="Calibri"/>
      <family val="2"/>
    </font>
    <font>
      <sz val="10"/>
      <color theme="1"/>
      <name val="Arial"/>
      <family val="2"/>
    </font>
    <font>
      <sz val="11"/>
      <color rgb="FF000000"/>
      <name val="Calibri"/>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rgb="FFFFFF99"/>
        <bgColor indexed="64"/>
      </patternFill>
    </fill>
    <fill>
      <patternFill patternType="solid">
        <fgColor rgb="FF00B050"/>
        <bgColor indexed="64"/>
      </patternFill>
    </fill>
    <fill>
      <patternFill patternType="solid">
        <fgColor rgb="FFFFFFFF"/>
        <bgColor indexed="64"/>
      </patternFill>
    </fill>
    <fill>
      <patternFill patternType="solid">
        <fgColor rgb="FFA8D08D"/>
        <bgColor indexed="64"/>
      </patternFill>
    </fill>
    <fill>
      <patternFill patternType="solid">
        <fgColor rgb="FFFFC000"/>
        <bgColor indexed="64"/>
      </patternFill>
    </fill>
    <fill>
      <patternFill patternType="solid">
        <fgColor rgb="FFB4C6E7"/>
        <bgColor indexed="64"/>
      </patternFill>
    </fill>
    <fill>
      <patternFill patternType="solid">
        <fgColor rgb="FFC5E0B3"/>
        <bgColor indexed="64"/>
      </patternFill>
    </fill>
    <fill>
      <patternFill patternType="solid">
        <fgColor rgb="FFFFFF00"/>
        <bgColor indexed="64"/>
      </patternFill>
    </fill>
    <fill>
      <patternFill patternType="solid">
        <fgColor theme="3" tint="0.7999799847602844"/>
        <bgColor indexed="64"/>
      </patternFill>
    </fill>
    <fill>
      <patternFill patternType="solid">
        <fgColor rgb="FF92D050"/>
        <bgColor indexed="64"/>
      </patternFill>
    </fill>
    <fill>
      <patternFill patternType="solid">
        <fgColor theme="0" tint="-0.349979996681213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1"/>
      </left>
      <right style="thin">
        <color theme="1"/>
      </right>
      <top style="thin">
        <color theme="1"/>
      </top>
      <bottom style="thin">
        <color theme="1"/>
      </bottom>
    </border>
    <border>
      <left style="thin">
        <color theme="1"/>
      </left>
      <right/>
      <top style="thin">
        <color theme="1"/>
      </top>
      <bottom style="thin">
        <color theme="1"/>
      </bottom>
    </border>
    <border>
      <left/>
      <right style="thin">
        <color theme="1"/>
      </right>
      <top style="thin">
        <color theme="1"/>
      </top>
      <bottom style="thin">
        <color theme="1"/>
      </bottom>
    </border>
    <border>
      <left style="thin">
        <color theme="1"/>
      </left>
      <right style="thin">
        <color theme="1"/>
      </right>
      <top/>
      <bottom style="thin">
        <color theme="1"/>
      </bottom>
    </border>
    <border>
      <left style="thin">
        <color theme="1"/>
      </left>
      <right style="thin">
        <color theme="1"/>
      </right>
      <top style="thin">
        <color theme="1"/>
      </top>
      <bottom/>
    </border>
    <border>
      <left style="thin">
        <color theme="1"/>
      </left>
      <right/>
      <top/>
      <bottom style="thin">
        <color theme="1"/>
      </bottom>
    </border>
    <border>
      <left style="thin"/>
      <right style="thin"/>
      <top style="thin"/>
      <bottom style="thin"/>
    </border>
    <border>
      <left/>
      <right style="thin">
        <color theme="1"/>
      </right>
      <top/>
      <bottom style="thin">
        <color theme="1"/>
      </bottom>
    </border>
    <border>
      <left style="medium"/>
      <right style="medium"/>
      <top/>
      <bottom/>
    </border>
    <border>
      <left/>
      <right style="medium"/>
      <top/>
      <bottom/>
    </border>
    <border>
      <left style="medium"/>
      <right style="medium"/>
      <top/>
      <bottom style="medium"/>
    </border>
    <border>
      <left/>
      <right style="medium"/>
      <top/>
      <bottom style="medium"/>
    </border>
    <border>
      <left/>
      <right/>
      <top/>
      <bottom style="medium"/>
    </border>
    <border>
      <left style="medium"/>
      <right/>
      <top/>
      <bottom/>
    </border>
    <border>
      <left/>
      <right style="medium"/>
      <top style="medium"/>
      <bottom/>
    </border>
    <border>
      <left/>
      <right/>
      <top style="medium"/>
      <bottom/>
    </border>
    <border>
      <left style="medium"/>
      <right style="medium"/>
      <top style="medium"/>
      <bottom/>
    </border>
    <border>
      <left style="medium"/>
      <right/>
      <top style="medium"/>
      <bottom/>
    </border>
    <border>
      <left style="medium"/>
      <right/>
      <top style="medium"/>
      <bottom style="medium"/>
    </border>
    <border>
      <left style="medium"/>
      <right style="medium"/>
      <top style="medium"/>
      <bottom style="medium"/>
    </border>
    <border>
      <left/>
      <right style="medium"/>
      <top style="medium"/>
      <bottom style="medium"/>
    </border>
    <border>
      <left/>
      <right/>
      <top style="medium"/>
      <bottom style="medium"/>
    </border>
    <border>
      <left style="thin"/>
      <right style="thin"/>
      <top style="thin"/>
      <bottom/>
    </border>
    <border>
      <left style="medium">
        <color rgb="FF000000"/>
      </left>
      <right style="medium">
        <color rgb="FF000000"/>
      </right>
      <top style="medium">
        <color rgb="FF000000"/>
      </top>
      <bottom style="medium">
        <color rgb="FF000000"/>
      </bottom>
    </border>
    <border>
      <left/>
      <right style="medium">
        <color rgb="FF000000"/>
      </right>
      <top style="medium">
        <color rgb="FF000000"/>
      </top>
      <bottom style="medium">
        <color rgb="FF000000"/>
      </bottom>
    </border>
    <border>
      <left style="medium">
        <color rgb="FF000000"/>
      </left>
      <right style="medium">
        <color rgb="FF000000"/>
      </right>
      <top/>
      <bottom style="medium">
        <color rgb="FF000000"/>
      </bottom>
    </border>
    <border>
      <left/>
      <right style="medium">
        <color rgb="FF000000"/>
      </right>
      <top/>
      <bottom style="medium">
        <color rgb="FF000000"/>
      </bottom>
    </border>
    <border>
      <left style="medium"/>
      <right style="thin"/>
      <top style="medium"/>
      <bottom style="thin"/>
    </border>
    <border>
      <left style="thin"/>
      <right style="thin"/>
      <top style="medium"/>
      <bottom/>
    </border>
    <border>
      <left style="medium"/>
      <right style="thin"/>
      <top style="thin"/>
      <bottom/>
    </border>
    <border>
      <left style="thin"/>
      <right style="medium"/>
      <top style="thin"/>
      <bottom style="thin"/>
    </border>
    <border>
      <left style="thin"/>
      <right style="thin"/>
      <top/>
      <bottom/>
    </border>
    <border>
      <left/>
      <right style="medium">
        <color rgb="FF000000"/>
      </right>
      <top style="medium"/>
      <bottom style="medium"/>
    </border>
    <border>
      <left/>
      <right/>
      <top style="thin">
        <color theme="1"/>
      </top>
      <bottom style="thin">
        <color theme="1"/>
      </bottom>
    </border>
    <border>
      <left style="thin">
        <color theme="1"/>
      </left>
      <right/>
      <top style="thin">
        <color theme="1"/>
      </top>
      <bottom/>
    </border>
    <border>
      <left/>
      <right/>
      <top style="thin">
        <color theme="1"/>
      </top>
      <bottom/>
    </border>
    <border>
      <left/>
      <right style="thin">
        <color theme="1"/>
      </right>
      <top style="thin">
        <color theme="1"/>
      </top>
      <bottom/>
    </border>
    <border>
      <left/>
      <right/>
      <top/>
      <bottom style="thin">
        <color theme="1"/>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164"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11">
    <xf numFmtId="0" fontId="0" fillId="0" borderId="0" xfId="0" applyFont="1" applyAlignment="1">
      <alignment/>
    </xf>
    <xf numFmtId="0" fontId="0" fillId="0" borderId="0" xfId="0" applyAlignment="1">
      <alignment vertical="top"/>
    </xf>
    <xf numFmtId="0" fontId="44" fillId="33" borderId="10" xfId="0" applyFont="1" applyFill="1" applyBorder="1" applyAlignment="1">
      <alignment vertical="top" wrapText="1"/>
    </xf>
    <xf numFmtId="0" fontId="7" fillId="33" borderId="10" xfId="0" applyFont="1" applyFill="1" applyBorder="1" applyAlignment="1">
      <alignment vertical="top" wrapText="1"/>
    </xf>
    <xf numFmtId="0" fontId="7" fillId="33" borderId="10" xfId="0" applyFont="1" applyFill="1" applyBorder="1" applyAlignment="1">
      <alignment horizontal="center" vertical="top" wrapText="1"/>
    </xf>
    <xf numFmtId="0" fontId="44" fillId="0" borderId="10" xfId="0" applyFont="1" applyBorder="1" applyAlignment="1">
      <alignment vertical="top" wrapText="1"/>
    </xf>
    <xf numFmtId="166" fontId="7" fillId="33" borderId="10" xfId="42" applyNumberFormat="1" applyFont="1" applyFill="1" applyBorder="1" applyAlignment="1">
      <alignment horizontal="center" vertical="top" wrapText="1"/>
    </xf>
    <xf numFmtId="165" fontId="7" fillId="33" borderId="10" xfId="42" applyNumberFormat="1" applyFont="1" applyFill="1" applyBorder="1" applyAlignment="1">
      <alignment vertical="top" wrapText="1"/>
    </xf>
    <xf numFmtId="165" fontId="7" fillId="33" borderId="10" xfId="42" applyNumberFormat="1" applyFont="1" applyFill="1" applyBorder="1" applyAlignment="1">
      <alignment horizontal="center" vertical="top" wrapText="1"/>
    </xf>
    <xf numFmtId="166" fontId="6" fillId="33" borderId="10" xfId="42" applyNumberFormat="1" applyFont="1" applyFill="1" applyBorder="1" applyAlignment="1">
      <alignment horizontal="center" vertical="top" wrapText="1"/>
    </xf>
    <xf numFmtId="0" fontId="7" fillId="0" borderId="10" xfId="0" applyFont="1" applyFill="1" applyBorder="1" applyAlignment="1">
      <alignment vertical="top" wrapText="1"/>
    </xf>
    <xf numFmtId="0" fontId="7" fillId="0" borderId="10" xfId="0" applyFont="1" applyFill="1" applyBorder="1" applyAlignment="1">
      <alignment horizontal="center" vertical="top" wrapText="1"/>
    </xf>
    <xf numFmtId="166" fontId="7" fillId="0" borderId="10" xfId="42" applyNumberFormat="1" applyFont="1" applyFill="1" applyBorder="1" applyAlignment="1">
      <alignment horizontal="center" vertical="top" wrapText="1"/>
    </xf>
    <xf numFmtId="0" fontId="44" fillId="0" borderId="10" xfId="0" applyFont="1" applyBorder="1" applyAlignment="1">
      <alignment horizontal="left" vertical="top" wrapText="1"/>
    </xf>
    <xf numFmtId="0" fontId="44" fillId="33" borderId="10" xfId="0" applyFont="1" applyFill="1" applyBorder="1" applyAlignment="1">
      <alignment horizontal="left" vertical="top" wrapText="1"/>
    </xf>
    <xf numFmtId="0" fontId="7" fillId="33" borderId="10" xfId="0" applyFont="1" applyFill="1" applyBorder="1" applyAlignment="1">
      <alignment horizontal="left" vertical="top" wrapText="1"/>
    </xf>
    <xf numFmtId="165" fontId="7" fillId="33" borderId="10" xfId="42" applyNumberFormat="1" applyFont="1" applyFill="1" applyBorder="1" applyAlignment="1">
      <alignment horizontal="left" vertical="top" wrapText="1"/>
    </xf>
    <xf numFmtId="166" fontId="7" fillId="33" borderId="11" xfId="42" applyNumberFormat="1" applyFont="1" applyFill="1" applyBorder="1" applyAlignment="1">
      <alignment horizontal="left" vertical="top" wrapText="1"/>
    </xf>
    <xf numFmtId="0" fontId="44" fillId="0" borderId="12" xfId="0" applyFont="1" applyBorder="1" applyAlignment="1">
      <alignment horizontal="left" vertical="top" wrapText="1"/>
    </xf>
    <xf numFmtId="0" fontId="44" fillId="0" borderId="11" xfId="0" applyFont="1" applyBorder="1" applyAlignment="1">
      <alignment horizontal="left" vertical="top" wrapText="1"/>
    </xf>
    <xf numFmtId="166" fontId="7" fillId="33" borderId="10" xfId="42" applyNumberFormat="1" applyFont="1" applyFill="1" applyBorder="1" applyAlignment="1">
      <alignment horizontal="left" vertical="top" wrapText="1"/>
    </xf>
    <xf numFmtId="0" fontId="44" fillId="0" borderId="13" xfId="0" applyFont="1" applyBorder="1" applyAlignment="1">
      <alignment horizontal="left" vertical="top" wrapText="1"/>
    </xf>
    <xf numFmtId="0" fontId="44" fillId="0" borderId="14" xfId="0" applyFont="1" applyBorder="1" applyAlignment="1">
      <alignment horizontal="left" vertical="top" wrapText="1"/>
    </xf>
    <xf numFmtId="0" fontId="44" fillId="0" borderId="15" xfId="0" applyFont="1" applyBorder="1" applyAlignment="1">
      <alignment horizontal="left" vertical="top" wrapText="1"/>
    </xf>
    <xf numFmtId="165" fontId="7" fillId="0" borderId="10" xfId="42" applyNumberFormat="1" applyFont="1" applyFill="1" applyBorder="1" applyAlignment="1">
      <alignment horizontal="left" vertical="top" wrapText="1"/>
    </xf>
    <xf numFmtId="166" fontId="7" fillId="0" borderId="14" xfId="42" applyNumberFormat="1" applyFont="1" applyFill="1" applyBorder="1" applyAlignment="1">
      <alignment horizontal="left" vertical="top" wrapText="1"/>
    </xf>
    <xf numFmtId="166" fontId="7" fillId="0" borderId="16" xfId="42" applyNumberFormat="1" applyFont="1" applyFill="1" applyBorder="1" applyAlignment="1">
      <alignment horizontal="left" vertical="top" wrapText="1"/>
    </xf>
    <xf numFmtId="0" fontId="44" fillId="0" borderId="16" xfId="0" applyFont="1" applyBorder="1" applyAlignment="1">
      <alignment horizontal="left" vertical="top" wrapText="1"/>
    </xf>
    <xf numFmtId="166" fontId="7" fillId="0" borderId="15" xfId="42" applyNumberFormat="1" applyFont="1" applyFill="1" applyBorder="1" applyAlignment="1">
      <alignment horizontal="left" vertical="top" wrapText="1"/>
    </xf>
    <xf numFmtId="0" fontId="44" fillId="0" borderId="17" xfId="0" applyFont="1" applyBorder="1" applyAlignment="1">
      <alignment horizontal="left" vertical="top" wrapText="1"/>
    </xf>
    <xf numFmtId="166" fontId="7" fillId="0" borderId="10" xfId="42" applyNumberFormat="1" applyFont="1" applyFill="1" applyBorder="1" applyAlignment="1">
      <alignment horizontal="left" vertical="top" wrapText="1"/>
    </xf>
    <xf numFmtId="0" fontId="7" fillId="0" borderId="10" xfId="0" applyFont="1" applyFill="1" applyBorder="1" applyAlignment="1">
      <alignment horizontal="left" vertical="top" wrapText="1"/>
    </xf>
    <xf numFmtId="165" fontId="7" fillId="0" borderId="10" xfId="42" applyNumberFormat="1" applyFont="1" applyFill="1" applyBorder="1" applyAlignment="1">
      <alignment vertical="top" wrapText="1"/>
    </xf>
    <xf numFmtId="165" fontId="7" fillId="0" borderId="10" xfId="42" applyNumberFormat="1" applyFont="1" applyFill="1" applyBorder="1" applyAlignment="1">
      <alignment horizontal="center" vertical="top" wrapText="1"/>
    </xf>
    <xf numFmtId="166" fontId="7" fillId="33" borderId="11" xfId="42" applyNumberFormat="1" applyFont="1" applyFill="1" applyBorder="1" applyAlignment="1">
      <alignment horizontal="center" vertical="top" wrapText="1"/>
    </xf>
    <xf numFmtId="166" fontId="7" fillId="0" borderId="11" xfId="42" applyNumberFormat="1" applyFont="1" applyFill="1" applyBorder="1" applyAlignment="1">
      <alignment horizontal="center" vertical="top" wrapText="1"/>
    </xf>
    <xf numFmtId="0" fontId="6" fillId="34" borderId="10" xfId="0" applyFont="1" applyFill="1" applyBorder="1" applyAlignment="1">
      <alignment vertical="top" wrapText="1"/>
    </xf>
    <xf numFmtId="0" fontId="6" fillId="34" borderId="10" xfId="0" applyFont="1" applyFill="1" applyBorder="1" applyAlignment="1">
      <alignment horizontal="center" vertical="top" wrapText="1"/>
    </xf>
    <xf numFmtId="166" fontId="6" fillId="34" borderId="10" xfId="42" applyNumberFormat="1" applyFont="1" applyFill="1" applyBorder="1" applyAlignment="1">
      <alignment horizontal="center" vertical="top" wrapText="1"/>
    </xf>
    <xf numFmtId="0" fontId="44" fillId="0" borderId="0" xfId="0" applyFont="1" applyAlignment="1">
      <alignment vertical="top"/>
    </xf>
    <xf numFmtId="0" fontId="45" fillId="35" borderId="18" xfId="0" applyFont="1" applyFill="1" applyBorder="1" applyAlignment="1">
      <alignment horizontal="center" vertical="top" wrapText="1"/>
    </xf>
    <xf numFmtId="0" fontId="45" fillId="35" borderId="19" xfId="0" applyFont="1" applyFill="1" applyBorder="1" applyAlignment="1">
      <alignment vertical="top"/>
    </xf>
    <xf numFmtId="0" fontId="45" fillId="35" borderId="20" xfId="0" applyFont="1" applyFill="1" applyBorder="1" applyAlignment="1">
      <alignment vertical="top" wrapText="1"/>
    </xf>
    <xf numFmtId="0" fontId="45" fillId="35" borderId="21" xfId="0" applyFont="1" applyFill="1" applyBorder="1" applyAlignment="1">
      <alignment vertical="top"/>
    </xf>
    <xf numFmtId="0" fontId="45" fillId="35" borderId="21" xfId="0" applyFont="1" applyFill="1" applyBorder="1" applyAlignment="1">
      <alignment horizontal="center" vertical="top" wrapText="1"/>
    </xf>
    <xf numFmtId="0" fontId="45" fillId="35" borderId="22" xfId="0" applyFont="1" applyFill="1" applyBorder="1" applyAlignment="1">
      <alignment horizontal="center" vertical="top" wrapText="1"/>
    </xf>
    <xf numFmtId="0" fontId="45" fillId="35" borderId="20" xfId="0" applyFont="1" applyFill="1" applyBorder="1" applyAlignment="1">
      <alignment horizontal="center" vertical="top" wrapText="1"/>
    </xf>
    <xf numFmtId="0" fontId="46" fillId="0" borderId="23" xfId="0" applyFont="1" applyBorder="1" applyAlignment="1">
      <alignment vertical="top" wrapText="1"/>
    </xf>
    <xf numFmtId="0" fontId="46" fillId="0" borderId="18" xfId="0" applyFont="1" applyBorder="1" applyAlignment="1">
      <alignment horizontal="center" vertical="top"/>
    </xf>
    <xf numFmtId="0" fontId="45" fillId="0" borderId="19" xfId="0" applyFont="1" applyBorder="1" applyAlignment="1">
      <alignment horizontal="center" vertical="top"/>
    </xf>
    <xf numFmtId="0" fontId="45" fillId="0" borderId="0" xfId="0" applyFont="1" applyAlignment="1">
      <alignment horizontal="center" vertical="top"/>
    </xf>
    <xf numFmtId="0" fontId="45" fillId="0" borderId="18" xfId="0" applyFont="1" applyBorder="1" applyAlignment="1">
      <alignment horizontal="center" vertical="top"/>
    </xf>
    <xf numFmtId="0" fontId="44" fillId="0" borderId="23" xfId="0" applyFont="1" applyBorder="1" applyAlignment="1">
      <alignment horizontal="left" vertical="top" wrapText="1"/>
    </xf>
    <xf numFmtId="0" fontId="44" fillId="0" borderId="18" xfId="0" applyFont="1" applyBorder="1" applyAlignment="1">
      <alignment horizontal="center" vertical="top"/>
    </xf>
    <xf numFmtId="3" fontId="44" fillId="36" borderId="19" xfId="0" applyNumberFormat="1" applyFont="1" applyFill="1" applyBorder="1" applyAlignment="1">
      <alignment vertical="top"/>
    </xf>
    <xf numFmtId="3" fontId="44" fillId="0" borderId="19" xfId="0" applyNumberFormat="1" applyFont="1" applyBorder="1" applyAlignment="1">
      <alignment vertical="top"/>
    </xf>
    <xf numFmtId="3" fontId="44" fillId="0" borderId="0" xfId="0" applyNumberFormat="1" applyFont="1" applyAlignment="1">
      <alignment vertical="top"/>
    </xf>
    <xf numFmtId="3" fontId="44" fillId="0" borderId="18" xfId="0" applyNumberFormat="1" applyFont="1" applyBorder="1" applyAlignment="1">
      <alignment vertical="top"/>
    </xf>
    <xf numFmtId="0" fontId="44" fillId="36" borderId="19" xfId="0" applyFont="1" applyFill="1" applyBorder="1" applyAlignment="1">
      <alignment vertical="top"/>
    </xf>
    <xf numFmtId="0" fontId="44" fillId="0" borderId="19" xfId="0" applyFont="1" applyBorder="1" applyAlignment="1">
      <alignment vertical="top"/>
    </xf>
    <xf numFmtId="0" fontId="44" fillId="0" borderId="18" xfId="0" applyFont="1" applyBorder="1" applyAlignment="1">
      <alignment vertical="top"/>
    </xf>
    <xf numFmtId="0" fontId="45" fillId="0" borderId="23" xfId="0" applyFont="1" applyBorder="1" applyAlignment="1">
      <alignment vertical="top" wrapText="1"/>
    </xf>
    <xf numFmtId="3" fontId="45" fillId="0" borderId="24" xfId="0" applyNumberFormat="1" applyFont="1" applyBorder="1" applyAlignment="1">
      <alignment vertical="top"/>
    </xf>
    <xf numFmtId="3" fontId="45" fillId="0" borderId="25" xfId="0" applyNumberFormat="1" applyFont="1" applyBorder="1" applyAlignment="1">
      <alignment vertical="top"/>
    </xf>
    <xf numFmtId="3" fontId="45" fillId="0" borderId="26" xfId="0" applyNumberFormat="1" applyFont="1" applyBorder="1" applyAlignment="1">
      <alignment vertical="top"/>
    </xf>
    <xf numFmtId="0" fontId="44" fillId="0" borderId="23" xfId="0" applyFont="1" applyBorder="1" applyAlignment="1">
      <alignment vertical="top" wrapText="1"/>
    </xf>
    <xf numFmtId="0" fontId="45" fillId="0" borderId="27" xfId="0" applyFont="1" applyBorder="1" applyAlignment="1">
      <alignment vertical="top" wrapText="1"/>
    </xf>
    <xf numFmtId="0" fontId="45" fillId="0" borderId="26" xfId="0" applyFont="1" applyBorder="1" applyAlignment="1">
      <alignment horizontal="center" vertical="top"/>
    </xf>
    <xf numFmtId="0" fontId="45" fillId="0" borderId="26" xfId="0" applyFont="1" applyBorder="1" applyAlignment="1">
      <alignment horizontal="center" vertical="top" wrapText="1"/>
    </xf>
    <xf numFmtId="0" fontId="44" fillId="0" borderId="18" xfId="0" applyFont="1" applyBorder="1" applyAlignment="1">
      <alignment horizontal="center" vertical="top" wrapText="1"/>
    </xf>
    <xf numFmtId="0" fontId="44" fillId="36" borderId="21" xfId="0" applyFont="1" applyFill="1" applyBorder="1" applyAlignment="1">
      <alignment vertical="top"/>
    </xf>
    <xf numFmtId="0" fontId="45" fillId="0" borderId="28" xfId="0" applyFont="1" applyBorder="1" applyAlignment="1">
      <alignment vertical="top" wrapText="1"/>
    </xf>
    <xf numFmtId="0" fontId="45" fillId="0" borderId="29" xfId="0" applyFont="1" applyBorder="1" applyAlignment="1">
      <alignment horizontal="center" vertical="top" wrapText="1"/>
    </xf>
    <xf numFmtId="3" fontId="45" fillId="0" borderId="22" xfId="0" applyNumberFormat="1" applyFont="1" applyBorder="1" applyAlignment="1">
      <alignment vertical="top"/>
    </xf>
    <xf numFmtId="3" fontId="45" fillId="0" borderId="20" xfId="0" applyNumberFormat="1" applyFont="1" applyBorder="1" applyAlignment="1">
      <alignment vertical="top"/>
    </xf>
    <xf numFmtId="3" fontId="45" fillId="0" borderId="21" xfId="0" applyNumberFormat="1" applyFont="1" applyBorder="1" applyAlignment="1">
      <alignment vertical="top"/>
    </xf>
    <xf numFmtId="3" fontId="45" fillId="0" borderId="30" xfId="0" applyNumberFormat="1" applyFont="1" applyBorder="1" applyAlignment="1">
      <alignment vertical="top"/>
    </xf>
    <xf numFmtId="3" fontId="45" fillId="0" borderId="31" xfId="0" applyNumberFormat="1" applyFont="1" applyBorder="1" applyAlignment="1">
      <alignment vertical="top"/>
    </xf>
    <xf numFmtId="3" fontId="45" fillId="0" borderId="29" xfId="0" applyNumberFormat="1" applyFont="1" applyBorder="1" applyAlignment="1">
      <alignment vertical="top"/>
    </xf>
    <xf numFmtId="0" fontId="47" fillId="0" borderId="0" xfId="0" applyFont="1" applyAlignment="1">
      <alignment vertical="top" wrapText="1"/>
    </xf>
    <xf numFmtId="0" fontId="44" fillId="0" borderId="0" xfId="0" applyFont="1" applyAlignment="1">
      <alignment vertical="top" wrapText="1"/>
    </xf>
    <xf numFmtId="0" fontId="48" fillId="0" borderId="0" xfId="0" applyFont="1" applyAlignment="1">
      <alignment vertical="top" wrapText="1"/>
    </xf>
    <xf numFmtId="0" fontId="48" fillId="0" borderId="0" xfId="0" applyFont="1" applyAlignment="1">
      <alignment horizontal="right" vertical="top" wrapText="1"/>
    </xf>
    <xf numFmtId="0" fontId="48" fillId="0" borderId="0" xfId="0" applyFont="1" applyAlignment="1">
      <alignment vertical="top"/>
    </xf>
    <xf numFmtId="0" fontId="44" fillId="36" borderId="0" xfId="0" applyFont="1" applyFill="1" applyAlignment="1">
      <alignment vertical="top"/>
    </xf>
    <xf numFmtId="0" fontId="44" fillId="36" borderId="18" xfId="0" applyFont="1" applyFill="1" applyBorder="1" applyAlignment="1">
      <alignment vertical="top"/>
    </xf>
    <xf numFmtId="3" fontId="44" fillId="36" borderId="0" xfId="0" applyNumberFormat="1" applyFont="1" applyFill="1" applyAlignment="1">
      <alignment vertical="top"/>
    </xf>
    <xf numFmtId="3" fontId="44" fillId="36" borderId="18" xfId="0" applyNumberFormat="1" applyFont="1" applyFill="1" applyBorder="1" applyAlignment="1">
      <alignment vertical="top"/>
    </xf>
    <xf numFmtId="166" fontId="7" fillId="33" borderId="16" xfId="42" applyNumberFormat="1" applyFont="1" applyFill="1" applyBorder="1" applyAlignment="1">
      <alignment horizontal="center" vertical="top" wrapText="1"/>
    </xf>
    <xf numFmtId="166" fontId="7" fillId="0" borderId="16" xfId="42" applyNumberFormat="1" applyFont="1" applyFill="1" applyBorder="1" applyAlignment="1">
      <alignment horizontal="center" vertical="top" wrapText="1"/>
    </xf>
    <xf numFmtId="0" fontId="7" fillId="0" borderId="10" xfId="0" applyFont="1" applyBorder="1" applyAlignment="1">
      <alignment horizontal="left" vertical="top" wrapText="1"/>
    </xf>
    <xf numFmtId="0" fontId="44" fillId="0" borderId="16" xfId="0" applyFont="1" applyBorder="1" applyAlignment="1">
      <alignment vertical="top" wrapText="1"/>
    </xf>
    <xf numFmtId="0" fontId="44" fillId="0" borderId="11" xfId="0" applyFont="1" applyBorder="1" applyAlignment="1">
      <alignment vertical="top" wrapText="1"/>
    </xf>
    <xf numFmtId="0" fontId="49" fillId="37" borderId="10" xfId="0" applyFont="1" applyFill="1" applyBorder="1" applyAlignment="1">
      <alignment horizontal="left" vertical="top" wrapText="1"/>
    </xf>
    <xf numFmtId="0" fontId="49" fillId="37" borderId="10" xfId="0" applyFont="1" applyFill="1" applyBorder="1" applyAlignment="1">
      <alignment vertical="top" wrapText="1"/>
    </xf>
    <xf numFmtId="0" fontId="50" fillId="0" borderId="16" xfId="0" applyFont="1" applyFill="1" applyBorder="1" applyAlignment="1">
      <alignment horizontal="left" vertical="top" wrapText="1"/>
    </xf>
    <xf numFmtId="0" fontId="50" fillId="0" borderId="16" xfId="0" applyFont="1" applyFill="1" applyBorder="1" applyAlignment="1">
      <alignment vertical="top" wrapText="1"/>
    </xf>
    <xf numFmtId="0" fontId="44" fillId="0" borderId="16" xfId="0" applyFont="1" applyFill="1" applyBorder="1" applyAlignment="1">
      <alignment horizontal="left" vertical="top" wrapText="1"/>
    </xf>
    <xf numFmtId="3" fontId="44" fillId="33" borderId="32" xfId="0" applyNumberFormat="1" applyFont="1" applyFill="1" applyBorder="1" applyAlignment="1">
      <alignment horizontal="left" vertical="top" wrapText="1"/>
    </xf>
    <xf numFmtId="0" fontId="44" fillId="38" borderId="16" xfId="55" applyFont="1" applyFill="1" applyBorder="1" applyAlignment="1">
      <alignment horizontal="left" vertical="top" wrapText="1"/>
      <protection/>
    </xf>
    <xf numFmtId="0" fontId="7" fillId="38" borderId="16" xfId="55" applyFont="1" applyFill="1" applyBorder="1" applyAlignment="1">
      <alignment horizontal="left" vertical="top" wrapText="1"/>
      <protection/>
    </xf>
    <xf numFmtId="0" fontId="44" fillId="38" borderId="16" xfId="0" applyFont="1" applyFill="1" applyBorder="1" applyAlignment="1">
      <alignment horizontal="left" vertical="top" wrapText="1"/>
    </xf>
    <xf numFmtId="0" fontId="44" fillId="38" borderId="16" xfId="0" applyFont="1" applyFill="1" applyBorder="1" applyAlignment="1">
      <alignment vertical="top" wrapText="1"/>
    </xf>
    <xf numFmtId="0" fontId="44" fillId="0" borderId="0" xfId="0" applyFont="1" applyAlignment="1">
      <alignment horizontal="center" vertical="top" wrapText="1"/>
    </xf>
    <xf numFmtId="0" fontId="44" fillId="0" borderId="0" xfId="0" applyFont="1" applyAlignment="1">
      <alignment horizontal="left" vertical="top" wrapText="1"/>
    </xf>
    <xf numFmtId="0" fontId="0" fillId="0" borderId="0" xfId="0" applyFont="1" applyAlignment="1">
      <alignment/>
    </xf>
    <xf numFmtId="0" fontId="45" fillId="39" borderId="33" xfId="0" applyFont="1" applyFill="1" applyBorder="1" applyAlignment="1">
      <alignment vertical="top" wrapText="1"/>
    </xf>
    <xf numFmtId="0" fontId="45" fillId="39" borderId="34" xfId="0" applyFont="1" applyFill="1" applyBorder="1" applyAlignment="1">
      <alignment vertical="top" wrapText="1"/>
    </xf>
    <xf numFmtId="0" fontId="50" fillId="0" borderId="35" xfId="0" applyFont="1" applyBorder="1" applyAlignment="1">
      <alignment vertical="top" wrapText="1"/>
    </xf>
    <xf numFmtId="0" fontId="44" fillId="0" borderId="36" xfId="0" applyFont="1" applyBorder="1" applyAlignment="1">
      <alignment vertical="top" wrapText="1"/>
    </xf>
    <xf numFmtId="9" fontId="44" fillId="0" borderId="36" xfId="0" applyNumberFormat="1" applyFont="1" applyBorder="1" applyAlignment="1">
      <alignment vertical="top" wrapText="1"/>
    </xf>
    <xf numFmtId="0" fontId="0" fillId="33" borderId="0" xfId="0" applyFont="1" applyFill="1" applyAlignment="1">
      <alignment/>
    </xf>
    <xf numFmtId="0" fontId="45" fillId="40" borderId="33" xfId="0" applyFont="1" applyFill="1" applyBorder="1" applyAlignment="1">
      <alignment vertical="top" wrapText="1"/>
    </xf>
    <xf numFmtId="0" fontId="45" fillId="40" borderId="34" xfId="0" applyFont="1" applyFill="1" applyBorder="1" applyAlignment="1">
      <alignment vertical="top" wrapText="1"/>
    </xf>
    <xf numFmtId="0" fontId="44" fillId="33" borderId="36" xfId="0" applyFont="1" applyFill="1" applyBorder="1" applyAlignment="1">
      <alignment vertical="top" wrapText="1"/>
    </xf>
    <xf numFmtId="9" fontId="44" fillId="33" borderId="36" xfId="0" applyNumberFormat="1" applyFont="1" applyFill="1" applyBorder="1" applyAlignment="1">
      <alignment vertical="top" wrapText="1"/>
    </xf>
    <xf numFmtId="0" fontId="45" fillId="41" borderId="33" xfId="0" applyFont="1" applyFill="1" applyBorder="1" applyAlignment="1">
      <alignment vertical="top" wrapText="1"/>
    </xf>
    <xf numFmtId="0" fontId="45" fillId="41" borderId="34" xfId="0" applyFont="1" applyFill="1" applyBorder="1" applyAlignment="1">
      <alignment vertical="top" wrapText="1"/>
    </xf>
    <xf numFmtId="0" fontId="45" fillId="42" borderId="33" xfId="0" applyFont="1" applyFill="1" applyBorder="1" applyAlignment="1">
      <alignment vertical="top" wrapText="1"/>
    </xf>
    <xf numFmtId="0" fontId="45" fillId="42" borderId="34" xfId="0" applyFont="1" applyFill="1" applyBorder="1" applyAlignment="1">
      <alignment vertical="top" wrapText="1"/>
    </xf>
    <xf numFmtId="15" fontId="44" fillId="0" borderId="36" xfId="0" applyNumberFormat="1" applyFont="1" applyBorder="1" applyAlignment="1">
      <alignment vertical="top" wrapText="1"/>
    </xf>
    <xf numFmtId="0" fontId="50" fillId="0" borderId="33" xfId="0" applyFont="1" applyBorder="1" applyAlignment="1">
      <alignment vertical="top" wrapText="1"/>
    </xf>
    <xf numFmtId="0" fontId="44" fillId="0" borderId="33" xfId="0" applyFont="1" applyBorder="1" applyAlignment="1">
      <alignment vertical="top" wrapText="1"/>
    </xf>
    <xf numFmtId="0" fontId="45" fillId="43" borderId="33" xfId="0" applyFont="1" applyFill="1" applyBorder="1" applyAlignment="1">
      <alignment vertical="top" wrapText="1"/>
    </xf>
    <xf numFmtId="0" fontId="7" fillId="0" borderId="33" xfId="0" applyFont="1" applyBorder="1" applyAlignment="1">
      <alignment vertical="top" wrapText="1"/>
    </xf>
    <xf numFmtId="9" fontId="44" fillId="0" borderId="33" xfId="0" applyNumberFormat="1" applyFont="1" applyBorder="1" applyAlignment="1">
      <alignment vertical="top" wrapText="1"/>
    </xf>
    <xf numFmtId="0" fontId="44" fillId="33" borderId="33" xfId="0" applyFont="1" applyFill="1" applyBorder="1" applyAlignment="1">
      <alignment vertical="top" wrapText="1"/>
    </xf>
    <xf numFmtId="165" fontId="6" fillId="8" borderId="37" xfId="42" applyNumberFormat="1" applyFont="1" applyFill="1" applyBorder="1" applyAlignment="1">
      <alignment horizontal="center" vertical="center" wrapText="1"/>
    </xf>
    <xf numFmtId="165" fontId="6" fillId="8" borderId="38" xfId="42" applyNumberFormat="1" applyFont="1" applyFill="1" applyBorder="1" applyAlignment="1">
      <alignment horizontal="center" vertical="top" wrapText="1"/>
    </xf>
    <xf numFmtId="166" fontId="45" fillId="8" borderId="16" xfId="42" applyNumberFormat="1" applyFont="1" applyFill="1" applyBorder="1" applyAlignment="1" quotePrefix="1">
      <alignment horizontal="center" vertical="center" wrapText="1"/>
    </xf>
    <xf numFmtId="166" fontId="45" fillId="8" borderId="16" xfId="42" applyNumberFormat="1" applyFont="1" applyFill="1" applyBorder="1" applyAlignment="1">
      <alignment horizontal="center" vertical="center" wrapText="1"/>
    </xf>
    <xf numFmtId="165" fontId="6" fillId="8" borderId="39" xfId="42" applyNumberFormat="1" applyFont="1" applyFill="1" applyBorder="1" applyAlignment="1">
      <alignment horizontal="center" vertical="center" wrapText="1"/>
    </xf>
    <xf numFmtId="165" fontId="3" fillId="8" borderId="16" xfId="42" applyNumberFormat="1" applyFont="1" applyFill="1" applyBorder="1" applyAlignment="1">
      <alignment horizontal="center" vertical="top" wrapText="1"/>
    </xf>
    <xf numFmtId="166" fontId="45" fillId="8" borderId="16" xfId="42" applyNumberFormat="1" applyFont="1" applyFill="1" applyBorder="1" applyAlignment="1">
      <alignment horizontal="center" vertical="top" wrapText="1"/>
    </xf>
    <xf numFmtId="0" fontId="7" fillId="0" borderId="16" xfId="0" applyFont="1" applyFill="1" applyBorder="1" applyAlignment="1">
      <alignment vertical="top" wrapText="1"/>
    </xf>
    <xf numFmtId="0" fontId="7" fillId="0" borderId="16" xfId="0" applyFont="1" applyFill="1" applyBorder="1" applyAlignment="1">
      <alignment horizontal="center" vertical="top"/>
    </xf>
    <xf numFmtId="166" fontId="44" fillId="0" borderId="16" xfId="42" applyNumberFormat="1" applyFont="1" applyFill="1" applyBorder="1" applyAlignment="1">
      <alignment horizontal="center" vertical="top"/>
    </xf>
    <xf numFmtId="0" fontId="45" fillId="33" borderId="16" xfId="0" applyFont="1" applyFill="1" applyBorder="1" applyAlignment="1">
      <alignment vertical="top" wrapText="1"/>
    </xf>
    <xf numFmtId="0" fontId="45" fillId="33" borderId="16" xfId="0" applyFont="1" applyFill="1" applyBorder="1" applyAlignment="1">
      <alignment horizontal="center" vertical="top"/>
    </xf>
    <xf numFmtId="166" fontId="45" fillId="33" borderId="16" xfId="42" applyNumberFormat="1" applyFont="1" applyFill="1" applyBorder="1" applyAlignment="1">
      <alignment horizontal="center" vertical="top"/>
    </xf>
    <xf numFmtId="0" fontId="44" fillId="33" borderId="16" xfId="0" applyFont="1" applyFill="1" applyBorder="1" applyAlignment="1">
      <alignment vertical="top" wrapText="1"/>
    </xf>
    <xf numFmtId="0" fontId="44" fillId="33" borderId="16" xfId="0" applyFont="1" applyFill="1" applyBorder="1" applyAlignment="1">
      <alignment horizontal="center" vertical="top"/>
    </xf>
    <xf numFmtId="166" fontId="44" fillId="33" borderId="16" xfId="42" applyNumberFormat="1" applyFont="1" applyFill="1" applyBorder="1" applyAlignment="1">
      <alignment horizontal="center" vertical="top"/>
    </xf>
    <xf numFmtId="165" fontId="45" fillId="33" borderId="16" xfId="42" applyNumberFormat="1" applyFont="1" applyFill="1" applyBorder="1" applyAlignment="1">
      <alignment vertical="top" wrapText="1"/>
    </xf>
    <xf numFmtId="165" fontId="44" fillId="33" borderId="16" xfId="42" applyNumberFormat="1" applyFont="1" applyFill="1" applyBorder="1" applyAlignment="1">
      <alignment vertical="top"/>
    </xf>
    <xf numFmtId="166" fontId="44" fillId="33" borderId="16" xfId="42" applyNumberFormat="1" applyFont="1" applyFill="1" applyBorder="1" applyAlignment="1">
      <alignment vertical="top"/>
    </xf>
    <xf numFmtId="166" fontId="45" fillId="33" borderId="16" xfId="42" applyNumberFormat="1" applyFont="1" applyFill="1" applyBorder="1" applyAlignment="1">
      <alignment vertical="top"/>
    </xf>
    <xf numFmtId="165" fontId="44" fillId="33" borderId="16" xfId="42" applyNumberFormat="1" applyFont="1" applyFill="1" applyBorder="1" applyAlignment="1">
      <alignment vertical="top" wrapText="1"/>
    </xf>
    <xf numFmtId="165" fontId="44" fillId="33" borderId="16" xfId="42" applyNumberFormat="1" applyFont="1" applyFill="1" applyBorder="1" applyAlignment="1">
      <alignment horizontal="center" vertical="top"/>
    </xf>
    <xf numFmtId="0" fontId="44" fillId="33" borderId="16" xfId="0" applyFont="1" applyFill="1" applyBorder="1" applyAlignment="1">
      <alignment vertical="top"/>
    </xf>
    <xf numFmtId="166" fontId="45" fillId="44" borderId="16" xfId="42" applyNumberFormat="1" applyFont="1" applyFill="1" applyBorder="1" applyAlignment="1">
      <alignment horizontal="center" vertical="top"/>
    </xf>
    <xf numFmtId="166" fontId="44" fillId="33" borderId="16" xfId="42" applyNumberFormat="1" applyFont="1" applyFill="1" applyBorder="1" applyAlignment="1">
      <alignment horizontal="center" vertical="top" wrapText="1"/>
    </xf>
    <xf numFmtId="0" fontId="44" fillId="33" borderId="16" xfId="0" applyFont="1" applyFill="1" applyBorder="1" applyAlignment="1">
      <alignment horizontal="left" vertical="top" wrapText="1"/>
    </xf>
    <xf numFmtId="166" fontId="45" fillId="44" borderId="16" xfId="42" applyNumberFormat="1" applyFont="1" applyFill="1" applyBorder="1" applyAlignment="1">
      <alignment horizontal="center" vertical="top" wrapText="1"/>
    </xf>
    <xf numFmtId="165" fontId="44" fillId="33" borderId="16" xfId="42" applyNumberFormat="1" applyFont="1" applyFill="1" applyBorder="1" applyAlignment="1">
      <alignment horizontal="center" vertical="top" wrapText="1"/>
    </xf>
    <xf numFmtId="0" fontId="45" fillId="33" borderId="16" xfId="0" applyFont="1" applyFill="1" applyBorder="1" applyAlignment="1">
      <alignment horizontal="left" vertical="top" wrapText="1"/>
    </xf>
    <xf numFmtId="165" fontId="44" fillId="33" borderId="16" xfId="42" applyNumberFormat="1" applyFont="1" applyFill="1" applyBorder="1" applyAlignment="1">
      <alignment horizontal="left" vertical="top" wrapText="1"/>
    </xf>
    <xf numFmtId="0" fontId="51" fillId="33" borderId="16" xfId="0" applyFont="1" applyFill="1" applyBorder="1" applyAlignment="1">
      <alignment horizontal="center" vertical="top"/>
    </xf>
    <xf numFmtId="166" fontId="45" fillId="33" borderId="16" xfId="42" applyNumberFormat="1" applyFont="1" applyFill="1" applyBorder="1" applyAlignment="1">
      <alignment horizontal="center" vertical="top" wrapText="1"/>
    </xf>
    <xf numFmtId="166" fontId="44" fillId="44" borderId="16" xfId="42" applyNumberFormat="1" applyFont="1" applyFill="1" applyBorder="1" applyAlignment="1">
      <alignment horizontal="center" vertical="top"/>
    </xf>
    <xf numFmtId="0" fontId="44" fillId="33" borderId="16" xfId="0" applyFont="1" applyFill="1" applyBorder="1" applyAlignment="1">
      <alignment horizontal="center" vertical="top" wrapText="1"/>
    </xf>
    <xf numFmtId="166" fontId="44" fillId="33" borderId="16" xfId="42" applyNumberFormat="1" applyFont="1" applyFill="1" applyBorder="1" applyAlignment="1">
      <alignment vertical="top" wrapText="1"/>
    </xf>
    <xf numFmtId="166" fontId="44" fillId="0" borderId="16" xfId="42" applyNumberFormat="1" applyFont="1" applyFill="1" applyBorder="1" applyAlignment="1">
      <alignment horizontal="center" vertical="top" wrapText="1"/>
    </xf>
    <xf numFmtId="166" fontId="7" fillId="0" borderId="40" xfId="42" applyNumberFormat="1" applyFont="1" applyFill="1" applyBorder="1" applyAlignment="1">
      <alignment horizontal="center" vertical="top" wrapText="1"/>
    </xf>
    <xf numFmtId="0" fontId="45" fillId="33" borderId="16" xfId="0" applyFont="1" applyFill="1" applyBorder="1" applyAlignment="1">
      <alignment vertical="top"/>
    </xf>
    <xf numFmtId="166" fontId="45" fillId="2" borderId="16" xfId="42" applyNumberFormat="1" applyFont="1" applyFill="1" applyBorder="1" applyAlignment="1">
      <alignment horizontal="center" vertical="top"/>
    </xf>
    <xf numFmtId="166" fontId="45" fillId="0" borderId="16" xfId="42" applyNumberFormat="1" applyFont="1" applyFill="1" applyBorder="1" applyAlignment="1">
      <alignment horizontal="center" vertical="top"/>
    </xf>
    <xf numFmtId="0" fontId="44" fillId="0" borderId="0" xfId="0" applyFont="1" applyAlignment="1">
      <alignment/>
    </xf>
    <xf numFmtId="0" fontId="44" fillId="0" borderId="0" xfId="0" applyFont="1" applyAlignment="1">
      <alignment horizontal="left" vertical="top"/>
    </xf>
    <xf numFmtId="0" fontId="0" fillId="0" borderId="0" xfId="0" applyFont="1" applyAlignment="1">
      <alignment horizontal="center" vertical="center"/>
    </xf>
    <xf numFmtId="0" fontId="42" fillId="0" borderId="0" xfId="0" applyFont="1" applyAlignment="1">
      <alignment horizontal="center" vertical="center" wrapText="1"/>
    </xf>
    <xf numFmtId="0" fontId="52" fillId="0" borderId="36" xfId="0" applyFont="1" applyBorder="1" applyAlignment="1">
      <alignment vertical="top" wrapText="1"/>
    </xf>
    <xf numFmtId="0" fontId="7" fillId="33" borderId="33" xfId="0" applyFont="1" applyFill="1" applyBorder="1" applyAlignment="1">
      <alignment vertical="top" wrapText="1"/>
    </xf>
    <xf numFmtId="10" fontId="7" fillId="33" borderId="33" xfId="0" applyNumberFormat="1" applyFont="1" applyFill="1" applyBorder="1" applyAlignment="1">
      <alignment vertical="top" wrapText="1"/>
    </xf>
    <xf numFmtId="0" fontId="50" fillId="33" borderId="33" xfId="0" applyFont="1" applyFill="1" applyBorder="1" applyAlignment="1">
      <alignment vertical="top" wrapText="1"/>
    </xf>
    <xf numFmtId="10" fontId="44" fillId="33" borderId="33" xfId="0" applyNumberFormat="1" applyFont="1" applyFill="1" applyBorder="1" applyAlignment="1">
      <alignment vertical="top" wrapText="1"/>
    </xf>
    <xf numFmtId="0" fontId="44" fillId="33" borderId="33" xfId="0" applyFont="1" applyFill="1" applyBorder="1" applyAlignment="1">
      <alignment horizontal="left" vertical="top" wrapText="1"/>
    </xf>
    <xf numFmtId="0" fontId="53" fillId="33" borderId="33" xfId="0" applyFont="1" applyFill="1" applyBorder="1" applyAlignment="1">
      <alignment vertical="top" wrapText="1"/>
    </xf>
    <xf numFmtId="0" fontId="44" fillId="33" borderId="0" xfId="0" applyFont="1" applyFill="1" applyAlignment="1">
      <alignment vertical="top" wrapText="1"/>
    </xf>
    <xf numFmtId="0" fontId="44" fillId="0" borderId="16" xfId="0" applyFont="1" applyBorder="1" applyAlignment="1">
      <alignment/>
    </xf>
    <xf numFmtId="0" fontId="44" fillId="0" borderId="41" xfId="0" applyFont="1" applyBorder="1" applyAlignment="1">
      <alignment vertical="top" wrapText="1"/>
    </xf>
    <xf numFmtId="0" fontId="45" fillId="45" borderId="16" xfId="0" applyFont="1" applyFill="1" applyBorder="1" applyAlignment="1">
      <alignment horizontal="justify" vertical="top"/>
    </xf>
    <xf numFmtId="0" fontId="45" fillId="45" borderId="16" xfId="0" applyFont="1" applyFill="1" applyBorder="1" applyAlignment="1">
      <alignment horizontal="left" vertical="top" wrapText="1"/>
    </xf>
    <xf numFmtId="0" fontId="45" fillId="45" borderId="16" xfId="0" applyFont="1" applyFill="1" applyBorder="1" applyAlignment="1">
      <alignment/>
    </xf>
    <xf numFmtId="0" fontId="45" fillId="45" borderId="41" xfId="0" applyFont="1" applyFill="1" applyBorder="1" applyAlignment="1">
      <alignment horizontal="left" vertical="top" wrapText="1"/>
    </xf>
    <xf numFmtId="0" fontId="44" fillId="0" borderId="36" xfId="0" applyNumberFormat="1" applyFont="1" applyBorder="1" applyAlignment="1">
      <alignment vertical="top" wrapText="1"/>
    </xf>
    <xf numFmtId="0" fontId="45" fillId="35" borderId="28" xfId="0" applyFont="1" applyFill="1" applyBorder="1" applyAlignment="1">
      <alignment horizontal="center" vertical="top"/>
    </xf>
    <xf numFmtId="0" fontId="45" fillId="35" borderId="31" xfId="0" applyFont="1" applyFill="1" applyBorder="1" applyAlignment="1">
      <alignment horizontal="center" vertical="top"/>
    </xf>
    <xf numFmtId="0" fontId="45" fillId="35" borderId="30" xfId="0" applyFont="1" applyFill="1" applyBorder="1" applyAlignment="1">
      <alignment horizontal="center" vertical="top"/>
    </xf>
    <xf numFmtId="0" fontId="45" fillId="35" borderId="28" xfId="0" applyFont="1" applyFill="1" applyBorder="1" applyAlignment="1">
      <alignment horizontal="center" vertical="top" wrapText="1"/>
    </xf>
    <xf numFmtId="0" fontId="45" fillId="35" borderId="31" xfId="0" applyFont="1" applyFill="1" applyBorder="1" applyAlignment="1">
      <alignment horizontal="center" vertical="top" wrapText="1"/>
    </xf>
    <xf numFmtId="0" fontId="45" fillId="35" borderId="42" xfId="0" applyFont="1" applyFill="1" applyBorder="1" applyAlignment="1">
      <alignment horizontal="center" vertical="top" wrapText="1"/>
    </xf>
    <xf numFmtId="0" fontId="45" fillId="35" borderId="22" xfId="0" applyFont="1" applyFill="1" applyBorder="1" applyAlignment="1">
      <alignment horizontal="center" vertical="center"/>
    </xf>
    <xf numFmtId="0" fontId="45" fillId="35" borderId="22" xfId="0" applyFont="1" applyFill="1" applyBorder="1" applyAlignment="1">
      <alignment horizontal="center" vertical="top"/>
    </xf>
    <xf numFmtId="0" fontId="6" fillId="46" borderId="11" xfId="0" applyFont="1" applyFill="1" applyBorder="1" applyAlignment="1">
      <alignment horizontal="center" vertical="top" wrapText="1"/>
    </xf>
    <xf numFmtId="0" fontId="6" fillId="46" borderId="43" xfId="0" applyFont="1" applyFill="1" applyBorder="1" applyAlignment="1">
      <alignment horizontal="center" vertical="top" wrapText="1"/>
    </xf>
    <xf numFmtId="0" fontId="6" fillId="46" borderId="12" xfId="0" applyFont="1" applyFill="1" applyBorder="1" applyAlignment="1">
      <alignment horizontal="center" vertical="top" wrapText="1"/>
    </xf>
    <xf numFmtId="0" fontId="6" fillId="46" borderId="44" xfId="0" applyFont="1" applyFill="1" applyBorder="1" applyAlignment="1">
      <alignment horizontal="center" vertical="top" wrapText="1"/>
    </xf>
    <xf numFmtId="0" fontId="6" fillId="46" borderId="45" xfId="0" applyFont="1" applyFill="1" applyBorder="1" applyAlignment="1">
      <alignment horizontal="center" vertical="top" wrapText="1"/>
    </xf>
    <xf numFmtId="0" fontId="6" fillId="46" borderId="46" xfId="0" applyFont="1" applyFill="1" applyBorder="1" applyAlignment="1">
      <alignment horizontal="center" vertical="top" wrapText="1"/>
    </xf>
    <xf numFmtId="0" fontId="6" fillId="46" borderId="11" xfId="0" applyFont="1" applyFill="1" applyBorder="1" applyAlignment="1">
      <alignment horizontal="left" vertical="top" wrapText="1"/>
    </xf>
    <xf numFmtId="0" fontId="6" fillId="46" borderId="43" xfId="0" applyFont="1" applyFill="1" applyBorder="1" applyAlignment="1">
      <alignment horizontal="left" vertical="top" wrapText="1"/>
    </xf>
    <xf numFmtId="0" fontId="6" fillId="46" borderId="12" xfId="0" applyFont="1" applyFill="1" applyBorder="1" applyAlignment="1">
      <alignment horizontal="left" vertical="top" wrapText="1"/>
    </xf>
    <xf numFmtId="0" fontId="6" fillId="46" borderId="47" xfId="0" applyFont="1" applyFill="1" applyBorder="1" applyAlignment="1">
      <alignment horizontal="center" vertical="top" wrapText="1"/>
    </xf>
    <xf numFmtId="0" fontId="6" fillId="46" borderId="17" xfId="0" applyFont="1" applyFill="1" applyBorder="1" applyAlignment="1">
      <alignment horizontal="center" vertical="top" wrapText="1"/>
    </xf>
    <xf numFmtId="0" fontId="49" fillId="37" borderId="10" xfId="0" applyFont="1" applyFill="1" applyBorder="1" applyAlignment="1">
      <alignment horizontal="center" vertical="top" wrapText="1"/>
    </xf>
    <xf numFmtId="165" fontId="6" fillId="46" borderId="11" xfId="42" applyNumberFormat="1" applyFont="1" applyFill="1" applyBorder="1" applyAlignment="1">
      <alignment horizontal="center" vertical="top" wrapText="1"/>
    </xf>
    <xf numFmtId="165" fontId="6" fillId="46" borderId="43" xfId="42" applyNumberFormat="1" applyFont="1" applyFill="1" applyBorder="1" applyAlignment="1">
      <alignment horizontal="center" vertical="top" wrapText="1"/>
    </xf>
    <xf numFmtId="165" fontId="6" fillId="46" borderId="12" xfId="42" applyNumberFormat="1" applyFont="1" applyFill="1" applyBorder="1" applyAlignment="1">
      <alignment horizontal="center" vertical="top" wrapText="1"/>
    </xf>
    <xf numFmtId="0" fontId="42" fillId="35" borderId="0" xfId="0" applyFont="1" applyFill="1" applyAlignment="1">
      <alignment horizontal="left" vertical="top" wrapText="1"/>
    </xf>
    <xf numFmtId="0" fontId="0" fillId="0" borderId="0" xfId="0"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4.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1285875</xdr:colOff>
      <xdr:row>0</xdr:row>
      <xdr:rowOff>419100</xdr:rowOff>
    </xdr:from>
    <xdr:to>
      <xdr:col>0</xdr:col>
      <xdr:colOff>4781550</xdr:colOff>
      <xdr:row>1</xdr:row>
      <xdr:rowOff>57150</xdr:rowOff>
    </xdr:to>
    <xdr:pic>
      <xdr:nvPicPr>
        <xdr:cNvPr id="1" name="Picture 1" descr="new logo revised"/>
        <xdr:cNvPicPr preferRelativeResize="1">
          <a:picLocks noChangeAspect="1"/>
        </xdr:cNvPicPr>
      </xdr:nvPicPr>
      <xdr:blipFill>
        <a:blip r:embed="rId1"/>
        <a:stretch>
          <a:fillRect/>
        </a:stretch>
      </xdr:blipFill>
      <xdr:spPr>
        <a:xfrm>
          <a:off x="1285875" y="419100"/>
          <a:ext cx="3495675" cy="3181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304800</xdr:colOff>
      <xdr:row>3</xdr:row>
      <xdr:rowOff>304800</xdr:rowOff>
    </xdr:from>
    <xdr:to>
      <xdr:col>1</xdr:col>
      <xdr:colOff>609600</xdr:colOff>
      <xdr:row>3</xdr:row>
      <xdr:rowOff>304800</xdr:rowOff>
    </xdr:to>
    <xdr:pic>
      <xdr:nvPicPr>
        <xdr:cNvPr id="1" name="Picture 2"/>
        <xdr:cNvPicPr preferRelativeResize="1">
          <a:picLocks noChangeAspect="1"/>
        </xdr:cNvPicPr>
      </xdr:nvPicPr>
      <xdr:blipFill>
        <a:blip r:embed="rId1"/>
        <a:stretch>
          <a:fillRect/>
        </a:stretch>
      </xdr:blipFill>
      <xdr:spPr>
        <a:xfrm>
          <a:off x="1647825" y="9801225"/>
          <a:ext cx="304800" cy="0"/>
        </a:xfrm>
        <a:prstGeom prst="rect">
          <a:avLst/>
        </a:prstGeom>
        <a:noFill/>
        <a:ln w="9525" cmpd="sng">
          <a:noFill/>
        </a:ln>
      </xdr:spPr>
    </xdr:pic>
    <xdr:clientData/>
  </xdr:twoCellAnchor>
  <xdr:twoCellAnchor editAs="oneCell">
    <xdr:from>
      <xdr:col>1</xdr:col>
      <xdr:colOff>180975</xdr:colOff>
      <xdr:row>7</xdr:row>
      <xdr:rowOff>1847850</xdr:rowOff>
    </xdr:from>
    <xdr:to>
      <xdr:col>1</xdr:col>
      <xdr:colOff>5181600</xdr:colOff>
      <xdr:row>7</xdr:row>
      <xdr:rowOff>5143500</xdr:rowOff>
    </xdr:to>
    <xdr:pic>
      <xdr:nvPicPr>
        <xdr:cNvPr id="2" name="Picture 12"/>
        <xdr:cNvPicPr preferRelativeResize="1">
          <a:picLocks noChangeAspect="1"/>
        </xdr:cNvPicPr>
      </xdr:nvPicPr>
      <xdr:blipFill>
        <a:blip r:embed="rId2"/>
        <a:stretch>
          <a:fillRect/>
        </a:stretch>
      </xdr:blipFill>
      <xdr:spPr>
        <a:xfrm>
          <a:off x="1524000" y="20964525"/>
          <a:ext cx="5000625" cy="3295650"/>
        </a:xfrm>
        <a:prstGeom prst="rect">
          <a:avLst/>
        </a:prstGeom>
        <a:noFill/>
        <a:ln w="9525" cmpd="sng">
          <a:noFill/>
        </a:ln>
      </xdr:spPr>
    </xdr:pic>
    <xdr:clientData/>
  </xdr:twoCellAnchor>
  <xdr:twoCellAnchor editAs="oneCell">
    <xdr:from>
      <xdr:col>1</xdr:col>
      <xdr:colOff>66675</xdr:colOff>
      <xdr:row>3</xdr:row>
      <xdr:rowOff>9525</xdr:rowOff>
    </xdr:from>
    <xdr:to>
      <xdr:col>1</xdr:col>
      <xdr:colOff>5086350</xdr:colOff>
      <xdr:row>3</xdr:row>
      <xdr:rowOff>3333750</xdr:rowOff>
    </xdr:to>
    <xdr:pic>
      <xdr:nvPicPr>
        <xdr:cNvPr id="3" name="Picture 2"/>
        <xdr:cNvPicPr preferRelativeResize="1">
          <a:picLocks noChangeAspect="1"/>
        </xdr:cNvPicPr>
      </xdr:nvPicPr>
      <xdr:blipFill>
        <a:blip r:embed="rId1"/>
        <a:stretch>
          <a:fillRect/>
        </a:stretch>
      </xdr:blipFill>
      <xdr:spPr>
        <a:xfrm>
          <a:off x="1409700" y="9505950"/>
          <a:ext cx="5019675" cy="33147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Lindiwer\OneDrive\Financial%20201819\A1%20Schedule%20-%20mSCOA%20vs%206%202%20-%20Fina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
      <sheetName val="Instructions"/>
      <sheetName val="Template names"/>
      <sheetName val="Lookup and lists"/>
      <sheetName val="Org structure"/>
      <sheetName val="Contacts"/>
      <sheetName val="A1-Sum"/>
      <sheetName val="A2-FinPerf SC"/>
      <sheetName val="A2A"/>
      <sheetName val="A3-FinPerf V"/>
      <sheetName val="A3A"/>
      <sheetName val="A4-FinPerf RE"/>
      <sheetName val="A5-Capex"/>
      <sheetName val="A5A"/>
      <sheetName val="A6-FinPos"/>
      <sheetName val="A7-CFlow"/>
      <sheetName val="A8-ResRecon"/>
      <sheetName val="A9-Asset"/>
      <sheetName val="A10-SerDel"/>
      <sheetName val="SA1"/>
      <sheetName val="SA2"/>
      <sheetName val="SA3"/>
      <sheetName val="SA4"/>
      <sheetName val="SA5"/>
      <sheetName val="SA6"/>
      <sheetName val="SA7"/>
      <sheetName val="SA8"/>
      <sheetName val="SA9"/>
      <sheetName val="SA10"/>
      <sheetName val="SA11"/>
      <sheetName val="SA12a"/>
      <sheetName val="SA12b"/>
      <sheetName val="SA13a"/>
      <sheetName val="SA13b"/>
      <sheetName val="SA14"/>
      <sheetName val="SA15"/>
      <sheetName val="SA16"/>
      <sheetName val="SA17"/>
      <sheetName val="SA18"/>
      <sheetName val="SA19"/>
      <sheetName val="SA20"/>
      <sheetName val="SA21"/>
      <sheetName val="SA22"/>
      <sheetName val="SA23"/>
      <sheetName val="SA24"/>
      <sheetName val="SA25"/>
      <sheetName val="SA26"/>
      <sheetName val="SA27"/>
      <sheetName val="SA28"/>
      <sheetName val="SA29"/>
      <sheetName val="SA30"/>
      <sheetName val="SA31"/>
      <sheetName val="SA32"/>
      <sheetName val="SA33"/>
      <sheetName val="SA34a"/>
      <sheetName val="SA34b"/>
      <sheetName val="SA34c"/>
      <sheetName val="SA34d"/>
      <sheetName val="SA34e"/>
      <sheetName val="SA35"/>
      <sheetName val="SA36"/>
      <sheetName val="SA37"/>
      <sheetName val="SA38"/>
      <sheetName val="LGDB_EXPORT"/>
    </sheetNames>
    <sheetDataSet>
      <sheetData sheetId="2">
        <row r="15">
          <cell r="B15" t="str">
            <v>Budget Year 2018/19</v>
          </cell>
        </row>
        <row r="16">
          <cell r="B16" t="str">
            <v>Budget Year +1 2019/20</v>
          </cell>
        </row>
        <row r="17">
          <cell r="B17" t="str">
            <v>Budget Year +2 2020/21</v>
          </cell>
        </row>
        <row r="30">
          <cell r="B30" t="str">
            <v>Description</v>
          </cell>
        </row>
        <row r="33">
          <cell r="B33" t="str">
            <v>Ref</v>
          </cell>
        </row>
        <row r="34">
          <cell r="B34" t="str">
            <v>References</v>
          </cell>
        </row>
        <row r="93">
          <cell r="B93" t="str">
            <v>LIM354 Polokwane</v>
          </cell>
        </row>
        <row r="137">
          <cell r="B137" t="str">
            <v>Supporting Table SA25 Consolidated budgeted monthly revenue and expenditure</v>
          </cell>
        </row>
        <row r="138">
          <cell r="B138" t="str">
            <v>Supporting Table SA26 Consolidated budgeted monthly revenue and expenditure (municipal vote)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A2"/>
  <sheetViews>
    <sheetView view="pageBreakPreview" zoomScale="80" zoomScaleSheetLayoutView="80" zoomScalePageLayoutView="0" workbookViewId="0" topLeftCell="A1">
      <selection activeCell="C2" sqref="C2"/>
    </sheetView>
  </sheetViews>
  <sheetFormatPr defaultColWidth="9.140625" defaultRowHeight="15"/>
  <cols>
    <col min="1" max="1" width="91.57421875" style="105" customWidth="1"/>
    <col min="2" max="2" width="10.421875" style="105" customWidth="1"/>
    <col min="3" max="16384" width="9.140625" style="105" customWidth="1"/>
  </cols>
  <sheetData>
    <row r="1" s="169" customFormat="1" ht="279" customHeight="1"/>
    <row r="2" s="169" customFormat="1" ht="217.5" customHeight="1">
      <c r="A2" s="170" t="s">
        <v>1309</v>
      </c>
    </row>
  </sheetData>
  <sheetProtection/>
  <printOptions/>
  <pageMargins left="0.7" right="0.7" top="0.75" bottom="0.75" header="0.3" footer="0.3"/>
  <pageSetup horizontalDpi="600" verticalDpi="600" orientation="portrait" paperSize="8" scale="164" r:id="rId2"/>
  <headerFooter>
    <oddFooter>&amp;CPage &amp;P of &amp;N</oddFooter>
  </headerFooter>
  <drawing r:id="rId1"/>
</worksheet>
</file>

<file path=xl/worksheets/sheet10.xml><?xml version="1.0" encoding="utf-8"?>
<worksheet xmlns="http://schemas.openxmlformats.org/spreadsheetml/2006/main" xmlns:r="http://schemas.openxmlformats.org/officeDocument/2006/relationships">
  <dimension ref="A1:R200"/>
  <sheetViews>
    <sheetView tabSelected="1" view="pageBreakPreview" zoomScale="80" zoomScaleNormal="80" zoomScaleSheetLayoutView="80" zoomScalePageLayoutView="0" workbookViewId="0" topLeftCell="A1">
      <pane ySplit="2" topLeftCell="A193" activePane="bottomLeft" state="frozen"/>
      <selection pane="topLeft" activeCell="A1" sqref="A1"/>
      <selection pane="bottomLeft" activeCell="F194" sqref="F194"/>
    </sheetView>
  </sheetViews>
  <sheetFormatPr defaultColWidth="9.140625" defaultRowHeight="15"/>
  <cols>
    <col min="1" max="1" width="9.140625" style="80" customWidth="1"/>
    <col min="2" max="2" width="22.00390625" style="80" customWidth="1"/>
    <col min="3" max="3" width="23.7109375" style="80" customWidth="1"/>
    <col min="4" max="4" width="17.8515625" style="80" customWidth="1"/>
    <col min="5" max="5" width="28.421875" style="80" customWidth="1"/>
    <col min="6" max="6" width="14.7109375" style="103" customWidth="1"/>
    <col min="7" max="8" width="9.140625" style="80" customWidth="1"/>
    <col min="9" max="9" width="17.140625" style="80" customWidth="1"/>
    <col min="10" max="10" width="14.57421875" style="80" customWidth="1"/>
    <col min="11" max="11" width="12.00390625" style="80" customWidth="1"/>
    <col min="12" max="12" width="19.28125" style="80" customWidth="1"/>
    <col min="13" max="13" width="17.8515625" style="104" customWidth="1"/>
    <col min="14" max="18" width="17.8515625" style="80" customWidth="1"/>
    <col min="19" max="16384" width="9.140625" style="80" customWidth="1"/>
  </cols>
  <sheetData>
    <row r="1" spans="1:18" ht="21" customHeight="1">
      <c r="A1" s="205" t="s">
        <v>588</v>
      </c>
      <c r="B1" s="205" t="s">
        <v>589</v>
      </c>
      <c r="C1" s="205" t="s">
        <v>590</v>
      </c>
      <c r="D1" s="205" t="s">
        <v>5</v>
      </c>
      <c r="E1" s="205" t="s">
        <v>591</v>
      </c>
      <c r="F1" s="205" t="s">
        <v>592</v>
      </c>
      <c r="G1" s="205" t="s">
        <v>593</v>
      </c>
      <c r="H1" s="205" t="s">
        <v>594</v>
      </c>
      <c r="I1" s="205" t="s">
        <v>595</v>
      </c>
      <c r="J1" s="205" t="s">
        <v>596</v>
      </c>
      <c r="K1" s="205" t="s">
        <v>597</v>
      </c>
      <c r="L1" s="205" t="s">
        <v>598</v>
      </c>
      <c r="M1" s="205" t="s">
        <v>599</v>
      </c>
      <c r="N1" s="205"/>
      <c r="O1" s="205"/>
      <c r="P1" s="205"/>
      <c r="Q1" s="205" t="s">
        <v>600</v>
      </c>
      <c r="R1" s="205" t="s">
        <v>601</v>
      </c>
    </row>
    <row r="2" spans="1:18" ht="25.5" customHeight="1">
      <c r="A2" s="205"/>
      <c r="B2" s="205"/>
      <c r="C2" s="205"/>
      <c r="D2" s="205"/>
      <c r="E2" s="205"/>
      <c r="F2" s="205"/>
      <c r="G2" s="205"/>
      <c r="H2" s="205"/>
      <c r="I2" s="205"/>
      <c r="J2" s="205"/>
      <c r="K2" s="205"/>
      <c r="L2" s="205"/>
      <c r="M2" s="93" t="s">
        <v>227</v>
      </c>
      <c r="N2" s="94" t="s">
        <v>228</v>
      </c>
      <c r="O2" s="94" t="s">
        <v>229</v>
      </c>
      <c r="P2" s="94" t="s">
        <v>230</v>
      </c>
      <c r="Q2" s="205"/>
      <c r="R2" s="205"/>
    </row>
    <row r="3" spans="1:18" ht="12.75">
      <c r="A3" s="206" t="s">
        <v>238</v>
      </c>
      <c r="B3" s="207"/>
      <c r="C3" s="207"/>
      <c r="D3" s="207"/>
      <c r="E3" s="207"/>
      <c r="F3" s="207"/>
      <c r="G3" s="207"/>
      <c r="H3" s="207"/>
      <c r="I3" s="207"/>
      <c r="J3" s="207"/>
      <c r="K3" s="207"/>
      <c r="L3" s="207"/>
      <c r="M3" s="207"/>
      <c r="N3" s="207"/>
      <c r="O3" s="207"/>
      <c r="P3" s="207"/>
      <c r="Q3" s="207"/>
      <c r="R3" s="208"/>
    </row>
    <row r="4" spans="1:18" ht="102.75" customHeight="1">
      <c r="A4" s="2"/>
      <c r="B4" s="2" t="s">
        <v>135</v>
      </c>
      <c r="C4" s="2" t="s">
        <v>602</v>
      </c>
      <c r="D4" s="2" t="s">
        <v>603</v>
      </c>
      <c r="E4" s="3" t="s">
        <v>239</v>
      </c>
      <c r="F4" s="4" t="s">
        <v>241</v>
      </c>
      <c r="G4" s="5" t="s">
        <v>657</v>
      </c>
      <c r="H4" s="5" t="s">
        <v>1310</v>
      </c>
      <c r="I4" s="5" t="s">
        <v>604</v>
      </c>
      <c r="J4" s="4" t="s">
        <v>240</v>
      </c>
      <c r="K4" s="5"/>
      <c r="L4" s="6">
        <v>1000000</v>
      </c>
      <c r="M4" s="5" t="s">
        <v>1012</v>
      </c>
      <c r="N4" s="5" t="s">
        <v>200</v>
      </c>
      <c r="O4" s="5" t="s">
        <v>200</v>
      </c>
      <c r="P4" s="5" t="s">
        <v>200</v>
      </c>
      <c r="Q4" s="5" t="s">
        <v>1013</v>
      </c>
      <c r="R4" s="5" t="s">
        <v>1014</v>
      </c>
    </row>
    <row r="5" spans="1:18" ht="60.75" customHeight="1">
      <c r="A5" s="5"/>
      <c r="B5" s="2" t="s">
        <v>135</v>
      </c>
      <c r="C5" s="2" t="s">
        <v>602</v>
      </c>
      <c r="D5" s="2" t="s">
        <v>603</v>
      </c>
      <c r="E5" s="7" t="s">
        <v>242</v>
      </c>
      <c r="F5" s="8" t="s">
        <v>243</v>
      </c>
      <c r="G5" s="5" t="s">
        <v>1311</v>
      </c>
      <c r="H5" s="5" t="s">
        <v>1312</v>
      </c>
      <c r="I5" s="5" t="s">
        <v>604</v>
      </c>
      <c r="J5" s="8" t="s">
        <v>240</v>
      </c>
      <c r="K5" s="5"/>
      <c r="L5" s="6">
        <f>2100000-600000</f>
        <v>1500000</v>
      </c>
      <c r="M5" s="5" t="s">
        <v>1015</v>
      </c>
      <c r="N5" s="5" t="s">
        <v>1016</v>
      </c>
      <c r="O5" s="5" t="s">
        <v>1017</v>
      </c>
      <c r="P5" s="5" t="s">
        <v>1018</v>
      </c>
      <c r="Q5" s="5" t="s">
        <v>1019</v>
      </c>
      <c r="R5" s="5" t="s">
        <v>1014</v>
      </c>
    </row>
    <row r="6" spans="1:18" ht="12.75">
      <c r="A6" s="206" t="s">
        <v>605</v>
      </c>
      <c r="B6" s="207"/>
      <c r="C6" s="207"/>
      <c r="D6" s="207"/>
      <c r="E6" s="207"/>
      <c r="F6" s="207"/>
      <c r="G6" s="207"/>
      <c r="H6" s="207"/>
      <c r="I6" s="207"/>
      <c r="J6" s="207"/>
      <c r="K6" s="207"/>
      <c r="L6" s="207"/>
      <c r="M6" s="207"/>
      <c r="N6" s="207"/>
      <c r="O6" s="207"/>
      <c r="P6" s="207"/>
      <c r="Q6" s="207"/>
      <c r="R6" s="208"/>
    </row>
    <row r="7" spans="1:18" ht="12.75">
      <c r="A7" s="5"/>
      <c r="B7" s="5"/>
      <c r="C7" s="5"/>
      <c r="D7" s="5"/>
      <c r="E7" s="3"/>
      <c r="F7" s="4"/>
      <c r="G7" s="5"/>
      <c r="H7" s="5"/>
      <c r="I7" s="5"/>
      <c r="J7" s="4"/>
      <c r="K7" s="5"/>
      <c r="L7" s="9">
        <f>SUM(L4:L5)</f>
        <v>2500000</v>
      </c>
      <c r="M7" s="13"/>
      <c r="N7" s="5"/>
      <c r="O7" s="5"/>
      <c r="P7" s="5"/>
      <c r="Q7" s="5"/>
      <c r="R7" s="5"/>
    </row>
    <row r="8" spans="1:18" ht="12.75">
      <c r="A8" s="194" t="s">
        <v>252</v>
      </c>
      <c r="B8" s="195"/>
      <c r="C8" s="195"/>
      <c r="D8" s="195"/>
      <c r="E8" s="195"/>
      <c r="F8" s="195"/>
      <c r="G8" s="195"/>
      <c r="H8" s="195"/>
      <c r="I8" s="195"/>
      <c r="J8" s="195"/>
      <c r="K8" s="195"/>
      <c r="L8" s="195"/>
      <c r="M8" s="195"/>
      <c r="N8" s="195"/>
      <c r="O8" s="195"/>
      <c r="P8" s="195"/>
      <c r="Q8" s="195"/>
      <c r="R8" s="196"/>
    </row>
    <row r="9" spans="1:18" ht="88.5" customHeight="1">
      <c r="A9" s="5"/>
      <c r="B9" s="2" t="s">
        <v>606</v>
      </c>
      <c r="C9" s="3" t="s">
        <v>607</v>
      </c>
      <c r="D9" s="2" t="s">
        <v>608</v>
      </c>
      <c r="E9" s="3" t="s">
        <v>254</v>
      </c>
      <c r="F9" s="4" t="s">
        <v>241</v>
      </c>
      <c r="G9" s="5" t="s">
        <v>1313</v>
      </c>
      <c r="H9" s="5" t="s">
        <v>1314</v>
      </c>
      <c r="I9" s="5" t="s">
        <v>609</v>
      </c>
      <c r="J9" s="4" t="s">
        <v>240</v>
      </c>
      <c r="K9" s="5"/>
      <c r="L9" s="6">
        <f>5000000-1000000</f>
        <v>4000000</v>
      </c>
      <c r="M9" s="5" t="s">
        <v>1020</v>
      </c>
      <c r="N9" s="5" t="s">
        <v>1021</v>
      </c>
      <c r="O9" s="5" t="s">
        <v>1022</v>
      </c>
      <c r="P9" s="5" t="s">
        <v>200</v>
      </c>
      <c r="Q9" s="5" t="s">
        <v>1023</v>
      </c>
      <c r="R9" s="5" t="s">
        <v>1024</v>
      </c>
    </row>
    <row r="10" spans="1:18" ht="46.5" customHeight="1">
      <c r="A10" s="5"/>
      <c r="B10" s="2" t="s">
        <v>606</v>
      </c>
      <c r="C10" s="3" t="s">
        <v>607</v>
      </c>
      <c r="D10" s="2" t="s">
        <v>608</v>
      </c>
      <c r="E10" s="10" t="s">
        <v>255</v>
      </c>
      <c r="F10" s="11" t="s">
        <v>241</v>
      </c>
      <c r="G10" s="5" t="s">
        <v>1313</v>
      </c>
      <c r="H10" s="5" t="s">
        <v>1314</v>
      </c>
      <c r="I10" s="5" t="s">
        <v>609</v>
      </c>
      <c r="J10" s="11" t="s">
        <v>240</v>
      </c>
      <c r="K10" s="5"/>
      <c r="L10" s="12">
        <f>4000000-2000000-500000</f>
        <v>1500000</v>
      </c>
      <c r="M10" s="5" t="s">
        <v>1025</v>
      </c>
      <c r="N10" s="5" t="s">
        <v>1026</v>
      </c>
      <c r="O10" s="5" t="s">
        <v>200</v>
      </c>
      <c r="P10" s="5" t="s">
        <v>200</v>
      </c>
      <c r="Q10" s="5" t="s">
        <v>1027</v>
      </c>
      <c r="R10" s="5" t="s">
        <v>1024</v>
      </c>
    </row>
    <row r="11" spans="1:18" ht="46.5" customHeight="1">
      <c r="A11" s="5"/>
      <c r="B11" s="2" t="s">
        <v>606</v>
      </c>
      <c r="C11" s="3" t="s">
        <v>607</v>
      </c>
      <c r="D11" s="2" t="s">
        <v>608</v>
      </c>
      <c r="E11" s="7" t="s">
        <v>256</v>
      </c>
      <c r="F11" s="8" t="s">
        <v>243</v>
      </c>
      <c r="G11" s="5" t="s">
        <v>1313</v>
      </c>
      <c r="H11" s="5" t="s">
        <v>1314</v>
      </c>
      <c r="I11" s="5" t="s">
        <v>609</v>
      </c>
      <c r="J11" s="8" t="s">
        <v>240</v>
      </c>
      <c r="K11" s="5"/>
      <c r="L11" s="6">
        <v>500000</v>
      </c>
      <c r="M11" s="5" t="s">
        <v>1028</v>
      </c>
      <c r="N11" s="5" t="s">
        <v>1028</v>
      </c>
      <c r="O11" s="5" t="s">
        <v>200</v>
      </c>
      <c r="P11" s="5" t="s">
        <v>200</v>
      </c>
      <c r="Q11" s="5" t="s">
        <v>1029</v>
      </c>
      <c r="R11" s="5" t="s">
        <v>1030</v>
      </c>
    </row>
    <row r="12" spans="1:18" ht="46.5" customHeight="1">
      <c r="A12" s="5"/>
      <c r="B12" s="2" t="s">
        <v>606</v>
      </c>
      <c r="C12" s="3" t="s">
        <v>607</v>
      </c>
      <c r="D12" s="2" t="s">
        <v>608</v>
      </c>
      <c r="E12" s="3" t="s">
        <v>257</v>
      </c>
      <c r="F12" s="4" t="s">
        <v>241</v>
      </c>
      <c r="G12" s="5" t="s">
        <v>1313</v>
      </c>
      <c r="H12" s="5">
        <v>20</v>
      </c>
      <c r="I12" s="5" t="s">
        <v>609</v>
      </c>
      <c r="J12" s="4" t="s">
        <v>240</v>
      </c>
      <c r="K12" s="5"/>
      <c r="L12" s="6">
        <v>500000</v>
      </c>
      <c r="M12" s="5" t="s">
        <v>1031</v>
      </c>
      <c r="N12" s="5" t="s">
        <v>200</v>
      </c>
      <c r="O12" s="5" t="s">
        <v>200</v>
      </c>
      <c r="P12" s="5" t="s">
        <v>200</v>
      </c>
      <c r="Q12" s="5" t="s">
        <v>1031</v>
      </c>
      <c r="R12" s="5" t="s">
        <v>1032</v>
      </c>
    </row>
    <row r="13" spans="1:18" ht="46.5" customHeight="1">
      <c r="A13" s="5"/>
      <c r="B13" s="2" t="s">
        <v>606</v>
      </c>
      <c r="C13" s="3" t="s">
        <v>607</v>
      </c>
      <c r="D13" s="2" t="s">
        <v>608</v>
      </c>
      <c r="E13" s="3" t="s">
        <v>258</v>
      </c>
      <c r="F13" s="4" t="s">
        <v>241</v>
      </c>
      <c r="G13" s="5" t="s">
        <v>1315</v>
      </c>
      <c r="H13" s="5">
        <v>17</v>
      </c>
      <c r="I13" s="5" t="s">
        <v>609</v>
      </c>
      <c r="J13" s="4" t="s">
        <v>240</v>
      </c>
      <c r="K13" s="5"/>
      <c r="L13" s="6">
        <v>500000</v>
      </c>
      <c r="M13" s="5" t="s">
        <v>1033</v>
      </c>
      <c r="N13" s="5" t="s">
        <v>200</v>
      </c>
      <c r="O13" s="5" t="s">
        <v>200</v>
      </c>
      <c r="P13" s="5" t="s">
        <v>200</v>
      </c>
      <c r="Q13" s="5" t="s">
        <v>1033</v>
      </c>
      <c r="R13" s="5" t="s">
        <v>1024</v>
      </c>
    </row>
    <row r="14" spans="1:18" ht="60" customHeight="1">
      <c r="A14" s="5"/>
      <c r="B14" s="2" t="s">
        <v>606</v>
      </c>
      <c r="C14" s="3" t="s">
        <v>607</v>
      </c>
      <c r="D14" s="2" t="s">
        <v>608</v>
      </c>
      <c r="E14" s="7" t="s">
        <v>610</v>
      </c>
      <c r="F14" s="8" t="s">
        <v>243</v>
      </c>
      <c r="G14" s="5" t="s">
        <v>1316</v>
      </c>
      <c r="H14" s="5">
        <v>32</v>
      </c>
      <c r="I14" s="5" t="s">
        <v>609</v>
      </c>
      <c r="J14" s="8" t="s">
        <v>240</v>
      </c>
      <c r="K14" s="5"/>
      <c r="L14" s="6">
        <v>500000</v>
      </c>
      <c r="M14" s="5" t="s">
        <v>1015</v>
      </c>
      <c r="N14" s="5" t="s">
        <v>1016</v>
      </c>
      <c r="O14" s="5" t="s">
        <v>1017</v>
      </c>
      <c r="P14" s="5" t="s">
        <v>1018</v>
      </c>
      <c r="Q14" s="5" t="s">
        <v>1019</v>
      </c>
      <c r="R14" s="5" t="s">
        <v>1014</v>
      </c>
    </row>
    <row r="15" spans="1:18" ht="68.25" customHeight="1">
      <c r="A15" s="5"/>
      <c r="B15" s="2" t="s">
        <v>606</v>
      </c>
      <c r="C15" s="3" t="s">
        <v>607</v>
      </c>
      <c r="D15" s="2" t="s">
        <v>608</v>
      </c>
      <c r="E15" s="7" t="s">
        <v>611</v>
      </c>
      <c r="F15" s="8" t="s">
        <v>243</v>
      </c>
      <c r="G15" s="5" t="s">
        <v>1317</v>
      </c>
      <c r="H15" s="5">
        <v>10</v>
      </c>
      <c r="I15" s="5" t="s">
        <v>609</v>
      </c>
      <c r="J15" s="8" t="s">
        <v>240</v>
      </c>
      <c r="K15" s="5"/>
      <c r="L15" s="6">
        <v>300000</v>
      </c>
      <c r="M15" s="5" t="s">
        <v>1015</v>
      </c>
      <c r="N15" s="5" t="s">
        <v>1016</v>
      </c>
      <c r="O15" s="5" t="s">
        <v>1017</v>
      </c>
      <c r="P15" s="5" t="s">
        <v>1018</v>
      </c>
      <c r="Q15" s="5" t="s">
        <v>1019</v>
      </c>
      <c r="R15" s="5" t="s">
        <v>1014</v>
      </c>
    </row>
    <row r="16" spans="1:18" ht="58.5" customHeight="1">
      <c r="A16" s="5"/>
      <c r="B16" s="2" t="s">
        <v>606</v>
      </c>
      <c r="C16" s="3" t="s">
        <v>607</v>
      </c>
      <c r="D16" s="2" t="s">
        <v>608</v>
      </c>
      <c r="E16" s="7" t="s">
        <v>263</v>
      </c>
      <c r="F16" s="8" t="s">
        <v>243</v>
      </c>
      <c r="G16" s="5" t="s">
        <v>1313</v>
      </c>
      <c r="H16" s="5">
        <v>20</v>
      </c>
      <c r="I16" s="5" t="s">
        <v>609</v>
      </c>
      <c r="J16" s="8" t="s">
        <v>240</v>
      </c>
      <c r="K16" s="5"/>
      <c r="L16" s="6">
        <v>1000000</v>
      </c>
      <c r="M16" s="5" t="s">
        <v>1034</v>
      </c>
      <c r="N16" s="5" t="s">
        <v>1034</v>
      </c>
      <c r="O16" s="5" t="s">
        <v>200</v>
      </c>
      <c r="P16" s="5" t="s">
        <v>200</v>
      </c>
      <c r="Q16" s="5" t="s">
        <v>1034</v>
      </c>
      <c r="R16" s="5" t="s">
        <v>1032</v>
      </c>
    </row>
    <row r="17" spans="1:18" ht="63.75" customHeight="1">
      <c r="A17" s="5"/>
      <c r="B17" s="2" t="s">
        <v>606</v>
      </c>
      <c r="C17" s="3" t="s">
        <v>607</v>
      </c>
      <c r="D17" s="2" t="s">
        <v>608</v>
      </c>
      <c r="E17" s="7" t="s">
        <v>266</v>
      </c>
      <c r="F17" s="8" t="s">
        <v>243</v>
      </c>
      <c r="G17" s="5" t="s">
        <v>1318</v>
      </c>
      <c r="H17" s="5">
        <v>25</v>
      </c>
      <c r="I17" s="5" t="s">
        <v>609</v>
      </c>
      <c r="J17" s="8" t="s">
        <v>240</v>
      </c>
      <c r="K17" s="5"/>
      <c r="L17" s="6">
        <v>1000000</v>
      </c>
      <c r="M17" s="5" t="s">
        <v>1015</v>
      </c>
      <c r="N17" s="5" t="s">
        <v>1016</v>
      </c>
      <c r="O17" s="5" t="s">
        <v>1017</v>
      </c>
      <c r="P17" s="5" t="s">
        <v>1018</v>
      </c>
      <c r="Q17" s="5" t="s">
        <v>1019</v>
      </c>
      <c r="R17" s="5" t="s">
        <v>1014</v>
      </c>
    </row>
    <row r="18" spans="1:18" ht="12.75">
      <c r="A18" s="194" t="s">
        <v>612</v>
      </c>
      <c r="B18" s="195"/>
      <c r="C18" s="195"/>
      <c r="D18" s="195"/>
      <c r="E18" s="195"/>
      <c r="F18" s="195"/>
      <c r="G18" s="195"/>
      <c r="H18" s="195"/>
      <c r="I18" s="195"/>
      <c r="J18" s="195"/>
      <c r="K18" s="195"/>
      <c r="L18" s="195"/>
      <c r="M18" s="195"/>
      <c r="N18" s="195"/>
      <c r="O18" s="195"/>
      <c r="P18" s="195"/>
      <c r="Q18" s="195"/>
      <c r="R18" s="196"/>
    </row>
    <row r="19" spans="1:18" ht="12.75">
      <c r="A19" s="5"/>
      <c r="B19" s="5"/>
      <c r="C19" s="5"/>
      <c r="D19" s="5"/>
      <c r="E19" s="3"/>
      <c r="F19" s="4"/>
      <c r="G19" s="5"/>
      <c r="H19" s="5"/>
      <c r="I19" s="5"/>
      <c r="J19" s="4"/>
      <c r="K19" s="5"/>
      <c r="L19" s="6">
        <f>SUM(L9:L17)</f>
        <v>9800000</v>
      </c>
      <c r="M19" s="13"/>
      <c r="N19" s="5"/>
      <c r="O19" s="5"/>
      <c r="P19" s="5"/>
      <c r="Q19" s="5"/>
      <c r="R19" s="5"/>
    </row>
    <row r="20" spans="1:18" ht="12.75">
      <c r="A20" s="194" t="s">
        <v>275</v>
      </c>
      <c r="B20" s="195"/>
      <c r="C20" s="195"/>
      <c r="D20" s="195"/>
      <c r="E20" s="195"/>
      <c r="F20" s="195"/>
      <c r="G20" s="195"/>
      <c r="H20" s="195"/>
      <c r="I20" s="195"/>
      <c r="J20" s="195"/>
      <c r="K20" s="195"/>
      <c r="L20" s="195"/>
      <c r="M20" s="195"/>
      <c r="N20" s="195"/>
      <c r="O20" s="195"/>
      <c r="P20" s="195"/>
      <c r="Q20" s="195"/>
      <c r="R20" s="196"/>
    </row>
    <row r="21" spans="1:18" ht="91.5" customHeight="1">
      <c r="A21" s="5"/>
      <c r="B21" s="2" t="s">
        <v>606</v>
      </c>
      <c r="C21" s="2" t="s">
        <v>613</v>
      </c>
      <c r="D21" s="2" t="s">
        <v>614</v>
      </c>
      <c r="E21" s="7" t="s">
        <v>615</v>
      </c>
      <c r="F21" s="8" t="s">
        <v>243</v>
      </c>
      <c r="G21" s="5"/>
      <c r="H21" s="5"/>
      <c r="I21" s="5" t="s">
        <v>616</v>
      </c>
      <c r="J21" s="8" t="s">
        <v>240</v>
      </c>
      <c r="K21" s="5"/>
      <c r="L21" s="6">
        <v>1700000</v>
      </c>
      <c r="M21" s="13" t="s">
        <v>1060</v>
      </c>
      <c r="N21" s="5" t="s">
        <v>1061</v>
      </c>
      <c r="O21" s="5" t="s">
        <v>1062</v>
      </c>
      <c r="P21" s="5" t="s">
        <v>1063</v>
      </c>
      <c r="Q21" s="18" t="s">
        <v>624</v>
      </c>
      <c r="R21" s="96" t="s">
        <v>626</v>
      </c>
    </row>
    <row r="22" spans="1:18" ht="87.75" customHeight="1">
      <c r="A22" s="5"/>
      <c r="B22" s="2" t="s">
        <v>606</v>
      </c>
      <c r="C22" s="2" t="s">
        <v>613</v>
      </c>
      <c r="D22" s="2" t="s">
        <v>614</v>
      </c>
      <c r="E22" s="7" t="s">
        <v>278</v>
      </c>
      <c r="F22" s="8" t="s">
        <v>243</v>
      </c>
      <c r="G22" s="5"/>
      <c r="H22" s="5"/>
      <c r="I22" s="5" t="s">
        <v>616</v>
      </c>
      <c r="J22" s="8" t="s">
        <v>240</v>
      </c>
      <c r="K22" s="5"/>
      <c r="L22" s="6">
        <v>100000</v>
      </c>
      <c r="M22" s="13" t="s">
        <v>1064</v>
      </c>
      <c r="N22" s="5" t="s">
        <v>1065</v>
      </c>
      <c r="O22" s="5" t="s">
        <v>1066</v>
      </c>
      <c r="P22" s="5" t="s">
        <v>1066</v>
      </c>
      <c r="Q22" s="18" t="s">
        <v>624</v>
      </c>
      <c r="R22" s="96" t="s">
        <v>626</v>
      </c>
    </row>
    <row r="23" spans="1:18" ht="92.25" customHeight="1">
      <c r="A23" s="5"/>
      <c r="B23" s="2" t="s">
        <v>606</v>
      </c>
      <c r="C23" s="2" t="s">
        <v>613</v>
      </c>
      <c r="D23" s="2" t="s">
        <v>614</v>
      </c>
      <c r="E23" s="7" t="s">
        <v>277</v>
      </c>
      <c r="F23" s="8" t="s">
        <v>243</v>
      </c>
      <c r="G23" s="5"/>
      <c r="H23" s="5"/>
      <c r="I23" s="5" t="s">
        <v>616</v>
      </c>
      <c r="J23" s="8" t="s">
        <v>240</v>
      </c>
      <c r="K23" s="5"/>
      <c r="L23" s="6">
        <v>227000</v>
      </c>
      <c r="M23" s="13" t="s">
        <v>1067</v>
      </c>
      <c r="N23" s="5" t="s">
        <v>1068</v>
      </c>
      <c r="O23" s="5" t="s">
        <v>1069</v>
      </c>
      <c r="P23" s="5" t="s">
        <v>1070</v>
      </c>
      <c r="Q23" s="18" t="s">
        <v>624</v>
      </c>
      <c r="R23" s="96" t="s">
        <v>626</v>
      </c>
    </row>
    <row r="24" spans="1:18" ht="12.75">
      <c r="A24" s="194" t="s">
        <v>617</v>
      </c>
      <c r="B24" s="195"/>
      <c r="C24" s="195"/>
      <c r="D24" s="195"/>
      <c r="E24" s="195"/>
      <c r="F24" s="195"/>
      <c r="G24" s="195"/>
      <c r="H24" s="195"/>
      <c r="I24" s="195"/>
      <c r="J24" s="195"/>
      <c r="K24" s="195"/>
      <c r="L24" s="195"/>
      <c r="M24" s="195"/>
      <c r="N24" s="195"/>
      <c r="O24" s="195"/>
      <c r="P24" s="195"/>
      <c r="Q24" s="195"/>
      <c r="R24" s="196"/>
    </row>
    <row r="25" spans="1:18" ht="12.75">
      <c r="A25" s="5"/>
      <c r="B25" s="5"/>
      <c r="C25" s="5"/>
      <c r="D25" s="5"/>
      <c r="E25" s="3"/>
      <c r="F25" s="4"/>
      <c r="G25" s="5"/>
      <c r="H25" s="5"/>
      <c r="I25" s="5"/>
      <c r="J25" s="4"/>
      <c r="K25" s="5"/>
      <c r="L25" s="9">
        <f>SUM(L21:L23)</f>
        <v>2027000</v>
      </c>
      <c r="M25" s="13"/>
      <c r="N25" s="5"/>
      <c r="O25" s="5"/>
      <c r="P25" s="5"/>
      <c r="Q25" s="5"/>
      <c r="R25" s="5"/>
    </row>
    <row r="26" spans="1:18" ht="12.75">
      <c r="A26" s="197" t="s">
        <v>279</v>
      </c>
      <c r="B26" s="198"/>
      <c r="C26" s="198"/>
      <c r="D26" s="198"/>
      <c r="E26" s="198"/>
      <c r="F26" s="198"/>
      <c r="G26" s="198"/>
      <c r="H26" s="198"/>
      <c r="I26" s="198"/>
      <c r="J26" s="198"/>
      <c r="K26" s="198"/>
      <c r="L26" s="198"/>
      <c r="M26" s="198"/>
      <c r="N26" s="198"/>
      <c r="O26" s="198"/>
      <c r="P26" s="198"/>
      <c r="Q26" s="198"/>
      <c r="R26" s="199"/>
    </row>
    <row r="27" spans="1:18" ht="87" customHeight="1">
      <c r="A27" s="13"/>
      <c r="B27" s="14" t="s">
        <v>606</v>
      </c>
      <c r="C27" s="15" t="s">
        <v>607</v>
      </c>
      <c r="D27" s="15" t="s">
        <v>618</v>
      </c>
      <c r="E27" s="16" t="s">
        <v>280</v>
      </c>
      <c r="F27" s="16" t="s">
        <v>243</v>
      </c>
      <c r="G27" s="13" t="s">
        <v>619</v>
      </c>
      <c r="H27" s="13">
        <v>9</v>
      </c>
      <c r="I27" s="13" t="s">
        <v>620</v>
      </c>
      <c r="J27" s="16" t="s">
        <v>281</v>
      </c>
      <c r="K27" s="13" t="s">
        <v>621</v>
      </c>
      <c r="L27" s="17">
        <v>4000000</v>
      </c>
      <c r="M27" s="95" t="s">
        <v>622</v>
      </c>
      <c r="N27" s="95" t="s">
        <v>623</v>
      </c>
      <c r="O27" s="95" t="s">
        <v>623</v>
      </c>
      <c r="P27" s="18" t="s">
        <v>624</v>
      </c>
      <c r="Q27" s="19" t="s">
        <v>625</v>
      </c>
      <c r="R27" s="96" t="s">
        <v>626</v>
      </c>
    </row>
    <row r="28" spans="1:18" ht="85.5" customHeight="1">
      <c r="A28" s="13"/>
      <c r="B28" s="14" t="s">
        <v>606</v>
      </c>
      <c r="C28" s="15" t="s">
        <v>607</v>
      </c>
      <c r="D28" s="15" t="s">
        <v>618</v>
      </c>
      <c r="E28" s="16" t="s">
        <v>282</v>
      </c>
      <c r="F28" s="16" t="s">
        <v>243</v>
      </c>
      <c r="G28" s="13" t="s">
        <v>627</v>
      </c>
      <c r="H28" s="13">
        <v>32</v>
      </c>
      <c r="I28" s="13" t="s">
        <v>620</v>
      </c>
      <c r="J28" s="16" t="s">
        <v>281</v>
      </c>
      <c r="K28" s="13" t="s">
        <v>621</v>
      </c>
      <c r="L28" s="20">
        <v>2600000</v>
      </c>
      <c r="M28" s="21" t="s">
        <v>622</v>
      </c>
      <c r="N28" s="95" t="s">
        <v>623</v>
      </c>
      <c r="O28" s="95" t="s">
        <v>623</v>
      </c>
      <c r="P28" s="95" t="s">
        <v>624</v>
      </c>
      <c r="Q28" s="13" t="s">
        <v>628</v>
      </c>
      <c r="R28" s="96" t="s">
        <v>626</v>
      </c>
    </row>
    <row r="29" spans="1:18" ht="90" customHeight="1">
      <c r="A29" s="13"/>
      <c r="B29" s="14" t="s">
        <v>606</v>
      </c>
      <c r="C29" s="15" t="s">
        <v>607</v>
      </c>
      <c r="D29" s="15" t="s">
        <v>618</v>
      </c>
      <c r="E29" s="16" t="s">
        <v>283</v>
      </c>
      <c r="F29" s="16" t="s">
        <v>243</v>
      </c>
      <c r="G29" s="13" t="s">
        <v>629</v>
      </c>
      <c r="H29" s="13">
        <v>14</v>
      </c>
      <c r="I29" s="13" t="s">
        <v>620</v>
      </c>
      <c r="J29" s="16" t="s">
        <v>281</v>
      </c>
      <c r="K29" s="13" t="s">
        <v>621</v>
      </c>
      <c r="L29" s="20">
        <f>17900000-1900000-2000000-1000000-1000000+1000000</f>
        <v>13000000</v>
      </c>
      <c r="M29" s="13" t="s">
        <v>630</v>
      </c>
      <c r="N29" s="95" t="s">
        <v>622</v>
      </c>
      <c r="O29" s="95" t="s">
        <v>623</v>
      </c>
      <c r="P29" s="95" t="s">
        <v>623</v>
      </c>
      <c r="Q29" s="13" t="s">
        <v>631</v>
      </c>
      <c r="R29" s="96" t="s">
        <v>626</v>
      </c>
    </row>
    <row r="30" spans="1:18" ht="84.75" customHeight="1">
      <c r="A30" s="13"/>
      <c r="B30" s="14" t="s">
        <v>606</v>
      </c>
      <c r="C30" s="15" t="s">
        <v>607</v>
      </c>
      <c r="D30" s="15" t="s">
        <v>618</v>
      </c>
      <c r="E30" s="16" t="s">
        <v>284</v>
      </c>
      <c r="F30" s="16" t="s">
        <v>243</v>
      </c>
      <c r="G30" s="13" t="s">
        <v>632</v>
      </c>
      <c r="H30" s="13">
        <v>31</v>
      </c>
      <c r="I30" s="13" t="s">
        <v>620</v>
      </c>
      <c r="J30" s="16" t="s">
        <v>281</v>
      </c>
      <c r="K30" s="13" t="s">
        <v>621</v>
      </c>
      <c r="L30" s="20">
        <v>10000000</v>
      </c>
      <c r="M30" s="13" t="s">
        <v>622</v>
      </c>
      <c r="N30" s="95" t="s">
        <v>622</v>
      </c>
      <c r="O30" s="95" t="s">
        <v>623</v>
      </c>
      <c r="P30" s="95" t="s">
        <v>633</v>
      </c>
      <c r="Q30" s="13" t="s">
        <v>634</v>
      </c>
      <c r="R30" s="96" t="s">
        <v>626</v>
      </c>
    </row>
    <row r="31" spans="1:18" ht="88.5" customHeight="1">
      <c r="A31" s="13"/>
      <c r="B31" s="14" t="s">
        <v>606</v>
      </c>
      <c r="C31" s="15" t="s">
        <v>607</v>
      </c>
      <c r="D31" s="15" t="s">
        <v>618</v>
      </c>
      <c r="E31" s="15" t="s">
        <v>285</v>
      </c>
      <c r="F31" s="15" t="s">
        <v>243</v>
      </c>
      <c r="G31" s="13" t="s">
        <v>635</v>
      </c>
      <c r="H31" s="13">
        <v>38</v>
      </c>
      <c r="I31" s="13" t="s">
        <v>620</v>
      </c>
      <c r="J31" s="15" t="s">
        <v>281</v>
      </c>
      <c r="K31" s="13" t="s">
        <v>621</v>
      </c>
      <c r="L31" s="20">
        <f>11000000-2000000+2000000</f>
        <v>11000000</v>
      </c>
      <c r="M31" s="13" t="s">
        <v>622</v>
      </c>
      <c r="N31" s="13" t="s">
        <v>622</v>
      </c>
      <c r="O31" s="95" t="s">
        <v>623</v>
      </c>
      <c r="P31" s="95" t="s">
        <v>624</v>
      </c>
      <c r="Q31" s="13" t="s">
        <v>636</v>
      </c>
      <c r="R31" s="96" t="s">
        <v>626</v>
      </c>
    </row>
    <row r="32" spans="1:18" ht="54" customHeight="1">
      <c r="A32" s="13"/>
      <c r="B32" s="14" t="s">
        <v>606</v>
      </c>
      <c r="C32" s="15" t="s">
        <v>607</v>
      </c>
      <c r="D32" s="15" t="s">
        <v>618</v>
      </c>
      <c r="E32" s="15" t="s">
        <v>317</v>
      </c>
      <c r="F32" s="15" t="s">
        <v>243</v>
      </c>
      <c r="G32" s="13" t="s">
        <v>637</v>
      </c>
      <c r="H32" s="13" t="s">
        <v>1319</v>
      </c>
      <c r="I32" s="13" t="s">
        <v>620</v>
      </c>
      <c r="J32" s="15" t="s">
        <v>240</v>
      </c>
      <c r="K32" s="13" t="s">
        <v>621</v>
      </c>
      <c r="L32" s="20">
        <v>1000000</v>
      </c>
      <c r="M32" s="13" t="s">
        <v>638</v>
      </c>
      <c r="N32" s="13" t="s">
        <v>639</v>
      </c>
      <c r="O32" s="21" t="s">
        <v>640</v>
      </c>
      <c r="P32" s="13" t="s">
        <v>641</v>
      </c>
      <c r="Q32" s="13" t="s">
        <v>642</v>
      </c>
      <c r="R32" s="13" t="s">
        <v>641</v>
      </c>
    </row>
    <row r="33" spans="1:18" ht="90" customHeight="1">
      <c r="A33" s="13"/>
      <c r="B33" s="14" t="s">
        <v>606</v>
      </c>
      <c r="C33" s="15" t="s">
        <v>607</v>
      </c>
      <c r="D33" s="15" t="s">
        <v>618</v>
      </c>
      <c r="E33" s="16" t="s">
        <v>643</v>
      </c>
      <c r="F33" s="16" t="s">
        <v>243</v>
      </c>
      <c r="G33" s="13" t="s">
        <v>644</v>
      </c>
      <c r="H33" s="13">
        <v>11</v>
      </c>
      <c r="I33" s="13" t="s">
        <v>620</v>
      </c>
      <c r="J33" s="16" t="s">
        <v>281</v>
      </c>
      <c r="K33" s="13" t="s">
        <v>621</v>
      </c>
      <c r="L33" s="20">
        <f>(19225000)/2-387500</f>
        <v>9225000</v>
      </c>
      <c r="M33" s="95" t="s">
        <v>645</v>
      </c>
      <c r="N33" s="13" t="s">
        <v>622</v>
      </c>
      <c r="O33" s="13" t="s">
        <v>646</v>
      </c>
      <c r="P33" s="13" t="s">
        <v>624</v>
      </c>
      <c r="Q33" s="13" t="s">
        <v>647</v>
      </c>
      <c r="R33" s="96" t="s">
        <v>626</v>
      </c>
    </row>
    <row r="34" spans="1:18" ht="93.75" customHeight="1">
      <c r="A34" s="13"/>
      <c r="B34" s="14" t="s">
        <v>606</v>
      </c>
      <c r="C34" s="15" t="s">
        <v>607</v>
      </c>
      <c r="D34" s="15" t="s">
        <v>618</v>
      </c>
      <c r="E34" s="16" t="s">
        <v>288</v>
      </c>
      <c r="F34" s="16" t="s">
        <v>243</v>
      </c>
      <c r="G34" s="13" t="s">
        <v>648</v>
      </c>
      <c r="H34" s="13">
        <v>38</v>
      </c>
      <c r="I34" s="13" t="s">
        <v>620</v>
      </c>
      <c r="J34" s="16" t="s">
        <v>281</v>
      </c>
      <c r="K34" s="13" t="s">
        <v>621</v>
      </c>
      <c r="L34" s="20">
        <f>3325000+1175000-1000000</f>
        <v>3500000</v>
      </c>
      <c r="M34" s="13" t="s">
        <v>622</v>
      </c>
      <c r="N34" s="13" t="s">
        <v>622</v>
      </c>
      <c r="O34" s="95" t="s">
        <v>623</v>
      </c>
      <c r="P34" s="95" t="s">
        <v>624</v>
      </c>
      <c r="Q34" s="13" t="s">
        <v>649</v>
      </c>
      <c r="R34" s="96" t="s">
        <v>626</v>
      </c>
    </row>
    <row r="35" spans="1:18" ht="90.75" customHeight="1">
      <c r="A35" s="13"/>
      <c r="B35" s="14" t="s">
        <v>606</v>
      </c>
      <c r="C35" s="15" t="s">
        <v>607</v>
      </c>
      <c r="D35" s="15" t="s">
        <v>618</v>
      </c>
      <c r="E35" s="16" t="s">
        <v>289</v>
      </c>
      <c r="F35" s="16" t="s">
        <v>243</v>
      </c>
      <c r="G35" s="13" t="s">
        <v>650</v>
      </c>
      <c r="H35" s="13" t="s">
        <v>1320</v>
      </c>
      <c r="I35" s="13" t="s">
        <v>620</v>
      </c>
      <c r="J35" s="16" t="s">
        <v>281</v>
      </c>
      <c r="K35" s="13" t="s">
        <v>621</v>
      </c>
      <c r="L35" s="20">
        <f>4000000+3000000</f>
        <v>7000000</v>
      </c>
      <c r="M35" s="22" t="s">
        <v>622</v>
      </c>
      <c r="N35" s="22" t="s">
        <v>622</v>
      </c>
      <c r="O35" s="95" t="s">
        <v>623</v>
      </c>
      <c r="P35" s="95" t="s">
        <v>624</v>
      </c>
      <c r="Q35" s="13" t="s">
        <v>651</v>
      </c>
      <c r="R35" s="96" t="s">
        <v>626</v>
      </c>
    </row>
    <row r="36" spans="1:18" ht="90.75" customHeight="1">
      <c r="A36" s="13"/>
      <c r="B36" s="14" t="s">
        <v>606</v>
      </c>
      <c r="C36" s="15" t="s">
        <v>607</v>
      </c>
      <c r="D36" s="15" t="s">
        <v>618</v>
      </c>
      <c r="E36" s="16" t="s">
        <v>286</v>
      </c>
      <c r="F36" s="16" t="s">
        <v>243</v>
      </c>
      <c r="G36" s="13" t="s">
        <v>652</v>
      </c>
      <c r="H36" s="13">
        <v>25</v>
      </c>
      <c r="I36" s="13" t="s">
        <v>620</v>
      </c>
      <c r="J36" s="16" t="s">
        <v>281</v>
      </c>
      <c r="K36" s="13" t="s">
        <v>621</v>
      </c>
      <c r="L36" s="17">
        <f>10000000-1000000+1000000</f>
        <v>10000000</v>
      </c>
      <c r="M36" s="95" t="s">
        <v>645</v>
      </c>
      <c r="N36" s="13" t="s">
        <v>622</v>
      </c>
      <c r="O36" s="13" t="s">
        <v>646</v>
      </c>
      <c r="P36" s="13" t="s">
        <v>624</v>
      </c>
      <c r="Q36" s="13" t="s">
        <v>653</v>
      </c>
      <c r="R36" s="96" t="s">
        <v>626</v>
      </c>
    </row>
    <row r="37" spans="1:18" ht="84.75" customHeight="1">
      <c r="A37" s="13"/>
      <c r="B37" s="14" t="s">
        <v>606</v>
      </c>
      <c r="C37" s="15" t="s">
        <v>607</v>
      </c>
      <c r="D37" s="15" t="s">
        <v>618</v>
      </c>
      <c r="E37" s="15" t="s">
        <v>303</v>
      </c>
      <c r="F37" s="15" t="s">
        <v>243</v>
      </c>
      <c r="G37" s="13" t="s">
        <v>654</v>
      </c>
      <c r="H37" s="13">
        <v>25</v>
      </c>
      <c r="I37" s="13" t="s">
        <v>620</v>
      </c>
      <c r="J37" s="15" t="s">
        <v>240</v>
      </c>
      <c r="K37" s="13" t="s">
        <v>621</v>
      </c>
      <c r="L37" s="20">
        <v>1140000</v>
      </c>
      <c r="M37" s="21" t="s">
        <v>655</v>
      </c>
      <c r="N37" s="13" t="s">
        <v>622</v>
      </c>
      <c r="O37" s="13" t="s">
        <v>646</v>
      </c>
      <c r="P37" s="13" t="s">
        <v>624</v>
      </c>
      <c r="Q37" s="13" t="s">
        <v>656</v>
      </c>
      <c r="R37" s="96" t="s">
        <v>626</v>
      </c>
    </row>
    <row r="38" spans="1:18" ht="88.5" customHeight="1">
      <c r="A38" s="13"/>
      <c r="B38" s="14" t="s">
        <v>606</v>
      </c>
      <c r="C38" s="15" t="s">
        <v>607</v>
      </c>
      <c r="D38" s="15" t="s">
        <v>618</v>
      </c>
      <c r="E38" s="15" t="s">
        <v>290</v>
      </c>
      <c r="F38" s="15" t="s">
        <v>243</v>
      </c>
      <c r="G38" s="13" t="s">
        <v>657</v>
      </c>
      <c r="H38" s="13" t="s">
        <v>1321</v>
      </c>
      <c r="I38" s="13" t="s">
        <v>620</v>
      </c>
      <c r="J38" s="15" t="s">
        <v>281</v>
      </c>
      <c r="K38" s="13" t="s">
        <v>621</v>
      </c>
      <c r="L38" s="20">
        <f>10000000-1000000+1000000</f>
        <v>10000000</v>
      </c>
      <c r="M38" s="13" t="s">
        <v>645</v>
      </c>
      <c r="N38" s="13" t="s">
        <v>622</v>
      </c>
      <c r="O38" s="13" t="s">
        <v>646</v>
      </c>
      <c r="P38" s="13" t="s">
        <v>624</v>
      </c>
      <c r="Q38" s="13" t="s">
        <v>658</v>
      </c>
      <c r="R38" s="96" t="s">
        <v>626</v>
      </c>
    </row>
    <row r="39" spans="1:18" ht="87.75" customHeight="1">
      <c r="A39" s="13"/>
      <c r="B39" s="14" t="s">
        <v>606</v>
      </c>
      <c r="C39" s="15" t="s">
        <v>607</v>
      </c>
      <c r="D39" s="15" t="s">
        <v>618</v>
      </c>
      <c r="E39" s="15" t="s">
        <v>293</v>
      </c>
      <c r="F39" s="15" t="s">
        <v>243</v>
      </c>
      <c r="G39" s="13" t="s">
        <v>659</v>
      </c>
      <c r="H39" s="13">
        <v>27</v>
      </c>
      <c r="I39" s="13" t="s">
        <v>620</v>
      </c>
      <c r="J39" s="15" t="s">
        <v>240</v>
      </c>
      <c r="K39" s="13" t="s">
        <v>621</v>
      </c>
      <c r="L39" s="20">
        <f>4000000+5000000</f>
        <v>9000000</v>
      </c>
      <c r="M39" s="13" t="s">
        <v>622</v>
      </c>
      <c r="N39" s="13" t="s">
        <v>660</v>
      </c>
      <c r="O39" s="13" t="s">
        <v>646</v>
      </c>
      <c r="P39" s="13" t="s">
        <v>624</v>
      </c>
      <c r="Q39" s="13" t="s">
        <v>661</v>
      </c>
      <c r="R39" s="96" t="s">
        <v>626</v>
      </c>
    </row>
    <row r="40" spans="1:18" ht="93" customHeight="1">
      <c r="A40" s="13"/>
      <c r="B40" s="14" t="s">
        <v>606</v>
      </c>
      <c r="C40" s="15" t="s">
        <v>607</v>
      </c>
      <c r="D40" s="15" t="s">
        <v>618</v>
      </c>
      <c r="E40" s="15" t="s">
        <v>291</v>
      </c>
      <c r="F40" s="15" t="s">
        <v>243</v>
      </c>
      <c r="G40" s="13" t="s">
        <v>662</v>
      </c>
      <c r="H40" s="13">
        <v>4</v>
      </c>
      <c r="I40" s="13" t="s">
        <v>620</v>
      </c>
      <c r="J40" s="15" t="s">
        <v>281</v>
      </c>
      <c r="K40" s="13" t="s">
        <v>621</v>
      </c>
      <c r="L40" s="20">
        <v>6500000</v>
      </c>
      <c r="M40" s="13" t="s">
        <v>622</v>
      </c>
      <c r="N40" s="13" t="s">
        <v>646</v>
      </c>
      <c r="O40" s="13" t="s">
        <v>646</v>
      </c>
      <c r="P40" s="13" t="s">
        <v>624</v>
      </c>
      <c r="Q40" s="13" t="s">
        <v>663</v>
      </c>
      <c r="R40" s="96" t="s">
        <v>626</v>
      </c>
    </row>
    <row r="41" spans="1:18" ht="89.25" customHeight="1">
      <c r="A41" s="13"/>
      <c r="B41" s="14" t="s">
        <v>606</v>
      </c>
      <c r="C41" s="15" t="s">
        <v>607</v>
      </c>
      <c r="D41" s="15" t="s">
        <v>618</v>
      </c>
      <c r="E41" s="15" t="s">
        <v>292</v>
      </c>
      <c r="F41" s="15" t="s">
        <v>243</v>
      </c>
      <c r="G41" s="13" t="s">
        <v>664</v>
      </c>
      <c r="H41" s="13">
        <v>2</v>
      </c>
      <c r="I41" s="13" t="s">
        <v>620</v>
      </c>
      <c r="J41" s="15" t="s">
        <v>281</v>
      </c>
      <c r="K41" s="13" t="s">
        <v>621</v>
      </c>
      <c r="L41" s="20">
        <f>10000000-1000000</f>
        <v>9000000</v>
      </c>
      <c r="M41" s="13" t="s">
        <v>622</v>
      </c>
      <c r="N41" s="13" t="s">
        <v>622</v>
      </c>
      <c r="O41" s="13" t="s">
        <v>646</v>
      </c>
      <c r="P41" s="13" t="s">
        <v>624</v>
      </c>
      <c r="Q41" s="13" t="s">
        <v>665</v>
      </c>
      <c r="R41" s="96" t="s">
        <v>626</v>
      </c>
    </row>
    <row r="42" spans="1:18" ht="87.75" customHeight="1">
      <c r="A42" s="13"/>
      <c r="B42" s="14" t="s">
        <v>606</v>
      </c>
      <c r="C42" s="15" t="s">
        <v>607</v>
      </c>
      <c r="D42" s="15" t="s">
        <v>618</v>
      </c>
      <c r="E42" s="15" t="s">
        <v>295</v>
      </c>
      <c r="F42" s="15" t="s">
        <v>243</v>
      </c>
      <c r="G42" s="13" t="s">
        <v>666</v>
      </c>
      <c r="H42" s="13" t="s">
        <v>1322</v>
      </c>
      <c r="I42" s="13" t="s">
        <v>620</v>
      </c>
      <c r="J42" s="15" t="s">
        <v>240</v>
      </c>
      <c r="K42" s="13" t="s">
        <v>621</v>
      </c>
      <c r="L42" s="20">
        <v>1900000</v>
      </c>
      <c r="M42" s="21" t="s">
        <v>667</v>
      </c>
      <c r="N42" s="22" t="s">
        <v>668</v>
      </c>
      <c r="O42" s="22" t="s">
        <v>669</v>
      </c>
      <c r="P42" s="22" t="s">
        <v>624</v>
      </c>
      <c r="Q42" s="13" t="s">
        <v>670</v>
      </c>
      <c r="R42" s="96" t="s">
        <v>626</v>
      </c>
    </row>
    <row r="43" spans="1:18" ht="83.25" customHeight="1">
      <c r="A43" s="13"/>
      <c r="B43" s="14" t="s">
        <v>606</v>
      </c>
      <c r="C43" s="15" t="s">
        <v>607</v>
      </c>
      <c r="D43" s="15" t="s">
        <v>618</v>
      </c>
      <c r="E43" s="15" t="s">
        <v>294</v>
      </c>
      <c r="F43" s="15" t="s">
        <v>241</v>
      </c>
      <c r="G43" s="13" t="s">
        <v>671</v>
      </c>
      <c r="H43" s="13" t="s">
        <v>1323</v>
      </c>
      <c r="I43" s="13" t="s">
        <v>620</v>
      </c>
      <c r="J43" s="15" t="s">
        <v>240</v>
      </c>
      <c r="K43" s="13" t="s">
        <v>621</v>
      </c>
      <c r="L43" s="20">
        <f>1500000+3000000</f>
        <v>4500000</v>
      </c>
      <c r="M43" s="23" t="s">
        <v>672</v>
      </c>
      <c r="N43" s="97" t="s">
        <v>673</v>
      </c>
      <c r="O43" s="97" t="s">
        <v>674</v>
      </c>
      <c r="P43" s="18" t="s">
        <v>624</v>
      </c>
      <c r="Q43" s="13" t="s">
        <v>675</v>
      </c>
      <c r="R43" s="96" t="s">
        <v>626</v>
      </c>
    </row>
    <row r="44" spans="1:18" ht="91.5" customHeight="1">
      <c r="A44" s="13"/>
      <c r="B44" s="14" t="s">
        <v>606</v>
      </c>
      <c r="C44" s="15" t="s">
        <v>607</v>
      </c>
      <c r="D44" s="15" t="s">
        <v>618</v>
      </c>
      <c r="E44" s="15" t="s">
        <v>296</v>
      </c>
      <c r="F44" s="15" t="s">
        <v>243</v>
      </c>
      <c r="G44" s="13" t="s">
        <v>676</v>
      </c>
      <c r="H44" s="13">
        <v>13</v>
      </c>
      <c r="I44" s="13" t="s">
        <v>620</v>
      </c>
      <c r="J44" s="15" t="s">
        <v>240</v>
      </c>
      <c r="K44" s="13" t="s">
        <v>621</v>
      </c>
      <c r="L44" s="20">
        <f>9500000-1500000</f>
        <v>8000000</v>
      </c>
      <c r="M44" s="13" t="s">
        <v>677</v>
      </c>
      <c r="N44" s="13" t="s">
        <v>622</v>
      </c>
      <c r="O44" s="13" t="s">
        <v>646</v>
      </c>
      <c r="P44" s="13" t="s">
        <v>624</v>
      </c>
      <c r="Q44" s="13" t="s">
        <v>678</v>
      </c>
      <c r="R44" s="96" t="s">
        <v>626</v>
      </c>
    </row>
    <row r="45" spans="1:18" ht="90.75" customHeight="1">
      <c r="A45" s="13"/>
      <c r="B45" s="14" t="s">
        <v>606</v>
      </c>
      <c r="C45" s="15" t="s">
        <v>607</v>
      </c>
      <c r="D45" s="15" t="s">
        <v>618</v>
      </c>
      <c r="E45" s="16" t="s">
        <v>679</v>
      </c>
      <c r="F45" s="16" t="s">
        <v>243</v>
      </c>
      <c r="G45" s="13" t="s">
        <v>680</v>
      </c>
      <c r="H45" s="13">
        <v>17</v>
      </c>
      <c r="I45" s="13" t="s">
        <v>620</v>
      </c>
      <c r="J45" s="16" t="s">
        <v>281</v>
      </c>
      <c r="K45" s="13" t="s">
        <v>621</v>
      </c>
      <c r="L45" s="20">
        <f>(20000000-775000)/2+387500</f>
        <v>10000000</v>
      </c>
      <c r="M45" s="13" t="s">
        <v>677</v>
      </c>
      <c r="N45" s="13" t="s">
        <v>622</v>
      </c>
      <c r="O45" s="13" t="s">
        <v>646</v>
      </c>
      <c r="P45" s="13" t="s">
        <v>624</v>
      </c>
      <c r="Q45" s="13" t="s">
        <v>681</v>
      </c>
      <c r="R45" s="96" t="s">
        <v>626</v>
      </c>
    </row>
    <row r="46" spans="1:18" ht="86.25" customHeight="1">
      <c r="A46" s="13"/>
      <c r="B46" s="14" t="s">
        <v>606</v>
      </c>
      <c r="C46" s="15" t="s">
        <v>607</v>
      </c>
      <c r="D46" s="15" t="s">
        <v>618</v>
      </c>
      <c r="E46" s="15" t="s">
        <v>297</v>
      </c>
      <c r="F46" s="15" t="s">
        <v>243</v>
      </c>
      <c r="G46" s="13" t="s">
        <v>680</v>
      </c>
      <c r="H46" s="13">
        <v>17</v>
      </c>
      <c r="I46" s="13" t="s">
        <v>620</v>
      </c>
      <c r="J46" s="15" t="s">
        <v>240</v>
      </c>
      <c r="K46" s="13" t="s">
        <v>621</v>
      </c>
      <c r="L46" s="20">
        <v>4000000</v>
      </c>
      <c r="M46" s="13" t="s">
        <v>622</v>
      </c>
      <c r="N46" s="13" t="s">
        <v>622</v>
      </c>
      <c r="O46" s="13" t="s">
        <v>646</v>
      </c>
      <c r="P46" s="13" t="s">
        <v>624</v>
      </c>
      <c r="Q46" s="13" t="s">
        <v>681</v>
      </c>
      <c r="R46" s="96" t="s">
        <v>626</v>
      </c>
    </row>
    <row r="47" spans="1:18" ht="84.75" customHeight="1">
      <c r="A47" s="13"/>
      <c r="B47" s="14" t="s">
        <v>606</v>
      </c>
      <c r="C47" s="15" t="s">
        <v>607</v>
      </c>
      <c r="D47" s="15" t="s">
        <v>618</v>
      </c>
      <c r="E47" s="16" t="s">
        <v>682</v>
      </c>
      <c r="F47" s="16" t="s">
        <v>243</v>
      </c>
      <c r="G47" s="13" t="s">
        <v>680</v>
      </c>
      <c r="H47" s="13">
        <v>17</v>
      </c>
      <c r="I47" s="13" t="s">
        <v>620</v>
      </c>
      <c r="J47" s="16" t="s">
        <v>307</v>
      </c>
      <c r="K47" s="13" t="s">
        <v>621</v>
      </c>
      <c r="L47" s="20">
        <v>7003000</v>
      </c>
      <c r="M47" s="90" t="s">
        <v>683</v>
      </c>
      <c r="N47" s="13" t="s">
        <v>684</v>
      </c>
      <c r="O47" s="13" t="s">
        <v>685</v>
      </c>
      <c r="P47" s="13" t="s">
        <v>624</v>
      </c>
      <c r="Q47" s="13" t="s">
        <v>686</v>
      </c>
      <c r="R47" s="96" t="s">
        <v>626</v>
      </c>
    </row>
    <row r="48" spans="1:18" ht="84" customHeight="1">
      <c r="A48" s="13"/>
      <c r="B48" s="14" t="s">
        <v>606</v>
      </c>
      <c r="C48" s="15" t="s">
        <v>607</v>
      </c>
      <c r="D48" s="15" t="s">
        <v>618</v>
      </c>
      <c r="E48" s="15" t="s">
        <v>298</v>
      </c>
      <c r="F48" s="15" t="s">
        <v>245</v>
      </c>
      <c r="G48" s="13" t="s">
        <v>687</v>
      </c>
      <c r="H48" s="13">
        <v>37</v>
      </c>
      <c r="I48" s="13" t="s">
        <v>620</v>
      </c>
      <c r="J48" s="15" t="s">
        <v>240</v>
      </c>
      <c r="K48" s="13" t="s">
        <v>621</v>
      </c>
      <c r="L48" s="20">
        <f>9500000-1500000</f>
        <v>8000000</v>
      </c>
      <c r="M48" s="13" t="s">
        <v>677</v>
      </c>
      <c r="N48" s="13" t="s">
        <v>622</v>
      </c>
      <c r="O48" s="13" t="s">
        <v>646</v>
      </c>
      <c r="P48" s="13" t="s">
        <v>624</v>
      </c>
      <c r="Q48" s="13" t="s">
        <v>688</v>
      </c>
      <c r="R48" s="96" t="s">
        <v>626</v>
      </c>
    </row>
    <row r="49" spans="1:18" ht="85.5" customHeight="1">
      <c r="A49" s="13"/>
      <c r="B49" s="14" t="s">
        <v>606</v>
      </c>
      <c r="C49" s="15" t="s">
        <v>607</v>
      </c>
      <c r="D49" s="15" t="s">
        <v>618</v>
      </c>
      <c r="E49" s="15" t="s">
        <v>299</v>
      </c>
      <c r="F49" s="15" t="s">
        <v>245</v>
      </c>
      <c r="G49" s="13" t="s">
        <v>689</v>
      </c>
      <c r="H49" s="13">
        <v>12</v>
      </c>
      <c r="I49" s="13" t="s">
        <v>620</v>
      </c>
      <c r="J49" s="15" t="s">
        <v>240</v>
      </c>
      <c r="K49" s="13" t="s">
        <v>621</v>
      </c>
      <c r="L49" s="20">
        <f>9500000-1500000</f>
        <v>8000000</v>
      </c>
      <c r="M49" s="13" t="s">
        <v>677</v>
      </c>
      <c r="N49" s="13" t="s">
        <v>622</v>
      </c>
      <c r="O49" s="13" t="s">
        <v>646</v>
      </c>
      <c r="P49" s="13" t="s">
        <v>624</v>
      </c>
      <c r="Q49" s="13" t="s">
        <v>690</v>
      </c>
      <c r="R49" s="96" t="s">
        <v>626</v>
      </c>
    </row>
    <row r="50" spans="1:18" ht="84" customHeight="1">
      <c r="A50" s="13"/>
      <c r="B50" s="14" t="s">
        <v>606</v>
      </c>
      <c r="C50" s="15" t="s">
        <v>607</v>
      </c>
      <c r="D50" s="15" t="s">
        <v>618</v>
      </c>
      <c r="E50" s="15" t="s">
        <v>300</v>
      </c>
      <c r="F50" s="15" t="s">
        <v>245</v>
      </c>
      <c r="G50" s="13" t="s">
        <v>691</v>
      </c>
      <c r="H50" s="13">
        <v>11</v>
      </c>
      <c r="I50" s="13" t="s">
        <v>620</v>
      </c>
      <c r="J50" s="15" t="s">
        <v>240</v>
      </c>
      <c r="K50" s="13" t="s">
        <v>621</v>
      </c>
      <c r="L50" s="20">
        <f>5500000-1200000-2500000</f>
        <v>1800000</v>
      </c>
      <c r="M50" s="13" t="s">
        <v>677</v>
      </c>
      <c r="N50" s="13" t="s">
        <v>622</v>
      </c>
      <c r="O50" s="13" t="s">
        <v>646</v>
      </c>
      <c r="P50" s="13" t="s">
        <v>624</v>
      </c>
      <c r="Q50" s="13" t="s">
        <v>692</v>
      </c>
      <c r="R50" s="96" t="s">
        <v>626</v>
      </c>
    </row>
    <row r="51" spans="1:18" ht="68.25" customHeight="1">
      <c r="A51" s="13"/>
      <c r="B51" s="14" t="s">
        <v>606</v>
      </c>
      <c r="C51" s="15" t="s">
        <v>607</v>
      </c>
      <c r="D51" s="15" t="s">
        <v>618</v>
      </c>
      <c r="E51" s="15" t="s">
        <v>300</v>
      </c>
      <c r="F51" s="15" t="s">
        <v>245</v>
      </c>
      <c r="G51" s="13" t="s">
        <v>691</v>
      </c>
      <c r="H51" s="13">
        <v>11</v>
      </c>
      <c r="I51" s="13" t="s">
        <v>620</v>
      </c>
      <c r="J51" s="15" t="s">
        <v>281</v>
      </c>
      <c r="K51" s="13" t="s">
        <v>621</v>
      </c>
      <c r="L51" s="20">
        <f>4000000+1500000</f>
        <v>5500000</v>
      </c>
      <c r="M51" s="13" t="s">
        <v>677</v>
      </c>
      <c r="N51" s="13" t="s">
        <v>622</v>
      </c>
      <c r="O51" s="13" t="s">
        <v>646</v>
      </c>
      <c r="P51" s="13" t="s">
        <v>624</v>
      </c>
      <c r="Q51" s="13" t="s">
        <v>692</v>
      </c>
      <c r="R51" s="96" t="s">
        <v>626</v>
      </c>
    </row>
    <row r="52" spans="1:18" ht="54" customHeight="1">
      <c r="A52" s="13"/>
      <c r="B52" s="14" t="s">
        <v>606</v>
      </c>
      <c r="C52" s="15" t="s">
        <v>607</v>
      </c>
      <c r="D52" s="15" t="s">
        <v>618</v>
      </c>
      <c r="E52" s="15" t="s">
        <v>302</v>
      </c>
      <c r="F52" s="15" t="s">
        <v>245</v>
      </c>
      <c r="G52" s="13" t="s">
        <v>693</v>
      </c>
      <c r="H52" s="13">
        <v>11</v>
      </c>
      <c r="I52" s="13" t="s">
        <v>620</v>
      </c>
      <c r="J52" s="15" t="s">
        <v>240</v>
      </c>
      <c r="K52" s="13" t="s">
        <v>621</v>
      </c>
      <c r="L52" s="20">
        <v>1200000</v>
      </c>
      <c r="M52" s="13" t="s">
        <v>638</v>
      </c>
      <c r="N52" s="13" t="s">
        <v>639</v>
      </c>
      <c r="O52" s="13" t="s">
        <v>640</v>
      </c>
      <c r="P52" s="13" t="s">
        <v>641</v>
      </c>
      <c r="Q52" s="13" t="s">
        <v>642</v>
      </c>
      <c r="R52" s="13" t="s">
        <v>641</v>
      </c>
    </row>
    <row r="53" spans="1:18" ht="90" customHeight="1">
      <c r="A53" s="13"/>
      <c r="B53" s="14" t="s">
        <v>606</v>
      </c>
      <c r="C53" s="15" t="s">
        <v>607</v>
      </c>
      <c r="D53" s="15" t="s">
        <v>618</v>
      </c>
      <c r="E53" s="24" t="s">
        <v>694</v>
      </c>
      <c r="F53" s="24" t="s">
        <v>245</v>
      </c>
      <c r="G53" s="13" t="s">
        <v>695</v>
      </c>
      <c r="H53" s="13">
        <v>17</v>
      </c>
      <c r="I53" s="13" t="s">
        <v>620</v>
      </c>
      <c r="J53" s="24" t="s">
        <v>307</v>
      </c>
      <c r="K53" s="13" t="s">
        <v>621</v>
      </c>
      <c r="L53" s="25">
        <f>11244000-2504000</f>
        <v>8740000</v>
      </c>
      <c r="M53" s="22" t="s">
        <v>677</v>
      </c>
      <c r="N53" s="13" t="s">
        <v>622</v>
      </c>
      <c r="O53" s="13" t="s">
        <v>646</v>
      </c>
      <c r="P53" s="13" t="s">
        <v>624</v>
      </c>
      <c r="Q53" s="13" t="s">
        <v>696</v>
      </c>
      <c r="R53" s="96" t="s">
        <v>626</v>
      </c>
    </row>
    <row r="54" spans="1:18" ht="98.25" customHeight="1">
      <c r="A54" s="13"/>
      <c r="B54" s="14" t="s">
        <v>606</v>
      </c>
      <c r="C54" s="15" t="s">
        <v>607</v>
      </c>
      <c r="D54" s="15" t="s">
        <v>618</v>
      </c>
      <c r="E54" s="24" t="s">
        <v>697</v>
      </c>
      <c r="F54" s="24" t="s">
        <v>243</v>
      </c>
      <c r="G54" s="13" t="s">
        <v>695</v>
      </c>
      <c r="H54" s="13">
        <v>17</v>
      </c>
      <c r="I54" s="13" t="s">
        <v>620</v>
      </c>
      <c r="J54" s="24" t="s">
        <v>307</v>
      </c>
      <c r="K54" s="13" t="s">
        <v>621</v>
      </c>
      <c r="L54" s="26">
        <v>8703000</v>
      </c>
      <c r="M54" s="98" t="s">
        <v>698</v>
      </c>
      <c r="N54" s="98" t="s">
        <v>699</v>
      </c>
      <c r="O54" s="98" t="s">
        <v>624</v>
      </c>
      <c r="P54" s="27" t="s">
        <v>624</v>
      </c>
      <c r="Q54" s="24" t="s">
        <v>700</v>
      </c>
      <c r="R54" s="96" t="s">
        <v>626</v>
      </c>
    </row>
    <row r="55" spans="1:18" ht="87" customHeight="1">
      <c r="A55" s="13"/>
      <c r="B55" s="14" t="s">
        <v>606</v>
      </c>
      <c r="C55" s="15" t="s">
        <v>607</v>
      </c>
      <c r="D55" s="15" t="s">
        <v>618</v>
      </c>
      <c r="E55" s="24" t="s">
        <v>304</v>
      </c>
      <c r="F55" s="24" t="s">
        <v>243</v>
      </c>
      <c r="G55" s="13" t="s">
        <v>666</v>
      </c>
      <c r="H55" s="13" t="s">
        <v>1322</v>
      </c>
      <c r="I55" s="13" t="s">
        <v>620</v>
      </c>
      <c r="J55" s="24" t="s">
        <v>240</v>
      </c>
      <c r="K55" s="13" t="s">
        <v>621</v>
      </c>
      <c r="L55" s="28">
        <v>3000000</v>
      </c>
      <c r="M55" s="27" t="s">
        <v>701</v>
      </c>
      <c r="N55" s="97" t="s">
        <v>702</v>
      </c>
      <c r="O55" s="97" t="s">
        <v>703</v>
      </c>
      <c r="P55" s="29" t="s">
        <v>624</v>
      </c>
      <c r="Q55" s="97" t="s">
        <v>703</v>
      </c>
      <c r="R55" s="96" t="s">
        <v>626</v>
      </c>
    </row>
    <row r="56" spans="1:18" ht="89.25" customHeight="1">
      <c r="A56" s="13"/>
      <c r="B56" s="14" t="s">
        <v>606</v>
      </c>
      <c r="C56" s="15" t="s">
        <v>607</v>
      </c>
      <c r="D56" s="15" t="s">
        <v>618</v>
      </c>
      <c r="E56" s="24" t="s">
        <v>305</v>
      </c>
      <c r="F56" s="24" t="s">
        <v>243</v>
      </c>
      <c r="G56" s="13" t="s">
        <v>666</v>
      </c>
      <c r="H56" s="13" t="s">
        <v>1322</v>
      </c>
      <c r="I56" s="13" t="s">
        <v>620</v>
      </c>
      <c r="J56" s="24" t="s">
        <v>240</v>
      </c>
      <c r="K56" s="13" t="s">
        <v>621</v>
      </c>
      <c r="L56" s="30">
        <f>2690000-500000</f>
        <v>2190000</v>
      </c>
      <c r="M56" s="21" t="s">
        <v>704</v>
      </c>
      <c r="N56" s="21" t="s">
        <v>704</v>
      </c>
      <c r="O56" s="21" t="s">
        <v>704</v>
      </c>
      <c r="P56" s="21" t="s">
        <v>704</v>
      </c>
      <c r="Q56" s="21" t="s">
        <v>704</v>
      </c>
      <c r="R56" s="96" t="s">
        <v>626</v>
      </c>
    </row>
    <row r="57" spans="1:18" ht="87" customHeight="1">
      <c r="A57" s="13"/>
      <c r="B57" s="14" t="s">
        <v>606</v>
      </c>
      <c r="C57" s="15" t="s">
        <v>607</v>
      </c>
      <c r="D57" s="15" t="s">
        <v>618</v>
      </c>
      <c r="E57" s="31" t="s">
        <v>312</v>
      </c>
      <c r="F57" s="31" t="s">
        <v>245</v>
      </c>
      <c r="G57" s="13" t="s">
        <v>705</v>
      </c>
      <c r="H57" s="13" t="s">
        <v>1324</v>
      </c>
      <c r="I57" s="13" t="s">
        <v>620</v>
      </c>
      <c r="J57" s="31" t="s">
        <v>281</v>
      </c>
      <c r="K57" s="13" t="s">
        <v>621</v>
      </c>
      <c r="L57" s="30">
        <v>7000000</v>
      </c>
      <c r="M57" s="13" t="s">
        <v>622</v>
      </c>
      <c r="N57" s="13" t="s">
        <v>646</v>
      </c>
      <c r="O57" s="13" t="s">
        <v>646</v>
      </c>
      <c r="P57" s="13" t="s">
        <v>624</v>
      </c>
      <c r="Q57" s="13" t="s">
        <v>706</v>
      </c>
      <c r="R57" s="96" t="s">
        <v>626</v>
      </c>
    </row>
    <row r="58" spans="1:18" ht="89.25" customHeight="1">
      <c r="A58" s="13"/>
      <c r="B58" s="14" t="s">
        <v>606</v>
      </c>
      <c r="C58" s="15" t="s">
        <v>607</v>
      </c>
      <c r="D58" s="15" t="s">
        <v>618</v>
      </c>
      <c r="E58" s="24" t="s">
        <v>707</v>
      </c>
      <c r="F58" s="24" t="s">
        <v>243</v>
      </c>
      <c r="G58" s="13" t="s">
        <v>666</v>
      </c>
      <c r="H58" s="13" t="s">
        <v>1322</v>
      </c>
      <c r="I58" s="13" t="s">
        <v>620</v>
      </c>
      <c r="J58" s="24" t="s">
        <v>708</v>
      </c>
      <c r="K58" s="13" t="s">
        <v>621</v>
      </c>
      <c r="L58" s="30">
        <f>70000000-10000000+30000000-10000000</f>
        <v>80000000</v>
      </c>
      <c r="M58" s="13" t="s">
        <v>709</v>
      </c>
      <c r="N58" s="13" t="s">
        <v>710</v>
      </c>
      <c r="O58" s="97" t="s">
        <v>673</v>
      </c>
      <c r="P58" s="97" t="s">
        <v>674</v>
      </c>
      <c r="Q58" s="13" t="s">
        <v>631</v>
      </c>
      <c r="R58" s="96" t="s">
        <v>626</v>
      </c>
    </row>
    <row r="59" spans="1:18" ht="87" customHeight="1">
      <c r="A59" s="13"/>
      <c r="B59" s="14" t="s">
        <v>606</v>
      </c>
      <c r="C59" s="15" t="s">
        <v>607</v>
      </c>
      <c r="D59" s="15" t="s">
        <v>618</v>
      </c>
      <c r="E59" s="24" t="s">
        <v>711</v>
      </c>
      <c r="F59" s="24" t="s">
        <v>245</v>
      </c>
      <c r="G59" s="13" t="s">
        <v>629</v>
      </c>
      <c r="H59" s="13" t="s">
        <v>1326</v>
      </c>
      <c r="I59" s="13" t="s">
        <v>620</v>
      </c>
      <c r="J59" s="24" t="s">
        <v>307</v>
      </c>
      <c r="K59" s="13" t="s">
        <v>621</v>
      </c>
      <c r="L59" s="30">
        <v>8050000</v>
      </c>
      <c r="M59" s="13" t="s">
        <v>712</v>
      </c>
      <c r="N59" s="13" t="s">
        <v>622</v>
      </c>
      <c r="O59" s="13" t="s">
        <v>713</v>
      </c>
      <c r="P59" s="13" t="s">
        <v>714</v>
      </c>
      <c r="Q59" s="13" t="s">
        <v>715</v>
      </c>
      <c r="R59" s="96" t="s">
        <v>626</v>
      </c>
    </row>
    <row r="60" spans="1:18" ht="89.25" customHeight="1">
      <c r="A60" s="13"/>
      <c r="B60" s="14" t="s">
        <v>606</v>
      </c>
      <c r="C60" s="15" t="s">
        <v>607</v>
      </c>
      <c r="D60" s="15" t="s">
        <v>618</v>
      </c>
      <c r="E60" s="24" t="s">
        <v>716</v>
      </c>
      <c r="F60" s="24" t="s">
        <v>243</v>
      </c>
      <c r="G60" s="13" t="s">
        <v>680</v>
      </c>
      <c r="H60" s="13">
        <v>17</v>
      </c>
      <c r="I60" s="13" t="s">
        <v>620</v>
      </c>
      <c r="J60" s="24" t="s">
        <v>307</v>
      </c>
      <c r="K60" s="13" t="s">
        <v>621</v>
      </c>
      <c r="L60" s="30">
        <v>2504000</v>
      </c>
      <c r="M60" s="13" t="s">
        <v>717</v>
      </c>
      <c r="N60" s="13" t="s">
        <v>717</v>
      </c>
      <c r="O60" s="13" t="s">
        <v>717</v>
      </c>
      <c r="P60" s="13" t="s">
        <v>624</v>
      </c>
      <c r="Q60" s="13" t="s">
        <v>718</v>
      </c>
      <c r="R60" s="96" t="s">
        <v>626</v>
      </c>
    </row>
    <row r="61" spans="1:18" ht="87" customHeight="1">
      <c r="A61" s="13"/>
      <c r="B61" s="14" t="s">
        <v>606</v>
      </c>
      <c r="C61" s="15" t="s">
        <v>607</v>
      </c>
      <c r="D61" s="15" t="s">
        <v>618</v>
      </c>
      <c r="E61" s="16" t="s">
        <v>719</v>
      </c>
      <c r="F61" s="16" t="s">
        <v>243</v>
      </c>
      <c r="G61" s="13" t="s">
        <v>720</v>
      </c>
      <c r="H61" s="13" t="s">
        <v>1325</v>
      </c>
      <c r="I61" s="13" t="s">
        <v>620</v>
      </c>
      <c r="J61" s="16" t="s">
        <v>721</v>
      </c>
      <c r="K61" s="13" t="s">
        <v>621</v>
      </c>
      <c r="L61" s="20">
        <v>14400000</v>
      </c>
      <c r="M61" s="13" t="s">
        <v>722</v>
      </c>
      <c r="N61" s="13" t="s">
        <v>702</v>
      </c>
      <c r="O61" s="13" t="s">
        <v>723</v>
      </c>
      <c r="P61" s="13" t="s">
        <v>724</v>
      </c>
      <c r="Q61" s="13" t="s">
        <v>725</v>
      </c>
      <c r="R61" s="96" t="s">
        <v>626</v>
      </c>
    </row>
    <row r="62" spans="1:18" ht="12.75">
      <c r="A62" s="200" t="s">
        <v>726</v>
      </c>
      <c r="B62" s="201"/>
      <c r="C62" s="201"/>
      <c r="D62" s="201"/>
      <c r="E62" s="201"/>
      <c r="F62" s="201"/>
      <c r="G62" s="201"/>
      <c r="H62" s="201"/>
      <c r="I62" s="201"/>
      <c r="J62" s="201"/>
      <c r="K62" s="201"/>
      <c r="L62" s="201"/>
      <c r="M62" s="201"/>
      <c r="N62" s="201"/>
      <c r="O62" s="201"/>
      <c r="P62" s="201"/>
      <c r="Q62" s="201"/>
      <c r="R62" s="202"/>
    </row>
    <row r="63" spans="1:18" ht="12.75">
      <c r="A63" s="5"/>
      <c r="B63" s="5"/>
      <c r="C63" s="5"/>
      <c r="D63" s="5"/>
      <c r="E63" s="3"/>
      <c r="F63" s="4"/>
      <c r="G63" s="5"/>
      <c r="H63" s="5"/>
      <c r="I63" s="5"/>
      <c r="J63" s="4"/>
      <c r="K63" s="5"/>
      <c r="L63" s="6">
        <f>SUM(L27:L61)</f>
        <v>301455000</v>
      </c>
      <c r="M63" s="13"/>
      <c r="N63" s="5"/>
      <c r="O63" s="5"/>
      <c r="P63" s="5"/>
      <c r="Q63" s="5"/>
      <c r="R63" s="5"/>
    </row>
    <row r="64" spans="1:18" ht="12.75">
      <c r="A64" s="194" t="s">
        <v>324</v>
      </c>
      <c r="B64" s="195"/>
      <c r="C64" s="195"/>
      <c r="D64" s="195"/>
      <c r="E64" s="195"/>
      <c r="F64" s="195"/>
      <c r="G64" s="195"/>
      <c r="H64" s="195"/>
      <c r="I64" s="195"/>
      <c r="J64" s="195"/>
      <c r="K64" s="195"/>
      <c r="L64" s="198"/>
      <c r="M64" s="198"/>
      <c r="N64" s="198"/>
      <c r="O64" s="198"/>
      <c r="P64" s="198"/>
      <c r="Q64" s="198"/>
      <c r="R64" s="199"/>
    </row>
    <row r="65" spans="1:18" ht="150" customHeight="1">
      <c r="A65" s="5"/>
      <c r="B65" s="2" t="s">
        <v>606</v>
      </c>
      <c r="C65" s="3" t="s">
        <v>607</v>
      </c>
      <c r="D65" s="2" t="s">
        <v>727</v>
      </c>
      <c r="E65" s="7" t="s">
        <v>325</v>
      </c>
      <c r="F65" s="8" t="s">
        <v>243</v>
      </c>
      <c r="G65" s="5" t="s">
        <v>1327</v>
      </c>
      <c r="H65" s="5" t="s">
        <v>1327</v>
      </c>
      <c r="I65" s="5" t="s">
        <v>620</v>
      </c>
      <c r="J65" s="8" t="s">
        <v>281</v>
      </c>
      <c r="K65" s="92"/>
      <c r="L65" s="88">
        <v>23000000</v>
      </c>
      <c r="M65" s="99" t="s">
        <v>891</v>
      </c>
      <c r="N65" s="99" t="s">
        <v>892</v>
      </c>
      <c r="O65" s="99" t="s">
        <v>893</v>
      </c>
      <c r="P65" s="99" t="s">
        <v>894</v>
      </c>
      <c r="Q65" s="99" t="s">
        <v>895</v>
      </c>
      <c r="R65" s="99" t="s">
        <v>896</v>
      </c>
    </row>
    <row r="66" spans="1:18" ht="149.25" customHeight="1">
      <c r="A66" s="5"/>
      <c r="B66" s="2" t="s">
        <v>606</v>
      </c>
      <c r="C66" s="3" t="s">
        <v>607</v>
      </c>
      <c r="D66" s="2" t="s">
        <v>727</v>
      </c>
      <c r="E66" s="7" t="s">
        <v>327</v>
      </c>
      <c r="F66" s="8" t="s">
        <v>243</v>
      </c>
      <c r="G66" s="5" t="s">
        <v>1328</v>
      </c>
      <c r="H66" s="5" t="s">
        <v>1328</v>
      </c>
      <c r="I66" s="5" t="s">
        <v>620</v>
      </c>
      <c r="J66" s="8" t="s">
        <v>281</v>
      </c>
      <c r="K66" s="92"/>
      <c r="L66" s="88">
        <v>20000000</v>
      </c>
      <c r="M66" s="99" t="s">
        <v>891</v>
      </c>
      <c r="N66" s="99" t="s">
        <v>892</v>
      </c>
      <c r="O66" s="99" t="s">
        <v>893</v>
      </c>
      <c r="P66" s="99" t="s">
        <v>894</v>
      </c>
      <c r="Q66" s="99" t="s">
        <v>895</v>
      </c>
      <c r="R66" s="99" t="s">
        <v>896</v>
      </c>
    </row>
    <row r="67" spans="1:18" ht="152.25" customHeight="1">
      <c r="A67" s="5"/>
      <c r="B67" s="2" t="s">
        <v>606</v>
      </c>
      <c r="C67" s="3" t="s">
        <v>607</v>
      </c>
      <c r="D67" s="2" t="s">
        <v>727</v>
      </c>
      <c r="E67" s="7" t="s">
        <v>329</v>
      </c>
      <c r="F67" s="8" t="s">
        <v>243</v>
      </c>
      <c r="G67" s="5" t="s">
        <v>1329</v>
      </c>
      <c r="H67" s="5" t="s">
        <v>1329</v>
      </c>
      <c r="I67" s="5" t="s">
        <v>620</v>
      </c>
      <c r="J67" s="8" t="s">
        <v>281</v>
      </c>
      <c r="K67" s="92"/>
      <c r="L67" s="88">
        <v>17000000</v>
      </c>
      <c r="M67" s="99" t="s">
        <v>891</v>
      </c>
      <c r="N67" s="99" t="s">
        <v>892</v>
      </c>
      <c r="O67" s="99" t="s">
        <v>893</v>
      </c>
      <c r="P67" s="99" t="s">
        <v>894</v>
      </c>
      <c r="Q67" s="99" t="s">
        <v>895</v>
      </c>
      <c r="R67" s="99" t="s">
        <v>896</v>
      </c>
    </row>
    <row r="68" spans="1:18" ht="115.5" customHeight="1">
      <c r="A68" s="5"/>
      <c r="B68" s="2" t="s">
        <v>606</v>
      </c>
      <c r="C68" s="3" t="s">
        <v>607</v>
      </c>
      <c r="D68" s="2" t="s">
        <v>727</v>
      </c>
      <c r="E68" s="7" t="s">
        <v>331</v>
      </c>
      <c r="F68" s="8" t="s">
        <v>243</v>
      </c>
      <c r="G68" s="5" t="s">
        <v>1330</v>
      </c>
      <c r="H68" s="5" t="s">
        <v>1330</v>
      </c>
      <c r="I68" s="5" t="s">
        <v>620</v>
      </c>
      <c r="J68" s="8" t="s">
        <v>281</v>
      </c>
      <c r="K68" s="92"/>
      <c r="L68" s="88">
        <v>10000000</v>
      </c>
      <c r="M68" s="27" t="s">
        <v>897</v>
      </c>
      <c r="N68" s="99" t="s">
        <v>898</v>
      </c>
      <c r="O68" s="99" t="s">
        <v>899</v>
      </c>
      <c r="P68" s="99" t="s">
        <v>900</v>
      </c>
      <c r="Q68" s="99" t="s">
        <v>895</v>
      </c>
      <c r="R68" s="99" t="s">
        <v>896</v>
      </c>
    </row>
    <row r="69" spans="1:18" ht="156" customHeight="1">
      <c r="A69" s="5"/>
      <c r="B69" s="2" t="s">
        <v>606</v>
      </c>
      <c r="C69" s="3" t="s">
        <v>607</v>
      </c>
      <c r="D69" s="2" t="s">
        <v>727</v>
      </c>
      <c r="E69" s="7" t="s">
        <v>332</v>
      </c>
      <c r="F69" s="8" t="s">
        <v>243</v>
      </c>
      <c r="G69" s="5" t="s">
        <v>1331</v>
      </c>
      <c r="H69" s="5" t="s">
        <v>1331</v>
      </c>
      <c r="I69" s="5" t="s">
        <v>620</v>
      </c>
      <c r="J69" s="8" t="s">
        <v>240</v>
      </c>
      <c r="K69" s="92"/>
      <c r="L69" s="88">
        <v>2500000</v>
      </c>
      <c r="M69" s="99" t="s">
        <v>894</v>
      </c>
      <c r="N69" s="99" t="s">
        <v>895</v>
      </c>
      <c r="O69" s="99" t="s">
        <v>895</v>
      </c>
      <c r="P69" s="91" t="s">
        <v>633</v>
      </c>
      <c r="Q69" s="99" t="s">
        <v>895</v>
      </c>
      <c r="R69" s="99" t="s">
        <v>896</v>
      </c>
    </row>
    <row r="70" spans="1:18" ht="153.75" customHeight="1">
      <c r="A70" s="5"/>
      <c r="B70" s="2" t="s">
        <v>606</v>
      </c>
      <c r="C70" s="3" t="s">
        <v>607</v>
      </c>
      <c r="D70" s="2" t="s">
        <v>727</v>
      </c>
      <c r="E70" s="32" t="s">
        <v>333</v>
      </c>
      <c r="F70" s="33" t="s">
        <v>243</v>
      </c>
      <c r="G70" s="5" t="s">
        <v>1331</v>
      </c>
      <c r="H70" s="5" t="s">
        <v>1331</v>
      </c>
      <c r="I70" s="5" t="s">
        <v>620</v>
      </c>
      <c r="J70" s="33" t="s">
        <v>281</v>
      </c>
      <c r="K70" s="92"/>
      <c r="L70" s="89">
        <v>10000000</v>
      </c>
      <c r="M70" s="99" t="s">
        <v>891</v>
      </c>
      <c r="N70" s="99" t="s">
        <v>892</v>
      </c>
      <c r="O70" s="99" t="s">
        <v>893</v>
      </c>
      <c r="P70" s="99" t="s">
        <v>894</v>
      </c>
      <c r="Q70" s="99" t="s">
        <v>895</v>
      </c>
      <c r="R70" s="99" t="s">
        <v>896</v>
      </c>
    </row>
    <row r="71" spans="1:18" ht="153.75" customHeight="1">
      <c r="A71" s="5"/>
      <c r="B71" s="2" t="s">
        <v>606</v>
      </c>
      <c r="C71" s="3" t="s">
        <v>607</v>
      </c>
      <c r="D71" s="2" t="s">
        <v>727</v>
      </c>
      <c r="E71" s="32" t="s">
        <v>334</v>
      </c>
      <c r="F71" s="33" t="s">
        <v>243</v>
      </c>
      <c r="G71" s="5">
        <v>5</v>
      </c>
      <c r="H71" s="5">
        <v>5</v>
      </c>
      <c r="I71" s="5" t="s">
        <v>620</v>
      </c>
      <c r="J71" s="33" t="s">
        <v>281</v>
      </c>
      <c r="K71" s="92"/>
      <c r="L71" s="89">
        <v>6000000</v>
      </c>
      <c r="M71" s="99" t="s">
        <v>891</v>
      </c>
      <c r="N71" s="99" t="s">
        <v>892</v>
      </c>
      <c r="O71" s="99" t="s">
        <v>893</v>
      </c>
      <c r="P71" s="99" t="s">
        <v>894</v>
      </c>
      <c r="Q71" s="99" t="s">
        <v>895</v>
      </c>
      <c r="R71" s="99" t="s">
        <v>896</v>
      </c>
    </row>
    <row r="72" spans="1:18" ht="153.75" customHeight="1">
      <c r="A72" s="5"/>
      <c r="B72" s="2" t="s">
        <v>606</v>
      </c>
      <c r="C72" s="3" t="s">
        <v>607</v>
      </c>
      <c r="D72" s="2" t="s">
        <v>727</v>
      </c>
      <c r="E72" s="32" t="s">
        <v>335</v>
      </c>
      <c r="F72" s="33" t="s">
        <v>243</v>
      </c>
      <c r="G72" s="5" t="s">
        <v>1332</v>
      </c>
      <c r="H72" s="5" t="s">
        <v>1332</v>
      </c>
      <c r="I72" s="5" t="s">
        <v>620</v>
      </c>
      <c r="J72" s="33" t="s">
        <v>281</v>
      </c>
      <c r="K72" s="92"/>
      <c r="L72" s="89">
        <v>15000000</v>
      </c>
      <c r="M72" s="99" t="s">
        <v>891</v>
      </c>
      <c r="N72" s="99" t="s">
        <v>892</v>
      </c>
      <c r="O72" s="99" t="s">
        <v>893</v>
      </c>
      <c r="P72" s="99" t="s">
        <v>894</v>
      </c>
      <c r="Q72" s="99" t="s">
        <v>895</v>
      </c>
      <c r="R72" s="99" t="s">
        <v>896</v>
      </c>
    </row>
    <row r="73" spans="1:18" ht="119.25" customHeight="1">
      <c r="A73" s="5"/>
      <c r="B73" s="2" t="s">
        <v>606</v>
      </c>
      <c r="C73" s="3" t="s">
        <v>607</v>
      </c>
      <c r="D73" s="2" t="s">
        <v>727</v>
      </c>
      <c r="E73" s="32" t="s">
        <v>336</v>
      </c>
      <c r="F73" s="33" t="s">
        <v>243</v>
      </c>
      <c r="G73" s="5">
        <v>4</v>
      </c>
      <c r="H73" s="5">
        <v>4</v>
      </c>
      <c r="I73" s="5" t="s">
        <v>620</v>
      </c>
      <c r="J73" s="33" t="s">
        <v>281</v>
      </c>
      <c r="K73" s="92"/>
      <c r="L73" s="89">
        <v>9763000</v>
      </c>
      <c r="M73" s="27" t="s">
        <v>897</v>
      </c>
      <c r="N73" s="99" t="s">
        <v>898</v>
      </c>
      <c r="O73" s="99" t="s">
        <v>899</v>
      </c>
      <c r="P73" s="99" t="s">
        <v>900</v>
      </c>
      <c r="Q73" s="99" t="s">
        <v>895</v>
      </c>
      <c r="R73" s="99" t="s">
        <v>896</v>
      </c>
    </row>
    <row r="74" spans="1:18" ht="60.75" customHeight="1">
      <c r="A74" s="5"/>
      <c r="B74" s="2" t="s">
        <v>606</v>
      </c>
      <c r="C74" s="3" t="s">
        <v>607</v>
      </c>
      <c r="D74" s="2" t="s">
        <v>727</v>
      </c>
      <c r="E74" s="32" t="s">
        <v>337</v>
      </c>
      <c r="F74" s="33" t="s">
        <v>243</v>
      </c>
      <c r="G74" s="5">
        <v>26</v>
      </c>
      <c r="H74" s="5">
        <v>26</v>
      </c>
      <c r="I74" s="5" t="s">
        <v>620</v>
      </c>
      <c r="J74" s="33" t="s">
        <v>338</v>
      </c>
      <c r="K74" s="92"/>
      <c r="L74" s="89">
        <f>20000000-10000000</f>
        <v>10000000</v>
      </c>
      <c r="M74" s="27" t="s">
        <v>901</v>
      </c>
      <c r="N74" s="27" t="s">
        <v>901</v>
      </c>
      <c r="O74" s="27" t="s">
        <v>901</v>
      </c>
      <c r="P74" s="27" t="s">
        <v>901</v>
      </c>
      <c r="Q74" s="27" t="s">
        <v>901</v>
      </c>
      <c r="R74" s="91" t="s">
        <v>902</v>
      </c>
    </row>
    <row r="75" spans="1:18" ht="60.75" customHeight="1">
      <c r="A75" s="5"/>
      <c r="B75" s="2" t="s">
        <v>606</v>
      </c>
      <c r="C75" s="3" t="s">
        <v>607</v>
      </c>
      <c r="D75" s="2" t="s">
        <v>727</v>
      </c>
      <c r="E75" s="32" t="s">
        <v>339</v>
      </c>
      <c r="F75" s="33" t="s">
        <v>243</v>
      </c>
      <c r="G75" s="5">
        <v>28</v>
      </c>
      <c r="H75" s="5">
        <v>28</v>
      </c>
      <c r="I75" s="5" t="s">
        <v>620</v>
      </c>
      <c r="J75" s="33" t="s">
        <v>338</v>
      </c>
      <c r="K75" s="92"/>
      <c r="L75" s="89">
        <v>1000000</v>
      </c>
      <c r="M75" s="27" t="s">
        <v>903</v>
      </c>
      <c r="N75" s="91" t="s">
        <v>904</v>
      </c>
      <c r="O75" s="91" t="s">
        <v>904</v>
      </c>
      <c r="P75" s="91" t="s">
        <v>905</v>
      </c>
      <c r="Q75" s="91" t="s">
        <v>905</v>
      </c>
      <c r="R75" s="91" t="s">
        <v>641</v>
      </c>
    </row>
    <row r="76" spans="1:18" ht="60.75" customHeight="1">
      <c r="A76" s="5"/>
      <c r="B76" s="2" t="s">
        <v>606</v>
      </c>
      <c r="C76" s="3" t="s">
        <v>607</v>
      </c>
      <c r="D76" s="2" t="s">
        <v>727</v>
      </c>
      <c r="E76" s="32" t="s">
        <v>340</v>
      </c>
      <c r="F76" s="33" t="s">
        <v>243</v>
      </c>
      <c r="G76" s="5" t="s">
        <v>1333</v>
      </c>
      <c r="H76" s="5" t="s">
        <v>1333</v>
      </c>
      <c r="I76" s="5" t="s">
        <v>620</v>
      </c>
      <c r="J76" s="33" t="s">
        <v>338</v>
      </c>
      <c r="K76" s="92"/>
      <c r="L76" s="89">
        <v>1000000</v>
      </c>
      <c r="M76" s="27" t="s">
        <v>903</v>
      </c>
      <c r="N76" s="91" t="s">
        <v>904</v>
      </c>
      <c r="O76" s="91" t="s">
        <v>904</v>
      </c>
      <c r="P76" s="91" t="s">
        <v>905</v>
      </c>
      <c r="Q76" s="91" t="s">
        <v>905</v>
      </c>
      <c r="R76" s="91" t="s">
        <v>641</v>
      </c>
    </row>
    <row r="77" spans="1:18" ht="60.75" customHeight="1">
      <c r="A77" s="5"/>
      <c r="B77" s="2" t="s">
        <v>606</v>
      </c>
      <c r="C77" s="3" t="s">
        <v>607</v>
      </c>
      <c r="D77" s="2" t="s">
        <v>727</v>
      </c>
      <c r="E77" s="32" t="s">
        <v>341</v>
      </c>
      <c r="F77" s="33" t="s">
        <v>243</v>
      </c>
      <c r="G77" s="5">
        <v>8</v>
      </c>
      <c r="H77" s="5">
        <v>8</v>
      </c>
      <c r="I77" s="5" t="s">
        <v>620</v>
      </c>
      <c r="J77" s="33" t="s">
        <v>240</v>
      </c>
      <c r="K77" s="92"/>
      <c r="L77" s="89">
        <v>665000</v>
      </c>
      <c r="M77" s="27" t="s">
        <v>906</v>
      </c>
      <c r="N77" s="91" t="s">
        <v>907</v>
      </c>
      <c r="O77" s="91" t="s">
        <v>907</v>
      </c>
      <c r="P77" s="91" t="s">
        <v>908</v>
      </c>
      <c r="Q77" s="91" t="s">
        <v>908</v>
      </c>
      <c r="R77" s="91" t="s">
        <v>641</v>
      </c>
    </row>
    <row r="78" spans="1:18" ht="60.75" customHeight="1">
      <c r="A78" s="5"/>
      <c r="B78" s="2" t="s">
        <v>606</v>
      </c>
      <c r="C78" s="3" t="s">
        <v>607</v>
      </c>
      <c r="D78" s="2" t="s">
        <v>727</v>
      </c>
      <c r="E78" s="32" t="s">
        <v>343</v>
      </c>
      <c r="F78" s="33" t="s">
        <v>243</v>
      </c>
      <c r="G78" s="5">
        <v>8</v>
      </c>
      <c r="H78" s="5">
        <v>8</v>
      </c>
      <c r="I78" s="5" t="s">
        <v>620</v>
      </c>
      <c r="J78" s="33" t="s">
        <v>240</v>
      </c>
      <c r="K78" s="92"/>
      <c r="L78" s="89">
        <v>665000</v>
      </c>
      <c r="M78" s="27" t="s">
        <v>906</v>
      </c>
      <c r="N78" s="91" t="s">
        <v>907</v>
      </c>
      <c r="O78" s="91" t="s">
        <v>907</v>
      </c>
      <c r="P78" s="91" t="s">
        <v>908</v>
      </c>
      <c r="Q78" s="91" t="s">
        <v>908</v>
      </c>
      <c r="R78" s="91" t="s">
        <v>641</v>
      </c>
    </row>
    <row r="79" spans="1:18" ht="139.5" customHeight="1">
      <c r="A79" s="5"/>
      <c r="B79" s="2" t="s">
        <v>606</v>
      </c>
      <c r="C79" s="3" t="s">
        <v>607</v>
      </c>
      <c r="D79" s="2" t="s">
        <v>727</v>
      </c>
      <c r="E79" s="32" t="s">
        <v>344</v>
      </c>
      <c r="F79" s="33" t="s">
        <v>243</v>
      </c>
      <c r="G79" s="5">
        <v>8</v>
      </c>
      <c r="H79" s="5">
        <v>8</v>
      </c>
      <c r="I79" s="5" t="s">
        <v>620</v>
      </c>
      <c r="J79" s="33" t="s">
        <v>240</v>
      </c>
      <c r="K79" s="92"/>
      <c r="L79" s="89">
        <f>13300000-3300000-1500000</f>
        <v>8500000</v>
      </c>
      <c r="M79" s="99" t="s">
        <v>891</v>
      </c>
      <c r="N79" s="99" t="s">
        <v>892</v>
      </c>
      <c r="O79" s="99" t="s">
        <v>909</v>
      </c>
      <c r="P79" s="99" t="s">
        <v>910</v>
      </c>
      <c r="Q79" s="100" t="s">
        <v>911</v>
      </c>
      <c r="R79" s="99" t="s">
        <v>896</v>
      </c>
    </row>
    <row r="80" spans="1:18" ht="156.75" customHeight="1">
      <c r="A80" s="5"/>
      <c r="B80" s="2" t="s">
        <v>606</v>
      </c>
      <c r="C80" s="3" t="s">
        <v>607</v>
      </c>
      <c r="D80" s="2" t="s">
        <v>727</v>
      </c>
      <c r="E80" s="32" t="s">
        <v>346</v>
      </c>
      <c r="F80" s="33" t="s">
        <v>243</v>
      </c>
      <c r="G80" s="5" t="s">
        <v>1334</v>
      </c>
      <c r="H80" s="5" t="s">
        <v>1334</v>
      </c>
      <c r="I80" s="5" t="s">
        <v>620</v>
      </c>
      <c r="J80" s="33" t="s">
        <v>338</v>
      </c>
      <c r="K80" s="92"/>
      <c r="L80" s="89">
        <f>1000000+10000000</f>
        <v>11000000</v>
      </c>
      <c r="M80" s="99" t="s">
        <v>891</v>
      </c>
      <c r="N80" s="99" t="s">
        <v>892</v>
      </c>
      <c r="O80" s="99" t="s">
        <v>893</v>
      </c>
      <c r="P80" s="99" t="s">
        <v>894</v>
      </c>
      <c r="Q80" s="99" t="s">
        <v>895</v>
      </c>
      <c r="R80" s="99" t="s">
        <v>896</v>
      </c>
    </row>
    <row r="81" spans="1:18" ht="147.75" customHeight="1">
      <c r="A81" s="5"/>
      <c r="B81" s="2" t="s">
        <v>606</v>
      </c>
      <c r="C81" s="3" t="s">
        <v>607</v>
      </c>
      <c r="D81" s="2" t="s">
        <v>727</v>
      </c>
      <c r="E81" s="32" t="s">
        <v>347</v>
      </c>
      <c r="F81" s="33" t="s">
        <v>243</v>
      </c>
      <c r="G81" s="5" t="s">
        <v>1334</v>
      </c>
      <c r="H81" s="5" t="s">
        <v>1334</v>
      </c>
      <c r="I81" s="5" t="s">
        <v>620</v>
      </c>
      <c r="J81" s="33" t="s">
        <v>240</v>
      </c>
      <c r="K81" s="92"/>
      <c r="L81" s="89">
        <f>600000+500000+500000+1850000+2000000+600000+3475000</f>
        <v>9525000</v>
      </c>
      <c r="M81" s="99" t="s">
        <v>891</v>
      </c>
      <c r="N81" s="99" t="s">
        <v>892</v>
      </c>
      <c r="O81" s="99" t="s">
        <v>893</v>
      </c>
      <c r="P81" s="99" t="s">
        <v>894</v>
      </c>
      <c r="Q81" s="99" t="s">
        <v>895</v>
      </c>
      <c r="R81" s="99" t="s">
        <v>896</v>
      </c>
    </row>
    <row r="82" spans="1:18" ht="108" customHeight="1">
      <c r="A82" s="5"/>
      <c r="B82" s="2" t="s">
        <v>606</v>
      </c>
      <c r="C82" s="3" t="s">
        <v>607</v>
      </c>
      <c r="D82" s="2" t="s">
        <v>727</v>
      </c>
      <c r="E82" s="7" t="s">
        <v>348</v>
      </c>
      <c r="F82" s="8" t="s">
        <v>243</v>
      </c>
      <c r="G82" s="5" t="s">
        <v>1335</v>
      </c>
      <c r="H82" s="5" t="s">
        <v>1335</v>
      </c>
      <c r="I82" s="5" t="s">
        <v>620</v>
      </c>
      <c r="J82" s="8" t="s">
        <v>349</v>
      </c>
      <c r="K82" s="92"/>
      <c r="L82" s="88">
        <v>83335120</v>
      </c>
      <c r="M82" s="27" t="s">
        <v>912</v>
      </c>
      <c r="N82" s="27" t="s">
        <v>913</v>
      </c>
      <c r="O82" s="27" t="s">
        <v>914</v>
      </c>
      <c r="P82" s="27" t="s">
        <v>915</v>
      </c>
      <c r="Q82" s="27" t="s">
        <v>915</v>
      </c>
      <c r="R82" s="99" t="s">
        <v>916</v>
      </c>
    </row>
    <row r="83" spans="1:18" ht="94.5" customHeight="1">
      <c r="A83" s="5"/>
      <c r="B83" s="2" t="s">
        <v>606</v>
      </c>
      <c r="C83" s="3" t="s">
        <v>607</v>
      </c>
      <c r="D83" s="2" t="s">
        <v>727</v>
      </c>
      <c r="E83" s="3" t="s">
        <v>354</v>
      </c>
      <c r="F83" s="4" t="s">
        <v>245</v>
      </c>
      <c r="G83" s="5" t="s">
        <v>1336</v>
      </c>
      <c r="H83" s="5" t="s">
        <v>1336</v>
      </c>
      <c r="I83" s="5" t="s">
        <v>620</v>
      </c>
      <c r="J83" s="4" t="s">
        <v>240</v>
      </c>
      <c r="K83" s="92"/>
      <c r="L83" s="88">
        <f>4750000-150000</f>
        <v>4600000</v>
      </c>
      <c r="M83" s="27" t="s">
        <v>1172</v>
      </c>
      <c r="N83" s="27" t="s">
        <v>1173</v>
      </c>
      <c r="O83" s="27" t="s">
        <v>1174</v>
      </c>
      <c r="P83" s="27" t="s">
        <v>1075</v>
      </c>
      <c r="Q83" s="27" t="s">
        <v>1175</v>
      </c>
      <c r="R83" s="27" t="s">
        <v>896</v>
      </c>
    </row>
    <row r="84" spans="1:18" ht="92.25" customHeight="1">
      <c r="A84" s="5"/>
      <c r="B84" s="2" t="s">
        <v>606</v>
      </c>
      <c r="C84" s="3" t="s">
        <v>607</v>
      </c>
      <c r="D84" s="2" t="s">
        <v>727</v>
      </c>
      <c r="E84" s="3" t="s">
        <v>355</v>
      </c>
      <c r="F84" s="4" t="s">
        <v>245</v>
      </c>
      <c r="G84" s="5" t="s">
        <v>1336</v>
      </c>
      <c r="H84" s="5" t="s">
        <v>1336</v>
      </c>
      <c r="I84" s="5" t="s">
        <v>620</v>
      </c>
      <c r="J84" s="4" t="s">
        <v>240</v>
      </c>
      <c r="K84" s="92"/>
      <c r="L84" s="88">
        <f>4750000-150000</f>
        <v>4600000</v>
      </c>
      <c r="M84" s="27" t="s">
        <v>1172</v>
      </c>
      <c r="N84" s="27" t="s">
        <v>1176</v>
      </c>
      <c r="O84" s="27" t="s">
        <v>1177</v>
      </c>
      <c r="P84" s="27" t="s">
        <v>1178</v>
      </c>
      <c r="Q84" s="27" t="s">
        <v>1179</v>
      </c>
      <c r="R84" s="27" t="s">
        <v>896</v>
      </c>
    </row>
    <row r="85" spans="1:18" ht="60.75" customHeight="1">
      <c r="A85" s="5"/>
      <c r="B85" s="2" t="s">
        <v>606</v>
      </c>
      <c r="C85" s="3" t="s">
        <v>607</v>
      </c>
      <c r="D85" s="2" t="s">
        <v>727</v>
      </c>
      <c r="E85" s="7" t="s">
        <v>728</v>
      </c>
      <c r="F85" s="8" t="s">
        <v>243</v>
      </c>
      <c r="G85" s="5" t="s">
        <v>1336</v>
      </c>
      <c r="H85" s="5" t="s">
        <v>1336</v>
      </c>
      <c r="I85" s="5" t="s">
        <v>620</v>
      </c>
      <c r="J85" s="8" t="s">
        <v>338</v>
      </c>
      <c r="K85" s="92"/>
      <c r="L85" s="88">
        <v>45600000</v>
      </c>
      <c r="M85" s="27" t="s">
        <v>917</v>
      </c>
      <c r="N85" s="91" t="s">
        <v>1082</v>
      </c>
      <c r="O85" s="91" t="s">
        <v>1082</v>
      </c>
      <c r="P85" s="91" t="s">
        <v>1082</v>
      </c>
      <c r="Q85" s="91" t="s">
        <v>1082</v>
      </c>
      <c r="R85" s="91" t="s">
        <v>1083</v>
      </c>
    </row>
    <row r="86" spans="1:18" ht="60.75" customHeight="1">
      <c r="A86" s="5"/>
      <c r="B86" s="2" t="s">
        <v>606</v>
      </c>
      <c r="C86" s="3" t="s">
        <v>607</v>
      </c>
      <c r="D86" s="2" t="s">
        <v>727</v>
      </c>
      <c r="E86" s="10" t="s">
        <v>357</v>
      </c>
      <c r="F86" s="11" t="s">
        <v>241</v>
      </c>
      <c r="G86" s="5" t="s">
        <v>1336</v>
      </c>
      <c r="H86" s="5" t="s">
        <v>1336</v>
      </c>
      <c r="I86" s="5" t="s">
        <v>620</v>
      </c>
      <c r="J86" s="11" t="s">
        <v>240</v>
      </c>
      <c r="K86" s="92"/>
      <c r="L86" s="89">
        <f>4500000-500000</f>
        <v>4000000</v>
      </c>
      <c r="M86" s="27" t="s">
        <v>918</v>
      </c>
      <c r="N86" s="27" t="s">
        <v>918</v>
      </c>
      <c r="O86" s="27" t="s">
        <v>918</v>
      </c>
      <c r="P86" s="27" t="s">
        <v>918</v>
      </c>
      <c r="Q86" s="27" t="s">
        <v>918</v>
      </c>
      <c r="R86" s="91" t="s">
        <v>919</v>
      </c>
    </row>
    <row r="87" spans="1:18" ht="60.75" customHeight="1">
      <c r="A87" s="5"/>
      <c r="B87" s="2" t="s">
        <v>606</v>
      </c>
      <c r="C87" s="3" t="s">
        <v>607</v>
      </c>
      <c r="D87" s="2" t="s">
        <v>727</v>
      </c>
      <c r="E87" s="10" t="s">
        <v>358</v>
      </c>
      <c r="F87" s="11" t="s">
        <v>241</v>
      </c>
      <c r="G87" s="5" t="s">
        <v>1337</v>
      </c>
      <c r="H87" s="5" t="s">
        <v>1337</v>
      </c>
      <c r="I87" s="5" t="s">
        <v>620</v>
      </c>
      <c r="J87" s="11" t="s">
        <v>240</v>
      </c>
      <c r="K87" s="92"/>
      <c r="L87" s="89">
        <f>4500000-500000</f>
        <v>4000000</v>
      </c>
      <c r="M87" s="27" t="s">
        <v>920</v>
      </c>
      <c r="N87" s="27" t="s">
        <v>920</v>
      </c>
      <c r="O87" s="27" t="s">
        <v>920</v>
      </c>
      <c r="P87" s="27" t="s">
        <v>920</v>
      </c>
      <c r="Q87" s="27" t="s">
        <v>920</v>
      </c>
      <c r="R87" s="91" t="s">
        <v>919</v>
      </c>
    </row>
    <row r="88" spans="1:18" ht="60.75" customHeight="1">
      <c r="A88" s="5"/>
      <c r="B88" s="2" t="s">
        <v>606</v>
      </c>
      <c r="C88" s="3" t="s">
        <v>607</v>
      </c>
      <c r="D88" s="2" t="s">
        <v>727</v>
      </c>
      <c r="E88" s="3" t="s">
        <v>353</v>
      </c>
      <c r="F88" s="4" t="s">
        <v>245</v>
      </c>
      <c r="G88" s="5" t="s">
        <v>1336</v>
      </c>
      <c r="H88" s="5" t="s">
        <v>1336</v>
      </c>
      <c r="I88" s="5" t="s">
        <v>620</v>
      </c>
      <c r="J88" s="4" t="s">
        <v>240</v>
      </c>
      <c r="K88" s="92"/>
      <c r="L88" s="88">
        <v>950000</v>
      </c>
      <c r="M88" s="27" t="s">
        <v>921</v>
      </c>
      <c r="N88" s="27" t="s">
        <v>921</v>
      </c>
      <c r="O88" s="27" t="s">
        <v>921</v>
      </c>
      <c r="P88" s="27" t="s">
        <v>921</v>
      </c>
      <c r="Q88" s="27" t="s">
        <v>921</v>
      </c>
      <c r="R88" s="91" t="s">
        <v>919</v>
      </c>
    </row>
    <row r="89" spans="1:18" ht="12.75">
      <c r="A89" s="194" t="s">
        <v>729</v>
      </c>
      <c r="B89" s="195"/>
      <c r="C89" s="195"/>
      <c r="D89" s="195"/>
      <c r="E89" s="195"/>
      <c r="F89" s="195"/>
      <c r="G89" s="195"/>
      <c r="H89" s="195"/>
      <c r="I89" s="195"/>
      <c r="J89" s="195"/>
      <c r="K89" s="195"/>
      <c r="L89" s="203"/>
      <c r="M89" s="203"/>
      <c r="N89" s="203"/>
      <c r="O89" s="203"/>
      <c r="P89" s="203"/>
      <c r="Q89" s="203"/>
      <c r="R89" s="204"/>
    </row>
    <row r="90" spans="1:18" ht="12.75">
      <c r="A90" s="5"/>
      <c r="B90" s="5"/>
      <c r="C90" s="5"/>
      <c r="D90" s="5"/>
      <c r="E90" s="3"/>
      <c r="F90" s="4"/>
      <c r="G90" s="5"/>
      <c r="H90" s="5"/>
      <c r="I90" s="5"/>
      <c r="J90" s="4"/>
      <c r="K90" s="5"/>
      <c r="L90" s="6">
        <f>SUM(L65:L88)</f>
        <v>302703120</v>
      </c>
      <c r="M90" s="13"/>
      <c r="N90" s="5"/>
      <c r="O90" s="5"/>
      <c r="P90" s="5"/>
      <c r="Q90" s="5"/>
      <c r="R90" s="5"/>
    </row>
    <row r="91" spans="1:18" ht="12.75">
      <c r="A91" s="194" t="s">
        <v>359</v>
      </c>
      <c r="B91" s="195"/>
      <c r="C91" s="195"/>
      <c r="D91" s="195"/>
      <c r="E91" s="195"/>
      <c r="F91" s="195"/>
      <c r="G91" s="195"/>
      <c r="H91" s="195"/>
      <c r="I91" s="195"/>
      <c r="J91" s="195"/>
      <c r="K91" s="195"/>
      <c r="L91" s="195"/>
      <c r="M91" s="195"/>
      <c r="N91" s="195"/>
      <c r="O91" s="195"/>
      <c r="P91" s="195"/>
      <c r="Q91" s="195"/>
      <c r="R91" s="196"/>
    </row>
    <row r="92" spans="1:18" ht="50.25" customHeight="1">
      <c r="A92" s="5"/>
      <c r="B92" s="3" t="s">
        <v>606</v>
      </c>
      <c r="C92" s="3" t="s">
        <v>607</v>
      </c>
      <c r="D92" s="3" t="s">
        <v>29</v>
      </c>
      <c r="E92" s="7" t="s">
        <v>361</v>
      </c>
      <c r="F92" s="8" t="s">
        <v>243</v>
      </c>
      <c r="G92" s="5">
        <v>9</v>
      </c>
      <c r="H92" s="5">
        <v>9</v>
      </c>
      <c r="I92" s="5" t="s">
        <v>620</v>
      </c>
      <c r="J92" s="8" t="s">
        <v>349</v>
      </c>
      <c r="K92" s="5"/>
      <c r="L92" s="6">
        <v>180519880</v>
      </c>
      <c r="M92" s="13" t="s">
        <v>923</v>
      </c>
      <c r="N92" s="5" t="s">
        <v>924</v>
      </c>
      <c r="O92" s="5" t="s">
        <v>925</v>
      </c>
      <c r="P92" s="5" t="s">
        <v>926</v>
      </c>
      <c r="Q92" s="5" t="s">
        <v>922</v>
      </c>
      <c r="R92" s="5" t="s">
        <v>927</v>
      </c>
    </row>
    <row r="93" spans="1:18" ht="73.5" customHeight="1">
      <c r="A93" s="5"/>
      <c r="B93" s="3" t="s">
        <v>606</v>
      </c>
      <c r="C93" s="3" t="s">
        <v>607</v>
      </c>
      <c r="D93" s="3" t="s">
        <v>29</v>
      </c>
      <c r="E93" s="7" t="s">
        <v>361</v>
      </c>
      <c r="F93" s="8" t="s">
        <v>243</v>
      </c>
      <c r="G93" s="5" t="s">
        <v>1338</v>
      </c>
      <c r="H93" s="5" t="s">
        <v>1338</v>
      </c>
      <c r="I93" s="5" t="s">
        <v>620</v>
      </c>
      <c r="J93" s="8" t="s">
        <v>362</v>
      </c>
      <c r="K93" s="5"/>
      <c r="L93" s="6">
        <v>170000000</v>
      </c>
      <c r="M93" s="13" t="s">
        <v>923</v>
      </c>
      <c r="N93" s="5" t="s">
        <v>924</v>
      </c>
      <c r="O93" s="5" t="s">
        <v>925</v>
      </c>
      <c r="P93" s="5" t="s">
        <v>926</v>
      </c>
      <c r="Q93" s="5" t="s">
        <v>922</v>
      </c>
      <c r="R93" s="5" t="s">
        <v>927</v>
      </c>
    </row>
    <row r="94" spans="1:18" ht="144" customHeight="1">
      <c r="A94" s="5"/>
      <c r="B94" s="3" t="s">
        <v>606</v>
      </c>
      <c r="C94" s="3" t="s">
        <v>607</v>
      </c>
      <c r="D94" s="3" t="s">
        <v>29</v>
      </c>
      <c r="E94" s="3" t="s">
        <v>363</v>
      </c>
      <c r="F94" s="4" t="s">
        <v>241</v>
      </c>
      <c r="G94" s="5" t="s">
        <v>1338</v>
      </c>
      <c r="H94" s="5" t="s">
        <v>1338</v>
      </c>
      <c r="I94" s="5" t="s">
        <v>620</v>
      </c>
      <c r="J94" s="4" t="s">
        <v>240</v>
      </c>
      <c r="K94" s="5"/>
      <c r="L94" s="6">
        <v>41800000</v>
      </c>
      <c r="M94" s="15" t="s">
        <v>1159</v>
      </c>
      <c r="N94" s="15" t="s">
        <v>1159</v>
      </c>
      <c r="O94" s="15" t="s">
        <v>1159</v>
      </c>
      <c r="P94" s="15" t="s">
        <v>1160</v>
      </c>
      <c r="Q94" s="15" t="s">
        <v>1161</v>
      </c>
      <c r="R94" s="15" t="s">
        <v>1162</v>
      </c>
    </row>
    <row r="95" spans="1:18" ht="12.75">
      <c r="A95" s="194" t="s">
        <v>730</v>
      </c>
      <c r="B95" s="195"/>
      <c r="C95" s="195"/>
      <c r="D95" s="195"/>
      <c r="E95" s="195"/>
      <c r="F95" s="195"/>
      <c r="G95" s="195"/>
      <c r="H95" s="195"/>
      <c r="I95" s="195"/>
      <c r="J95" s="195"/>
      <c r="K95" s="195"/>
      <c r="L95" s="195"/>
      <c r="M95" s="195"/>
      <c r="N95" s="195"/>
      <c r="O95" s="195"/>
      <c r="P95" s="195"/>
      <c r="Q95" s="195"/>
      <c r="R95" s="196"/>
    </row>
    <row r="96" spans="1:18" ht="12.75">
      <c r="A96" s="5"/>
      <c r="B96" s="5"/>
      <c r="C96" s="5"/>
      <c r="D96" s="5"/>
      <c r="E96" s="3"/>
      <c r="F96" s="4"/>
      <c r="G96" s="5"/>
      <c r="H96" s="5"/>
      <c r="I96" s="5"/>
      <c r="J96" s="4"/>
      <c r="K96" s="5"/>
      <c r="L96" s="9">
        <f>SUM(L92:L94)</f>
        <v>392319880</v>
      </c>
      <c r="M96" s="13"/>
      <c r="N96" s="5"/>
      <c r="O96" s="5"/>
      <c r="P96" s="5"/>
      <c r="Q96" s="5"/>
      <c r="R96" s="5"/>
    </row>
    <row r="97" spans="1:18" ht="12.75">
      <c r="A97" s="194" t="s">
        <v>365</v>
      </c>
      <c r="B97" s="195"/>
      <c r="C97" s="195"/>
      <c r="D97" s="195"/>
      <c r="E97" s="195"/>
      <c r="F97" s="195"/>
      <c r="G97" s="195"/>
      <c r="H97" s="195"/>
      <c r="I97" s="195"/>
      <c r="J97" s="195"/>
      <c r="K97" s="195"/>
      <c r="L97" s="195"/>
      <c r="M97" s="198"/>
      <c r="N97" s="198"/>
      <c r="O97" s="198"/>
      <c r="P97" s="198"/>
      <c r="Q97" s="198"/>
      <c r="R97" s="199"/>
    </row>
    <row r="98" spans="1:18" ht="75" customHeight="1">
      <c r="A98" s="5"/>
      <c r="B98" s="2" t="s">
        <v>606</v>
      </c>
      <c r="C98" s="3" t="s">
        <v>607</v>
      </c>
      <c r="D98" s="2" t="s">
        <v>731</v>
      </c>
      <c r="E98" s="7" t="s">
        <v>366</v>
      </c>
      <c r="F98" s="8" t="s">
        <v>243</v>
      </c>
      <c r="G98" s="5" t="s">
        <v>732</v>
      </c>
      <c r="H98" s="5" t="s">
        <v>1339</v>
      </c>
      <c r="I98" s="5" t="s">
        <v>620</v>
      </c>
      <c r="J98" s="8" t="s">
        <v>240</v>
      </c>
      <c r="K98" s="5" t="s">
        <v>621</v>
      </c>
      <c r="L98" s="34">
        <v>2145000</v>
      </c>
      <c r="M98" s="101" t="s">
        <v>733</v>
      </c>
      <c r="N98" s="101" t="s">
        <v>928</v>
      </c>
      <c r="O98" s="101" t="s">
        <v>929</v>
      </c>
      <c r="P98" s="101" t="s">
        <v>735</v>
      </c>
      <c r="Q98" s="101" t="s">
        <v>736</v>
      </c>
      <c r="R98" s="101" t="s">
        <v>737</v>
      </c>
    </row>
    <row r="99" spans="1:18" ht="67.5" customHeight="1">
      <c r="A99" s="5"/>
      <c r="B99" s="2" t="s">
        <v>606</v>
      </c>
      <c r="C99" s="3" t="s">
        <v>607</v>
      </c>
      <c r="D99" s="2" t="s">
        <v>731</v>
      </c>
      <c r="E99" s="32" t="s">
        <v>367</v>
      </c>
      <c r="F99" s="33" t="s">
        <v>243</v>
      </c>
      <c r="G99" s="5" t="s">
        <v>738</v>
      </c>
      <c r="H99" s="5" t="s">
        <v>738</v>
      </c>
      <c r="I99" s="5" t="s">
        <v>620</v>
      </c>
      <c r="J99" s="33" t="s">
        <v>240</v>
      </c>
      <c r="K99" s="5" t="s">
        <v>621</v>
      </c>
      <c r="L99" s="35">
        <f>487500+9000000</f>
        <v>9487500</v>
      </c>
      <c r="M99" s="101" t="s">
        <v>733</v>
      </c>
      <c r="N99" s="101" t="s">
        <v>930</v>
      </c>
      <c r="O99" s="101" t="s">
        <v>931</v>
      </c>
      <c r="P99" s="101" t="s">
        <v>735</v>
      </c>
      <c r="Q99" s="101" t="s">
        <v>739</v>
      </c>
      <c r="R99" s="101" t="s">
        <v>737</v>
      </c>
    </row>
    <row r="100" spans="1:18" ht="86.25" customHeight="1">
      <c r="A100" s="5"/>
      <c r="B100" s="2" t="s">
        <v>606</v>
      </c>
      <c r="C100" s="3" t="s">
        <v>607</v>
      </c>
      <c r="D100" s="2" t="s">
        <v>731</v>
      </c>
      <c r="E100" s="7" t="s">
        <v>369</v>
      </c>
      <c r="F100" s="8" t="s">
        <v>243</v>
      </c>
      <c r="G100" s="5" t="s">
        <v>740</v>
      </c>
      <c r="H100" s="5" t="s">
        <v>1340</v>
      </c>
      <c r="I100" s="5" t="s">
        <v>620</v>
      </c>
      <c r="J100" s="8" t="s">
        <v>240</v>
      </c>
      <c r="K100" s="5" t="s">
        <v>621</v>
      </c>
      <c r="L100" s="34">
        <v>2437500</v>
      </c>
      <c r="M100" s="102" t="s">
        <v>741</v>
      </c>
      <c r="N100" s="101" t="s">
        <v>932</v>
      </c>
      <c r="O100" s="101" t="s">
        <v>933</v>
      </c>
      <c r="P100" s="101" t="s">
        <v>735</v>
      </c>
      <c r="Q100" s="101" t="s">
        <v>742</v>
      </c>
      <c r="R100" s="101" t="s">
        <v>743</v>
      </c>
    </row>
    <row r="101" spans="1:18" ht="58.5" customHeight="1">
      <c r="A101" s="5"/>
      <c r="B101" s="2" t="s">
        <v>606</v>
      </c>
      <c r="C101" s="3" t="s">
        <v>607</v>
      </c>
      <c r="D101" s="2" t="s">
        <v>731</v>
      </c>
      <c r="E101" s="7" t="s">
        <v>371</v>
      </c>
      <c r="F101" s="8" t="s">
        <v>243</v>
      </c>
      <c r="G101" s="5" t="s">
        <v>744</v>
      </c>
      <c r="H101" s="5" t="s">
        <v>1341</v>
      </c>
      <c r="I101" s="5" t="s">
        <v>620</v>
      </c>
      <c r="J101" s="8" t="s">
        <v>240</v>
      </c>
      <c r="K101" s="5" t="s">
        <v>621</v>
      </c>
      <c r="L101" s="34">
        <v>9750000</v>
      </c>
      <c r="M101" s="101" t="s">
        <v>733</v>
      </c>
      <c r="N101" s="101" t="s">
        <v>934</v>
      </c>
      <c r="O101" s="101" t="s">
        <v>935</v>
      </c>
      <c r="P101" s="101" t="s">
        <v>735</v>
      </c>
      <c r="Q101" s="101" t="s">
        <v>745</v>
      </c>
      <c r="R101" s="101" t="s">
        <v>746</v>
      </c>
    </row>
    <row r="102" spans="1:18" ht="58.5" customHeight="1">
      <c r="A102" s="5"/>
      <c r="B102" s="2" t="s">
        <v>606</v>
      </c>
      <c r="C102" s="3" t="s">
        <v>607</v>
      </c>
      <c r="D102" s="2" t="s">
        <v>731</v>
      </c>
      <c r="E102" s="7" t="s">
        <v>372</v>
      </c>
      <c r="F102" s="8" t="s">
        <v>243</v>
      </c>
      <c r="G102" s="5" t="s">
        <v>747</v>
      </c>
      <c r="H102" s="5" t="s">
        <v>1340</v>
      </c>
      <c r="I102" s="5" t="s">
        <v>620</v>
      </c>
      <c r="J102" s="8" t="s">
        <v>240</v>
      </c>
      <c r="K102" s="5" t="s">
        <v>621</v>
      </c>
      <c r="L102" s="34">
        <v>9750000</v>
      </c>
      <c r="M102" s="101" t="s">
        <v>733</v>
      </c>
      <c r="N102" s="101" t="s">
        <v>936</v>
      </c>
      <c r="O102" s="101" t="s">
        <v>937</v>
      </c>
      <c r="P102" s="101" t="s">
        <v>938</v>
      </c>
      <c r="Q102" s="97" t="s">
        <v>939</v>
      </c>
      <c r="R102" s="101" t="s">
        <v>748</v>
      </c>
    </row>
    <row r="103" spans="1:18" ht="65.25" customHeight="1">
      <c r="A103" s="5"/>
      <c r="B103" s="2" t="s">
        <v>606</v>
      </c>
      <c r="C103" s="3" t="s">
        <v>607</v>
      </c>
      <c r="D103" s="2" t="s">
        <v>731</v>
      </c>
      <c r="E103" s="7" t="s">
        <v>373</v>
      </c>
      <c r="F103" s="8" t="s">
        <v>243</v>
      </c>
      <c r="G103" s="5" t="s">
        <v>747</v>
      </c>
      <c r="H103" s="5" t="s">
        <v>1342</v>
      </c>
      <c r="I103" s="5" t="s">
        <v>620</v>
      </c>
      <c r="J103" s="8" t="s">
        <v>240</v>
      </c>
      <c r="K103" s="5" t="s">
        <v>621</v>
      </c>
      <c r="L103" s="34">
        <v>9500000</v>
      </c>
      <c r="M103" s="102" t="s">
        <v>741</v>
      </c>
      <c r="N103" s="101" t="s">
        <v>940</v>
      </c>
      <c r="O103" s="101" t="s">
        <v>941</v>
      </c>
      <c r="P103" s="101" t="s">
        <v>735</v>
      </c>
      <c r="Q103" s="97" t="s">
        <v>942</v>
      </c>
      <c r="R103" s="101" t="s">
        <v>749</v>
      </c>
    </row>
    <row r="104" spans="1:18" ht="58.5" customHeight="1">
      <c r="A104" s="5"/>
      <c r="B104" s="2" t="s">
        <v>606</v>
      </c>
      <c r="C104" s="3" t="s">
        <v>607</v>
      </c>
      <c r="D104" s="2" t="s">
        <v>731</v>
      </c>
      <c r="E104" s="7" t="s">
        <v>374</v>
      </c>
      <c r="F104" s="8" t="s">
        <v>243</v>
      </c>
      <c r="G104" s="5" t="s">
        <v>750</v>
      </c>
      <c r="H104" s="5">
        <v>8</v>
      </c>
      <c r="I104" s="5" t="s">
        <v>620</v>
      </c>
      <c r="J104" s="8" t="s">
        <v>240</v>
      </c>
      <c r="K104" s="5" t="s">
        <v>621</v>
      </c>
      <c r="L104" s="34">
        <v>5850000</v>
      </c>
      <c r="M104" s="101" t="s">
        <v>733</v>
      </c>
      <c r="N104" s="101" t="s">
        <v>943</v>
      </c>
      <c r="O104" s="101" t="s">
        <v>944</v>
      </c>
      <c r="P104" s="101" t="s">
        <v>735</v>
      </c>
      <c r="Q104" s="97" t="s">
        <v>945</v>
      </c>
      <c r="R104" s="101" t="s">
        <v>751</v>
      </c>
    </row>
    <row r="105" spans="1:18" ht="58.5" customHeight="1">
      <c r="A105" s="5"/>
      <c r="B105" s="2" t="s">
        <v>606</v>
      </c>
      <c r="C105" s="3" t="s">
        <v>607</v>
      </c>
      <c r="D105" s="2" t="s">
        <v>731</v>
      </c>
      <c r="E105" s="7" t="s">
        <v>375</v>
      </c>
      <c r="F105" s="8" t="s">
        <v>243</v>
      </c>
      <c r="G105" s="5" t="s">
        <v>752</v>
      </c>
      <c r="H105" s="5">
        <v>23</v>
      </c>
      <c r="I105" s="5" t="s">
        <v>620</v>
      </c>
      <c r="J105" s="8" t="s">
        <v>240</v>
      </c>
      <c r="K105" s="5" t="s">
        <v>621</v>
      </c>
      <c r="L105" s="34">
        <v>9750000</v>
      </c>
      <c r="M105" s="101" t="s">
        <v>734</v>
      </c>
      <c r="N105" s="101" t="s">
        <v>946</v>
      </c>
      <c r="O105" s="101" t="s">
        <v>947</v>
      </c>
      <c r="P105" s="101" t="s">
        <v>948</v>
      </c>
      <c r="Q105" s="97" t="s">
        <v>949</v>
      </c>
      <c r="R105" s="101" t="s">
        <v>751</v>
      </c>
    </row>
    <row r="106" spans="1:18" ht="58.5" customHeight="1">
      <c r="A106" s="5"/>
      <c r="B106" s="2" t="s">
        <v>606</v>
      </c>
      <c r="C106" s="3" t="s">
        <v>607</v>
      </c>
      <c r="D106" s="2" t="s">
        <v>731</v>
      </c>
      <c r="E106" s="7" t="s">
        <v>377</v>
      </c>
      <c r="F106" s="8" t="s">
        <v>243</v>
      </c>
      <c r="G106" s="5" t="s">
        <v>738</v>
      </c>
      <c r="H106" s="5" t="s">
        <v>1340</v>
      </c>
      <c r="I106" s="5" t="s">
        <v>620</v>
      </c>
      <c r="J106" s="8" t="s">
        <v>240</v>
      </c>
      <c r="K106" s="5" t="s">
        <v>621</v>
      </c>
      <c r="L106" s="34">
        <v>682500</v>
      </c>
      <c r="M106" s="91" t="s">
        <v>753</v>
      </c>
      <c r="N106" s="101" t="s">
        <v>754</v>
      </c>
      <c r="O106" s="101" t="s">
        <v>950</v>
      </c>
      <c r="P106" s="101" t="s">
        <v>950</v>
      </c>
      <c r="Q106" s="97" t="s">
        <v>950</v>
      </c>
      <c r="R106" s="101" t="s">
        <v>751</v>
      </c>
    </row>
    <row r="107" spans="1:18" ht="58.5" customHeight="1">
      <c r="A107" s="5"/>
      <c r="B107" s="2" t="s">
        <v>606</v>
      </c>
      <c r="C107" s="3" t="s">
        <v>607</v>
      </c>
      <c r="D107" s="2" t="s">
        <v>731</v>
      </c>
      <c r="E107" s="7" t="s">
        <v>378</v>
      </c>
      <c r="F107" s="8" t="s">
        <v>243</v>
      </c>
      <c r="G107" s="5" t="s">
        <v>738</v>
      </c>
      <c r="H107" s="5" t="s">
        <v>738</v>
      </c>
      <c r="I107" s="5" t="s">
        <v>620</v>
      </c>
      <c r="J107" s="8" t="s">
        <v>240</v>
      </c>
      <c r="K107" s="5" t="s">
        <v>621</v>
      </c>
      <c r="L107" s="34">
        <v>2500000</v>
      </c>
      <c r="M107" s="101" t="s">
        <v>734</v>
      </c>
      <c r="N107" s="101" t="s">
        <v>951</v>
      </c>
      <c r="O107" s="101" t="s">
        <v>952</v>
      </c>
      <c r="P107" s="101" t="s">
        <v>953</v>
      </c>
      <c r="Q107" s="101" t="s">
        <v>953</v>
      </c>
      <c r="R107" s="101" t="s">
        <v>746</v>
      </c>
    </row>
    <row r="108" spans="1:18" ht="58.5" customHeight="1">
      <c r="A108" s="5"/>
      <c r="B108" s="2" t="s">
        <v>606</v>
      </c>
      <c r="C108" s="3" t="s">
        <v>607</v>
      </c>
      <c r="D108" s="2" t="s">
        <v>731</v>
      </c>
      <c r="E108" s="7" t="s">
        <v>381</v>
      </c>
      <c r="F108" s="8" t="s">
        <v>243</v>
      </c>
      <c r="G108" s="5" t="s">
        <v>738</v>
      </c>
      <c r="H108" s="5" t="s">
        <v>738</v>
      </c>
      <c r="I108" s="5" t="s">
        <v>620</v>
      </c>
      <c r="J108" s="8" t="s">
        <v>240</v>
      </c>
      <c r="K108" s="5" t="s">
        <v>621</v>
      </c>
      <c r="L108" s="34">
        <v>1000000</v>
      </c>
      <c r="M108" s="101" t="s">
        <v>954</v>
      </c>
      <c r="N108" s="101" t="s">
        <v>955</v>
      </c>
      <c r="O108" s="101" t="s">
        <v>956</v>
      </c>
      <c r="P108" s="101" t="s">
        <v>957</v>
      </c>
      <c r="Q108" s="101" t="s">
        <v>734</v>
      </c>
      <c r="R108" s="101" t="s">
        <v>746</v>
      </c>
    </row>
    <row r="109" spans="1:18" ht="58.5" customHeight="1">
      <c r="A109" s="5"/>
      <c r="B109" s="2" t="s">
        <v>606</v>
      </c>
      <c r="C109" s="3" t="s">
        <v>607</v>
      </c>
      <c r="D109" s="2" t="s">
        <v>731</v>
      </c>
      <c r="E109" s="3" t="s">
        <v>383</v>
      </c>
      <c r="F109" s="4" t="s">
        <v>241</v>
      </c>
      <c r="G109" s="5" t="s">
        <v>755</v>
      </c>
      <c r="H109" s="5" t="s">
        <v>738</v>
      </c>
      <c r="I109" s="5" t="s">
        <v>620</v>
      </c>
      <c r="J109" s="4" t="s">
        <v>240</v>
      </c>
      <c r="K109" s="5" t="s">
        <v>621</v>
      </c>
      <c r="L109" s="34">
        <v>3217500</v>
      </c>
      <c r="M109" s="101" t="s">
        <v>733</v>
      </c>
      <c r="N109" s="101" t="s">
        <v>958</v>
      </c>
      <c r="O109" s="101" t="s">
        <v>958</v>
      </c>
      <c r="P109" s="101" t="s">
        <v>959</v>
      </c>
      <c r="Q109" s="97" t="s">
        <v>960</v>
      </c>
      <c r="R109" s="101" t="s">
        <v>751</v>
      </c>
    </row>
    <row r="110" spans="1:18" ht="58.5" customHeight="1">
      <c r="A110" s="5"/>
      <c r="B110" s="2" t="s">
        <v>606</v>
      </c>
      <c r="C110" s="3" t="s">
        <v>607</v>
      </c>
      <c r="D110" s="2" t="s">
        <v>731</v>
      </c>
      <c r="E110" s="3" t="s">
        <v>384</v>
      </c>
      <c r="F110" s="4" t="s">
        <v>241</v>
      </c>
      <c r="G110" s="5" t="s">
        <v>756</v>
      </c>
      <c r="H110" s="5" t="s">
        <v>738</v>
      </c>
      <c r="I110" s="5" t="s">
        <v>620</v>
      </c>
      <c r="J110" s="4" t="s">
        <v>240</v>
      </c>
      <c r="K110" s="5" t="s">
        <v>621</v>
      </c>
      <c r="L110" s="34">
        <v>975000</v>
      </c>
      <c r="M110" s="101" t="s">
        <v>958</v>
      </c>
      <c r="N110" s="101" t="s">
        <v>961</v>
      </c>
      <c r="O110" s="101" t="s">
        <v>962</v>
      </c>
      <c r="P110" s="101" t="s">
        <v>735</v>
      </c>
      <c r="Q110" s="97" t="s">
        <v>963</v>
      </c>
      <c r="R110" s="101" t="s">
        <v>751</v>
      </c>
    </row>
    <row r="111" spans="1:18" ht="58.5" customHeight="1">
      <c r="A111" s="5"/>
      <c r="B111" s="2" t="s">
        <v>606</v>
      </c>
      <c r="C111" s="3" t="s">
        <v>607</v>
      </c>
      <c r="D111" s="2" t="s">
        <v>731</v>
      </c>
      <c r="E111" s="3" t="s">
        <v>385</v>
      </c>
      <c r="F111" s="4" t="s">
        <v>245</v>
      </c>
      <c r="G111" s="5" t="s">
        <v>755</v>
      </c>
      <c r="H111" s="5" t="s">
        <v>1343</v>
      </c>
      <c r="I111" s="5" t="s">
        <v>620</v>
      </c>
      <c r="J111" s="4" t="s">
        <v>240</v>
      </c>
      <c r="K111" s="5" t="s">
        <v>621</v>
      </c>
      <c r="L111" s="34">
        <v>975000</v>
      </c>
      <c r="M111" s="101" t="s">
        <v>733</v>
      </c>
      <c r="N111" s="101" t="s">
        <v>958</v>
      </c>
      <c r="O111" s="101" t="s">
        <v>964</v>
      </c>
      <c r="P111" s="101" t="s">
        <v>965</v>
      </c>
      <c r="Q111" s="97" t="s">
        <v>966</v>
      </c>
      <c r="R111" s="101" t="s">
        <v>751</v>
      </c>
    </row>
    <row r="112" spans="1:18" ht="58.5" customHeight="1">
      <c r="A112" s="5"/>
      <c r="B112" s="2" t="s">
        <v>606</v>
      </c>
      <c r="C112" s="3" t="s">
        <v>607</v>
      </c>
      <c r="D112" s="2" t="s">
        <v>731</v>
      </c>
      <c r="E112" s="7" t="s">
        <v>386</v>
      </c>
      <c r="F112" s="8" t="s">
        <v>243</v>
      </c>
      <c r="G112" s="5" t="s">
        <v>757</v>
      </c>
      <c r="H112" s="5" t="s">
        <v>1344</v>
      </c>
      <c r="I112" s="5" t="s">
        <v>620</v>
      </c>
      <c r="J112" s="8" t="s">
        <v>240</v>
      </c>
      <c r="K112" s="5" t="s">
        <v>621</v>
      </c>
      <c r="L112" s="34">
        <v>1000000</v>
      </c>
      <c r="M112" s="101" t="s">
        <v>733</v>
      </c>
      <c r="N112" s="101" t="s">
        <v>958</v>
      </c>
      <c r="O112" s="101" t="s">
        <v>967</v>
      </c>
      <c r="P112" s="101" t="s">
        <v>968</v>
      </c>
      <c r="Q112" s="97" t="s">
        <v>942</v>
      </c>
      <c r="R112" s="101" t="s">
        <v>751</v>
      </c>
    </row>
    <row r="113" spans="1:18" ht="73.5" customHeight="1">
      <c r="A113" s="5"/>
      <c r="B113" s="2" t="s">
        <v>606</v>
      </c>
      <c r="C113" s="3" t="s">
        <v>607</v>
      </c>
      <c r="D113" s="2" t="s">
        <v>731</v>
      </c>
      <c r="E113" s="7" t="s">
        <v>394</v>
      </c>
      <c r="F113" s="8" t="s">
        <v>243</v>
      </c>
      <c r="G113" s="5" t="s">
        <v>756</v>
      </c>
      <c r="H113" s="5" t="s">
        <v>1345</v>
      </c>
      <c r="I113" s="5" t="s">
        <v>620</v>
      </c>
      <c r="J113" s="8" t="s">
        <v>240</v>
      </c>
      <c r="K113" s="5" t="s">
        <v>621</v>
      </c>
      <c r="L113" s="34">
        <v>3200000</v>
      </c>
      <c r="M113" s="101" t="s">
        <v>733</v>
      </c>
      <c r="N113" s="101" t="s">
        <v>969</v>
      </c>
      <c r="O113" s="101" t="s">
        <v>970</v>
      </c>
      <c r="P113" s="101" t="s">
        <v>735</v>
      </c>
      <c r="Q113" s="97" t="s">
        <v>971</v>
      </c>
      <c r="R113" s="101" t="s">
        <v>751</v>
      </c>
    </row>
    <row r="114" spans="1:18" ht="117" customHeight="1">
      <c r="A114" s="5"/>
      <c r="B114" s="2" t="s">
        <v>606</v>
      </c>
      <c r="C114" s="3" t="s">
        <v>607</v>
      </c>
      <c r="D114" s="2" t="s">
        <v>731</v>
      </c>
      <c r="E114" s="7" t="s">
        <v>396</v>
      </c>
      <c r="F114" s="8" t="s">
        <v>243</v>
      </c>
      <c r="G114" s="5" t="s">
        <v>758</v>
      </c>
      <c r="H114" s="5" t="s">
        <v>1346</v>
      </c>
      <c r="I114" s="5" t="s">
        <v>620</v>
      </c>
      <c r="J114" s="8" t="s">
        <v>240</v>
      </c>
      <c r="K114" s="5" t="s">
        <v>621</v>
      </c>
      <c r="L114" s="34">
        <v>5850000</v>
      </c>
      <c r="M114" s="91" t="s">
        <v>753</v>
      </c>
      <c r="N114" s="101" t="s">
        <v>754</v>
      </c>
      <c r="O114" s="101" t="s">
        <v>932</v>
      </c>
      <c r="P114" s="101" t="s">
        <v>972</v>
      </c>
      <c r="Q114" s="97" t="s">
        <v>973</v>
      </c>
      <c r="R114" s="101" t="s">
        <v>751</v>
      </c>
    </row>
    <row r="115" spans="1:18" ht="12.75">
      <c r="A115" s="194" t="s">
        <v>759</v>
      </c>
      <c r="B115" s="195"/>
      <c r="C115" s="195"/>
      <c r="D115" s="195"/>
      <c r="E115" s="195"/>
      <c r="F115" s="195"/>
      <c r="G115" s="195"/>
      <c r="H115" s="195"/>
      <c r="I115" s="195"/>
      <c r="J115" s="195"/>
      <c r="K115" s="195"/>
      <c r="L115" s="195"/>
      <c r="M115" s="203"/>
      <c r="N115" s="203"/>
      <c r="O115" s="203"/>
      <c r="P115" s="203"/>
      <c r="Q115" s="203"/>
      <c r="R115" s="204"/>
    </row>
    <row r="116" spans="1:18" ht="12.75">
      <c r="A116" s="5"/>
      <c r="B116" s="5"/>
      <c r="C116" s="5"/>
      <c r="D116" s="5"/>
      <c r="E116" s="3"/>
      <c r="F116" s="4"/>
      <c r="G116" s="5"/>
      <c r="H116" s="5"/>
      <c r="I116" s="5"/>
      <c r="J116" s="4"/>
      <c r="K116" s="5"/>
      <c r="L116" s="6">
        <f>SUM(L98:L114)</f>
        <v>78070000</v>
      </c>
      <c r="M116" s="13"/>
      <c r="N116" s="5"/>
      <c r="O116" s="5"/>
      <c r="P116" s="5"/>
      <c r="Q116" s="5"/>
      <c r="R116" s="5"/>
    </row>
    <row r="117" spans="1:18" ht="12.75">
      <c r="A117" s="194" t="s">
        <v>398</v>
      </c>
      <c r="B117" s="195"/>
      <c r="C117" s="195"/>
      <c r="D117" s="195"/>
      <c r="E117" s="195"/>
      <c r="F117" s="195"/>
      <c r="G117" s="195"/>
      <c r="H117" s="195"/>
      <c r="I117" s="195"/>
      <c r="J117" s="195"/>
      <c r="K117" s="195"/>
      <c r="L117" s="195"/>
      <c r="M117" s="195"/>
      <c r="N117" s="195"/>
      <c r="O117" s="195"/>
      <c r="P117" s="195"/>
      <c r="Q117" s="195"/>
      <c r="R117" s="196"/>
    </row>
    <row r="118" spans="1:18" ht="129.75" customHeight="1">
      <c r="A118" s="5"/>
      <c r="B118" s="5" t="s">
        <v>606</v>
      </c>
      <c r="C118" s="5" t="s">
        <v>613</v>
      </c>
      <c r="D118" s="5" t="s">
        <v>760</v>
      </c>
      <c r="E118" s="7" t="s">
        <v>404</v>
      </c>
      <c r="F118" s="8" t="s">
        <v>243</v>
      </c>
      <c r="G118" s="5">
        <v>23</v>
      </c>
      <c r="H118" s="5">
        <v>23</v>
      </c>
      <c r="I118" s="5" t="s">
        <v>616</v>
      </c>
      <c r="J118" s="8" t="s">
        <v>240</v>
      </c>
      <c r="K118" s="5"/>
      <c r="L118" s="6">
        <v>1000000</v>
      </c>
      <c r="M118" s="5" t="s">
        <v>1108</v>
      </c>
      <c r="N118" s="5" t="s">
        <v>1109</v>
      </c>
      <c r="O118" s="5" t="s">
        <v>1110</v>
      </c>
      <c r="P118" s="5" t="s">
        <v>1111</v>
      </c>
      <c r="Q118" s="5" t="s">
        <v>1112</v>
      </c>
      <c r="R118" s="5"/>
    </row>
    <row r="119" spans="1:18" ht="12.75">
      <c r="A119" s="194" t="s">
        <v>761</v>
      </c>
      <c r="B119" s="195"/>
      <c r="C119" s="195"/>
      <c r="D119" s="195"/>
      <c r="E119" s="195"/>
      <c r="F119" s="195"/>
      <c r="G119" s="195"/>
      <c r="H119" s="195"/>
      <c r="I119" s="195"/>
      <c r="J119" s="195"/>
      <c r="K119" s="195"/>
      <c r="L119" s="195"/>
      <c r="M119" s="195"/>
      <c r="N119" s="195"/>
      <c r="O119" s="195"/>
      <c r="P119" s="195"/>
      <c r="Q119" s="195"/>
      <c r="R119" s="196"/>
    </row>
    <row r="120" spans="1:18" ht="12.75">
      <c r="A120" s="5"/>
      <c r="B120" s="5"/>
      <c r="C120" s="5"/>
      <c r="D120" s="5"/>
      <c r="E120" s="3"/>
      <c r="F120" s="4"/>
      <c r="G120" s="5"/>
      <c r="H120" s="5"/>
      <c r="I120" s="5"/>
      <c r="J120" s="4"/>
      <c r="K120" s="5"/>
      <c r="L120" s="6">
        <f>SUM(L118:L118)</f>
        <v>1000000</v>
      </c>
      <c r="M120" s="13"/>
      <c r="N120" s="5"/>
      <c r="O120" s="5"/>
      <c r="P120" s="5"/>
      <c r="Q120" s="5"/>
      <c r="R120" s="5"/>
    </row>
    <row r="121" spans="1:18" ht="12.75">
      <c r="A121" s="194" t="s">
        <v>408</v>
      </c>
      <c r="B121" s="195"/>
      <c r="C121" s="195"/>
      <c r="D121" s="195"/>
      <c r="E121" s="195"/>
      <c r="F121" s="195"/>
      <c r="G121" s="195"/>
      <c r="H121" s="195"/>
      <c r="I121" s="195"/>
      <c r="J121" s="195"/>
      <c r="K121" s="195"/>
      <c r="L121" s="195"/>
      <c r="M121" s="195"/>
      <c r="N121" s="195"/>
      <c r="O121" s="195"/>
      <c r="P121" s="195"/>
      <c r="Q121" s="195"/>
      <c r="R121" s="196"/>
    </row>
    <row r="122" spans="1:18" ht="60.75" customHeight="1">
      <c r="A122" s="5"/>
      <c r="B122" s="2" t="s">
        <v>606</v>
      </c>
      <c r="C122" s="3" t="s">
        <v>613</v>
      </c>
      <c r="D122" s="2" t="s">
        <v>762</v>
      </c>
      <c r="E122" s="3" t="s">
        <v>410</v>
      </c>
      <c r="F122" s="4" t="s">
        <v>245</v>
      </c>
      <c r="G122" s="5" t="s">
        <v>1313</v>
      </c>
      <c r="H122" s="5" t="s">
        <v>1325</v>
      </c>
      <c r="I122" s="5" t="s">
        <v>616</v>
      </c>
      <c r="J122" s="4" t="s">
        <v>240</v>
      </c>
      <c r="K122" s="5"/>
      <c r="L122" s="6">
        <v>1000000</v>
      </c>
      <c r="M122" s="5" t="s">
        <v>1099</v>
      </c>
      <c r="N122" s="5" t="s">
        <v>1100</v>
      </c>
      <c r="O122" s="5" t="s">
        <v>1101</v>
      </c>
      <c r="P122" s="5" t="s">
        <v>1102</v>
      </c>
      <c r="Q122" s="5" t="s">
        <v>1103</v>
      </c>
      <c r="R122" s="5" t="s">
        <v>1104</v>
      </c>
    </row>
    <row r="123" spans="1:18" ht="60.75" customHeight="1">
      <c r="A123" s="5"/>
      <c r="B123" s="2" t="s">
        <v>606</v>
      </c>
      <c r="C123" s="3" t="s">
        <v>613</v>
      </c>
      <c r="D123" s="2" t="s">
        <v>762</v>
      </c>
      <c r="E123" s="3" t="s">
        <v>411</v>
      </c>
      <c r="F123" s="4" t="s">
        <v>245</v>
      </c>
      <c r="G123" s="5" t="s">
        <v>1313</v>
      </c>
      <c r="H123" s="5" t="s">
        <v>1325</v>
      </c>
      <c r="I123" s="5" t="s">
        <v>616</v>
      </c>
      <c r="J123" s="4" t="s">
        <v>240</v>
      </c>
      <c r="K123" s="5"/>
      <c r="L123" s="6">
        <v>600000</v>
      </c>
      <c r="M123" s="5" t="s">
        <v>1100</v>
      </c>
      <c r="N123" s="5" t="s">
        <v>1100</v>
      </c>
      <c r="O123" s="5" t="s">
        <v>1101</v>
      </c>
      <c r="P123" s="5" t="s">
        <v>1102</v>
      </c>
      <c r="Q123" s="5" t="s">
        <v>1103</v>
      </c>
      <c r="R123" s="5" t="s">
        <v>1104</v>
      </c>
    </row>
    <row r="124" spans="1:18" ht="60.75" customHeight="1">
      <c r="A124" s="5"/>
      <c r="B124" s="2" t="s">
        <v>606</v>
      </c>
      <c r="C124" s="3" t="s">
        <v>613</v>
      </c>
      <c r="D124" s="2" t="s">
        <v>762</v>
      </c>
      <c r="E124" s="3" t="s">
        <v>412</v>
      </c>
      <c r="F124" s="4" t="s">
        <v>245</v>
      </c>
      <c r="G124" s="5" t="s">
        <v>1313</v>
      </c>
      <c r="H124" s="5" t="s">
        <v>1325</v>
      </c>
      <c r="I124" s="5" t="s">
        <v>616</v>
      </c>
      <c r="J124" s="4" t="s">
        <v>240</v>
      </c>
      <c r="K124" s="5"/>
      <c r="L124" s="6">
        <v>500000</v>
      </c>
      <c r="M124" s="5" t="s">
        <v>1096</v>
      </c>
      <c r="N124" s="5" t="s">
        <v>1097</v>
      </c>
      <c r="O124" s="5" t="s">
        <v>1105</v>
      </c>
      <c r="P124" s="5" t="s">
        <v>1098</v>
      </c>
      <c r="Q124" s="5" t="s">
        <v>1106</v>
      </c>
      <c r="R124" s="5" t="s">
        <v>1107</v>
      </c>
    </row>
    <row r="125" spans="1:18" ht="12.75">
      <c r="A125" s="194" t="s">
        <v>763</v>
      </c>
      <c r="B125" s="195"/>
      <c r="C125" s="195"/>
      <c r="D125" s="195"/>
      <c r="E125" s="195"/>
      <c r="F125" s="195"/>
      <c r="G125" s="195"/>
      <c r="H125" s="195"/>
      <c r="I125" s="195"/>
      <c r="J125" s="195"/>
      <c r="K125" s="195"/>
      <c r="L125" s="195"/>
      <c r="M125" s="195"/>
      <c r="N125" s="195"/>
      <c r="O125" s="195"/>
      <c r="P125" s="195"/>
      <c r="Q125" s="195"/>
      <c r="R125" s="196"/>
    </row>
    <row r="126" spans="1:18" ht="12.75">
      <c r="A126" s="5"/>
      <c r="B126" s="5"/>
      <c r="C126" s="5"/>
      <c r="D126" s="5"/>
      <c r="E126" s="3"/>
      <c r="F126" s="4"/>
      <c r="G126" s="5"/>
      <c r="H126" s="5"/>
      <c r="I126" s="5"/>
      <c r="J126" s="4"/>
      <c r="K126" s="5"/>
      <c r="L126" s="6">
        <f>SUM(L122:L124)</f>
        <v>2100000</v>
      </c>
      <c r="M126" s="13"/>
      <c r="N126" s="5"/>
      <c r="O126" s="5"/>
      <c r="P126" s="5"/>
      <c r="Q126" s="5"/>
      <c r="R126" s="5"/>
    </row>
    <row r="127" spans="1:18" ht="12.75">
      <c r="A127" s="194" t="s">
        <v>420</v>
      </c>
      <c r="B127" s="195"/>
      <c r="C127" s="195"/>
      <c r="D127" s="195"/>
      <c r="E127" s="195"/>
      <c r="F127" s="195"/>
      <c r="G127" s="195"/>
      <c r="H127" s="195"/>
      <c r="I127" s="195"/>
      <c r="J127" s="195"/>
      <c r="K127" s="195"/>
      <c r="L127" s="195"/>
      <c r="M127" s="195"/>
      <c r="N127" s="195"/>
      <c r="O127" s="195"/>
      <c r="P127" s="195"/>
      <c r="Q127" s="195"/>
      <c r="R127" s="196"/>
    </row>
    <row r="128" spans="1:18" ht="71.25" customHeight="1">
      <c r="A128" s="5"/>
      <c r="B128" s="2" t="s">
        <v>606</v>
      </c>
      <c r="C128" s="2" t="s">
        <v>764</v>
      </c>
      <c r="D128" s="2" t="s">
        <v>765</v>
      </c>
      <c r="E128" s="7" t="s">
        <v>423</v>
      </c>
      <c r="F128" s="8" t="s">
        <v>243</v>
      </c>
      <c r="G128" s="5" t="s">
        <v>1348</v>
      </c>
      <c r="H128" s="5">
        <v>8</v>
      </c>
      <c r="I128" s="5" t="s">
        <v>616</v>
      </c>
      <c r="J128" s="8" t="s">
        <v>240</v>
      </c>
      <c r="K128" s="5"/>
      <c r="L128" s="6">
        <f>3200000-1000000-1000000-600000</f>
        <v>600000</v>
      </c>
      <c r="M128" s="5" t="s">
        <v>1124</v>
      </c>
      <c r="N128" s="5" t="s">
        <v>1125</v>
      </c>
      <c r="O128" s="5" t="s">
        <v>1126</v>
      </c>
      <c r="P128" s="5" t="s">
        <v>1127</v>
      </c>
      <c r="Q128" s="5" t="s">
        <v>1128</v>
      </c>
      <c r="R128" s="5"/>
    </row>
    <row r="129" spans="1:18" ht="89.25" customHeight="1">
      <c r="A129" s="5"/>
      <c r="B129" s="2" t="s">
        <v>606</v>
      </c>
      <c r="C129" s="2" t="s">
        <v>764</v>
      </c>
      <c r="D129" s="2" t="s">
        <v>765</v>
      </c>
      <c r="E129" s="3" t="s">
        <v>426</v>
      </c>
      <c r="F129" s="4" t="s">
        <v>245</v>
      </c>
      <c r="G129" s="5" t="s">
        <v>1347</v>
      </c>
      <c r="H129" s="5">
        <v>20</v>
      </c>
      <c r="I129" s="5" t="s">
        <v>616</v>
      </c>
      <c r="J129" s="4" t="s">
        <v>240</v>
      </c>
      <c r="K129" s="5"/>
      <c r="L129" s="6">
        <v>1000000</v>
      </c>
      <c r="M129" s="5" t="s">
        <v>1129</v>
      </c>
      <c r="N129" s="5" t="s">
        <v>1130</v>
      </c>
      <c r="O129" s="5" t="s">
        <v>1131</v>
      </c>
      <c r="P129" s="5" t="s">
        <v>1132</v>
      </c>
      <c r="Q129" s="5"/>
      <c r="R129" s="5"/>
    </row>
    <row r="130" spans="1:18" ht="82.5" customHeight="1">
      <c r="A130" s="5"/>
      <c r="B130" s="2" t="s">
        <v>606</v>
      </c>
      <c r="C130" s="2" t="s">
        <v>764</v>
      </c>
      <c r="D130" s="2" t="s">
        <v>765</v>
      </c>
      <c r="E130" s="3" t="s">
        <v>427</v>
      </c>
      <c r="F130" s="4" t="s">
        <v>245</v>
      </c>
      <c r="G130" s="5" t="s">
        <v>1347</v>
      </c>
      <c r="H130" s="5">
        <v>23</v>
      </c>
      <c r="I130" s="5" t="s">
        <v>616</v>
      </c>
      <c r="J130" s="4" t="s">
        <v>240</v>
      </c>
      <c r="K130" s="5"/>
      <c r="L130" s="6">
        <v>750000</v>
      </c>
      <c r="M130" s="5" t="s">
        <v>1180</v>
      </c>
      <c r="N130" s="5" t="s">
        <v>1181</v>
      </c>
      <c r="O130" s="5" t="s">
        <v>1182</v>
      </c>
      <c r="P130" s="5" t="s">
        <v>1183</v>
      </c>
      <c r="Q130" s="5" t="s">
        <v>1184</v>
      </c>
      <c r="R130" s="5" t="s">
        <v>1185</v>
      </c>
    </row>
    <row r="131" spans="1:18" ht="116.25" customHeight="1">
      <c r="A131" s="5"/>
      <c r="B131" s="2" t="s">
        <v>606</v>
      </c>
      <c r="C131" s="2" t="s">
        <v>764</v>
      </c>
      <c r="D131" s="2" t="s">
        <v>765</v>
      </c>
      <c r="E131" s="7" t="s">
        <v>428</v>
      </c>
      <c r="F131" s="8" t="s">
        <v>243</v>
      </c>
      <c r="G131" s="5" t="s">
        <v>1347</v>
      </c>
      <c r="H131" s="5">
        <v>22</v>
      </c>
      <c r="I131" s="5" t="s">
        <v>616</v>
      </c>
      <c r="J131" s="8" t="s">
        <v>240</v>
      </c>
      <c r="K131" s="5"/>
      <c r="L131" s="6">
        <v>800000</v>
      </c>
      <c r="M131" s="5" t="s">
        <v>1133</v>
      </c>
      <c r="N131" s="5" t="s">
        <v>1134</v>
      </c>
      <c r="O131" s="5" t="s">
        <v>1135</v>
      </c>
      <c r="P131" s="5" t="s">
        <v>1136</v>
      </c>
      <c r="Q131" s="5" t="s">
        <v>1137</v>
      </c>
      <c r="R131" s="5" t="s">
        <v>1138</v>
      </c>
    </row>
    <row r="132" spans="1:18" ht="71.25" customHeight="1">
      <c r="A132" s="5"/>
      <c r="B132" s="2" t="s">
        <v>606</v>
      </c>
      <c r="C132" s="2" t="s">
        <v>764</v>
      </c>
      <c r="D132" s="2" t="s">
        <v>765</v>
      </c>
      <c r="E132" s="7" t="s">
        <v>429</v>
      </c>
      <c r="F132" s="8" t="s">
        <v>243</v>
      </c>
      <c r="G132" s="5"/>
      <c r="H132" s="5" t="s">
        <v>1349</v>
      </c>
      <c r="I132" s="5" t="s">
        <v>616</v>
      </c>
      <c r="J132" s="8" t="s">
        <v>240</v>
      </c>
      <c r="K132" s="5"/>
      <c r="L132" s="6">
        <v>500000</v>
      </c>
      <c r="M132" s="5" t="s">
        <v>1139</v>
      </c>
      <c r="N132" s="5" t="s">
        <v>1139</v>
      </c>
      <c r="O132" s="5" t="s">
        <v>1139</v>
      </c>
      <c r="P132" s="5" t="s">
        <v>1139</v>
      </c>
      <c r="Q132" s="5" t="s">
        <v>1139</v>
      </c>
      <c r="R132" s="5" t="s">
        <v>1140</v>
      </c>
    </row>
    <row r="133" spans="1:18" ht="71.25" customHeight="1">
      <c r="A133" s="5"/>
      <c r="B133" s="2" t="s">
        <v>606</v>
      </c>
      <c r="C133" s="2" t="s">
        <v>764</v>
      </c>
      <c r="D133" s="2" t="s">
        <v>765</v>
      </c>
      <c r="E133" s="7" t="s">
        <v>430</v>
      </c>
      <c r="F133" s="8" t="s">
        <v>243</v>
      </c>
      <c r="G133" s="5"/>
      <c r="H133" s="5" t="s">
        <v>1350</v>
      </c>
      <c r="I133" s="5" t="s">
        <v>616</v>
      </c>
      <c r="J133" s="8" t="s">
        <v>240</v>
      </c>
      <c r="K133" s="5"/>
      <c r="L133" s="6">
        <v>900000</v>
      </c>
      <c r="M133" s="5" t="s">
        <v>1141</v>
      </c>
      <c r="N133" s="5" t="s">
        <v>1142</v>
      </c>
      <c r="O133" s="5" t="s">
        <v>1143</v>
      </c>
      <c r="P133" s="5" t="s">
        <v>1144</v>
      </c>
      <c r="Q133" s="5" t="s">
        <v>1145</v>
      </c>
      <c r="R133" s="5" t="s">
        <v>1146</v>
      </c>
    </row>
    <row r="134" spans="1:18" ht="71.25" customHeight="1">
      <c r="A134" s="5"/>
      <c r="B134" s="2" t="s">
        <v>606</v>
      </c>
      <c r="C134" s="2" t="s">
        <v>764</v>
      </c>
      <c r="D134" s="2" t="s">
        <v>765</v>
      </c>
      <c r="E134" s="7" t="s">
        <v>431</v>
      </c>
      <c r="F134" s="8" t="s">
        <v>243</v>
      </c>
      <c r="G134" s="5"/>
      <c r="H134" s="5">
        <v>42</v>
      </c>
      <c r="I134" s="5" t="s">
        <v>616</v>
      </c>
      <c r="J134" s="8" t="s">
        <v>240</v>
      </c>
      <c r="K134" s="5"/>
      <c r="L134" s="6">
        <v>500000</v>
      </c>
      <c r="M134" s="5" t="s">
        <v>1147</v>
      </c>
      <c r="N134" s="5" t="s">
        <v>1148</v>
      </c>
      <c r="O134" s="5" t="s">
        <v>1149</v>
      </c>
      <c r="P134" s="5" t="s">
        <v>1150</v>
      </c>
      <c r="Q134" s="5" t="s">
        <v>1151</v>
      </c>
      <c r="R134" s="5" t="s">
        <v>1152</v>
      </c>
    </row>
    <row r="135" spans="1:18" ht="12.75">
      <c r="A135" s="194" t="s">
        <v>766</v>
      </c>
      <c r="B135" s="195"/>
      <c r="C135" s="195"/>
      <c r="D135" s="195"/>
      <c r="E135" s="195"/>
      <c r="F135" s="195"/>
      <c r="G135" s="195"/>
      <c r="H135" s="195"/>
      <c r="I135" s="195"/>
      <c r="J135" s="195"/>
      <c r="K135" s="195"/>
      <c r="L135" s="195"/>
      <c r="M135" s="195"/>
      <c r="N135" s="195"/>
      <c r="O135" s="195"/>
      <c r="P135" s="195"/>
      <c r="Q135" s="195"/>
      <c r="R135" s="196"/>
    </row>
    <row r="136" spans="1:18" ht="12.75">
      <c r="A136" s="5"/>
      <c r="B136" s="5"/>
      <c r="C136" s="5"/>
      <c r="D136" s="5"/>
      <c r="E136" s="3"/>
      <c r="F136" s="4"/>
      <c r="G136" s="5"/>
      <c r="H136" s="5"/>
      <c r="I136" s="5"/>
      <c r="J136" s="4"/>
      <c r="K136" s="5"/>
      <c r="L136" s="6">
        <f>SUM(L128:L134)</f>
        <v>5050000</v>
      </c>
      <c r="M136" s="13"/>
      <c r="N136" s="5"/>
      <c r="O136" s="5"/>
      <c r="P136" s="5"/>
      <c r="Q136" s="5"/>
      <c r="R136" s="5"/>
    </row>
    <row r="137" spans="1:18" ht="12.75">
      <c r="A137" s="194" t="s">
        <v>434</v>
      </c>
      <c r="B137" s="195"/>
      <c r="C137" s="195"/>
      <c r="D137" s="195"/>
      <c r="E137" s="195"/>
      <c r="F137" s="195"/>
      <c r="G137" s="195"/>
      <c r="H137" s="195"/>
      <c r="I137" s="195"/>
      <c r="J137" s="195"/>
      <c r="K137" s="195"/>
      <c r="L137" s="195"/>
      <c r="M137" s="195"/>
      <c r="N137" s="195"/>
      <c r="O137" s="195"/>
      <c r="P137" s="195"/>
      <c r="Q137" s="195"/>
      <c r="R137" s="196"/>
    </row>
    <row r="138" spans="1:18" ht="70.5" customHeight="1">
      <c r="A138" s="5"/>
      <c r="B138" s="2" t="s">
        <v>606</v>
      </c>
      <c r="C138" s="2" t="s">
        <v>764</v>
      </c>
      <c r="D138" s="2" t="s">
        <v>75</v>
      </c>
      <c r="E138" s="7" t="s">
        <v>436</v>
      </c>
      <c r="F138" s="8" t="s">
        <v>243</v>
      </c>
      <c r="G138" s="5" t="s">
        <v>738</v>
      </c>
      <c r="H138" s="5" t="s">
        <v>738</v>
      </c>
      <c r="I138" s="5" t="s">
        <v>616</v>
      </c>
      <c r="J138" s="8" t="s">
        <v>240</v>
      </c>
      <c r="K138" s="5"/>
      <c r="L138" s="12">
        <f>4000000-1000000</f>
        <v>3000000</v>
      </c>
      <c r="M138" s="5" t="s">
        <v>1092</v>
      </c>
      <c r="N138" s="5" t="s">
        <v>1093</v>
      </c>
      <c r="O138" s="5" t="s">
        <v>1091</v>
      </c>
      <c r="P138" s="5" t="s">
        <v>1091</v>
      </c>
      <c r="Q138" s="5" t="s">
        <v>1094</v>
      </c>
      <c r="R138" s="5" t="s">
        <v>1095</v>
      </c>
    </row>
    <row r="139" spans="1:18" ht="121.5" customHeight="1">
      <c r="A139" s="5"/>
      <c r="B139" s="2" t="s">
        <v>606</v>
      </c>
      <c r="C139" s="2" t="s">
        <v>764</v>
      </c>
      <c r="D139" s="2" t="s">
        <v>75</v>
      </c>
      <c r="E139" s="7" t="s">
        <v>438</v>
      </c>
      <c r="F139" s="8" t="s">
        <v>243</v>
      </c>
      <c r="G139" s="5"/>
      <c r="H139" s="5">
        <v>9</v>
      </c>
      <c r="I139" s="5" t="s">
        <v>616</v>
      </c>
      <c r="J139" s="8" t="s">
        <v>281</v>
      </c>
      <c r="K139" s="5"/>
      <c r="L139" s="12">
        <v>4266667</v>
      </c>
      <c r="M139" s="5" t="s">
        <v>1186</v>
      </c>
      <c r="N139" s="5" t="s">
        <v>1187</v>
      </c>
      <c r="O139" s="5" t="s">
        <v>1187</v>
      </c>
      <c r="P139" s="5" t="s">
        <v>1188</v>
      </c>
      <c r="Q139" s="5" t="s">
        <v>1189</v>
      </c>
      <c r="R139" s="5" t="s">
        <v>1190</v>
      </c>
    </row>
    <row r="140" spans="1:18" ht="92.25" customHeight="1">
      <c r="A140" s="5"/>
      <c r="B140" s="2" t="s">
        <v>606</v>
      </c>
      <c r="C140" s="2" t="s">
        <v>764</v>
      </c>
      <c r="D140" s="2" t="s">
        <v>75</v>
      </c>
      <c r="E140" s="7" t="s">
        <v>439</v>
      </c>
      <c r="F140" s="8" t="s">
        <v>243</v>
      </c>
      <c r="G140" s="5"/>
      <c r="H140" s="5">
        <v>24</v>
      </c>
      <c r="I140" s="5" t="s">
        <v>616</v>
      </c>
      <c r="J140" s="8" t="s">
        <v>281</v>
      </c>
      <c r="K140" s="5"/>
      <c r="L140" s="12">
        <v>4266667</v>
      </c>
      <c r="M140" s="5" t="s">
        <v>1197</v>
      </c>
      <c r="N140" s="5" t="s">
        <v>1191</v>
      </c>
      <c r="O140" s="5" t="s">
        <v>1187</v>
      </c>
      <c r="P140" s="5" t="s">
        <v>1188</v>
      </c>
      <c r="Q140" s="5" t="s">
        <v>1192</v>
      </c>
      <c r="R140" s="5" t="s">
        <v>1190</v>
      </c>
    </row>
    <row r="141" spans="1:18" ht="77.25" customHeight="1">
      <c r="A141" s="5"/>
      <c r="B141" s="2" t="s">
        <v>606</v>
      </c>
      <c r="C141" s="2" t="s">
        <v>764</v>
      </c>
      <c r="D141" s="2" t="s">
        <v>75</v>
      </c>
      <c r="E141" s="7" t="s">
        <v>440</v>
      </c>
      <c r="F141" s="8" t="s">
        <v>243</v>
      </c>
      <c r="G141" s="5"/>
      <c r="H141" s="5">
        <v>28</v>
      </c>
      <c r="I141" s="5" t="s">
        <v>616</v>
      </c>
      <c r="J141" s="8" t="s">
        <v>281</v>
      </c>
      <c r="K141" s="5"/>
      <c r="L141" s="12">
        <v>4266666</v>
      </c>
      <c r="M141" s="5" t="s">
        <v>1193</v>
      </c>
      <c r="N141" s="5" t="s">
        <v>1194</v>
      </c>
      <c r="O141" s="5" t="s">
        <v>1194</v>
      </c>
      <c r="P141" s="5" t="s">
        <v>1194</v>
      </c>
      <c r="Q141" s="5" t="s">
        <v>1195</v>
      </c>
      <c r="R141" s="5" t="s">
        <v>1196</v>
      </c>
    </row>
    <row r="142" spans="1:18" ht="70.5" customHeight="1">
      <c r="A142" s="5"/>
      <c r="B142" s="2" t="s">
        <v>606</v>
      </c>
      <c r="C142" s="2" t="s">
        <v>764</v>
      </c>
      <c r="D142" s="2" t="s">
        <v>75</v>
      </c>
      <c r="E142" s="7" t="s">
        <v>767</v>
      </c>
      <c r="F142" s="8" t="s">
        <v>243</v>
      </c>
      <c r="G142" s="5"/>
      <c r="H142" s="5" t="s">
        <v>1351</v>
      </c>
      <c r="I142" s="5" t="s">
        <v>616</v>
      </c>
      <c r="J142" s="8" t="s">
        <v>240</v>
      </c>
      <c r="K142" s="5"/>
      <c r="L142" s="12">
        <v>1000000</v>
      </c>
      <c r="M142" s="5" t="s">
        <v>1015</v>
      </c>
      <c r="N142" s="5" t="s">
        <v>1016</v>
      </c>
      <c r="O142" s="5" t="s">
        <v>1017</v>
      </c>
      <c r="P142" s="5" t="s">
        <v>1018</v>
      </c>
      <c r="Q142" s="5" t="s">
        <v>1019</v>
      </c>
      <c r="R142" s="5" t="s">
        <v>1014</v>
      </c>
    </row>
    <row r="143" spans="1:18" ht="12.75">
      <c r="A143" s="194" t="s">
        <v>768</v>
      </c>
      <c r="B143" s="195"/>
      <c r="C143" s="195"/>
      <c r="D143" s="195"/>
      <c r="E143" s="195"/>
      <c r="F143" s="195"/>
      <c r="G143" s="195"/>
      <c r="H143" s="195"/>
      <c r="I143" s="195"/>
      <c r="J143" s="195"/>
      <c r="K143" s="195"/>
      <c r="L143" s="195"/>
      <c r="M143" s="195"/>
      <c r="N143" s="195"/>
      <c r="O143" s="195"/>
      <c r="P143" s="195"/>
      <c r="Q143" s="195"/>
      <c r="R143" s="196"/>
    </row>
    <row r="144" spans="1:18" ht="12.75">
      <c r="A144" s="5"/>
      <c r="B144" s="5"/>
      <c r="C144" s="5"/>
      <c r="D144" s="5"/>
      <c r="E144" s="3"/>
      <c r="F144" s="4"/>
      <c r="G144" s="5"/>
      <c r="H144" s="5"/>
      <c r="I144" s="5"/>
      <c r="J144" s="4"/>
      <c r="K144" s="5"/>
      <c r="L144" s="9">
        <f>SUM(L138:L142)</f>
        <v>16800000</v>
      </c>
      <c r="M144" s="13"/>
      <c r="N144" s="5"/>
      <c r="O144" s="5"/>
      <c r="P144" s="5"/>
      <c r="Q144" s="5"/>
      <c r="R144" s="5"/>
    </row>
    <row r="145" spans="1:18" ht="12.75">
      <c r="A145" s="194" t="s">
        <v>444</v>
      </c>
      <c r="B145" s="195"/>
      <c r="C145" s="195"/>
      <c r="D145" s="195"/>
      <c r="E145" s="195"/>
      <c r="F145" s="195"/>
      <c r="G145" s="195"/>
      <c r="H145" s="195"/>
      <c r="I145" s="195"/>
      <c r="J145" s="195"/>
      <c r="K145" s="195"/>
      <c r="L145" s="195"/>
      <c r="M145" s="195"/>
      <c r="N145" s="195"/>
      <c r="O145" s="195"/>
      <c r="P145" s="195"/>
      <c r="Q145" s="195"/>
      <c r="R145" s="196"/>
    </row>
    <row r="146" spans="1:18" ht="114.75" customHeight="1">
      <c r="A146" s="5"/>
      <c r="B146" s="2" t="s">
        <v>606</v>
      </c>
      <c r="C146" s="2" t="s">
        <v>613</v>
      </c>
      <c r="D146" s="2" t="s">
        <v>769</v>
      </c>
      <c r="E146" s="16" t="s">
        <v>446</v>
      </c>
      <c r="F146" s="8" t="s">
        <v>243</v>
      </c>
      <c r="G146" s="5" t="s">
        <v>1318</v>
      </c>
      <c r="H146" s="5">
        <v>25</v>
      </c>
      <c r="I146" s="5" t="s">
        <v>770</v>
      </c>
      <c r="J146" s="8" t="s">
        <v>281</v>
      </c>
      <c r="K146" s="5"/>
      <c r="L146" s="6">
        <v>11440000</v>
      </c>
      <c r="M146" s="5" t="s">
        <v>1035</v>
      </c>
      <c r="N146" s="5" t="s">
        <v>1036</v>
      </c>
      <c r="O146" s="5" t="s">
        <v>1037</v>
      </c>
      <c r="P146" s="5" t="s">
        <v>1038</v>
      </c>
      <c r="Q146" s="5" t="s">
        <v>1039</v>
      </c>
      <c r="R146" s="5" t="s">
        <v>1040</v>
      </c>
    </row>
    <row r="147" spans="1:18" ht="136.5" customHeight="1">
      <c r="A147" s="5"/>
      <c r="B147" s="2" t="s">
        <v>606</v>
      </c>
      <c r="C147" s="2" t="s">
        <v>613</v>
      </c>
      <c r="D147" s="2" t="s">
        <v>769</v>
      </c>
      <c r="E147" s="7" t="s">
        <v>447</v>
      </c>
      <c r="F147" s="8" t="s">
        <v>243</v>
      </c>
      <c r="G147" s="5" t="s">
        <v>1352</v>
      </c>
      <c r="H147" s="5">
        <v>2</v>
      </c>
      <c r="I147" s="5" t="s">
        <v>770</v>
      </c>
      <c r="J147" s="8" t="s">
        <v>281</v>
      </c>
      <c r="K147" s="5"/>
      <c r="L147" s="6">
        <v>9600000</v>
      </c>
      <c r="M147" s="5" t="s">
        <v>1041</v>
      </c>
      <c r="N147" s="5" t="s">
        <v>1042</v>
      </c>
      <c r="O147" s="5" t="s">
        <v>1043</v>
      </c>
      <c r="P147" s="5" t="s">
        <v>1044</v>
      </c>
      <c r="Q147" s="5" t="s">
        <v>1045</v>
      </c>
      <c r="R147" s="5" t="s">
        <v>1046</v>
      </c>
    </row>
    <row r="148" spans="1:18" ht="71.25" customHeight="1">
      <c r="A148" s="5"/>
      <c r="B148" s="2" t="s">
        <v>606</v>
      </c>
      <c r="C148" s="2" t="s">
        <v>613</v>
      </c>
      <c r="D148" s="2" t="s">
        <v>769</v>
      </c>
      <c r="E148" s="7" t="s">
        <v>448</v>
      </c>
      <c r="F148" s="8" t="s">
        <v>243</v>
      </c>
      <c r="G148" s="5" t="s">
        <v>1353</v>
      </c>
      <c r="H148" s="5">
        <v>8</v>
      </c>
      <c r="I148" s="5" t="s">
        <v>770</v>
      </c>
      <c r="J148" s="8" t="s">
        <v>281</v>
      </c>
      <c r="K148" s="5"/>
      <c r="L148" s="6">
        <v>1500000</v>
      </c>
      <c r="M148" s="5" t="s">
        <v>1171</v>
      </c>
      <c r="N148" s="5" t="s">
        <v>1016</v>
      </c>
      <c r="O148" s="5" t="s">
        <v>1017</v>
      </c>
      <c r="P148" s="5" t="s">
        <v>1018</v>
      </c>
      <c r="Q148" s="5" t="s">
        <v>1019</v>
      </c>
      <c r="R148" s="5" t="s">
        <v>1014</v>
      </c>
    </row>
    <row r="149" spans="1:18" ht="71.25" customHeight="1">
      <c r="A149" s="5"/>
      <c r="B149" s="2" t="s">
        <v>606</v>
      </c>
      <c r="C149" s="2" t="s">
        <v>613</v>
      </c>
      <c r="D149" s="2" t="s">
        <v>769</v>
      </c>
      <c r="E149" s="15" t="s">
        <v>451</v>
      </c>
      <c r="F149" s="4" t="s">
        <v>245</v>
      </c>
      <c r="G149" s="5" t="s">
        <v>1354</v>
      </c>
      <c r="H149" s="5">
        <v>44</v>
      </c>
      <c r="I149" s="5" t="s">
        <v>770</v>
      </c>
      <c r="J149" s="4" t="s">
        <v>240</v>
      </c>
      <c r="K149" s="5"/>
      <c r="L149" s="6">
        <v>475000</v>
      </c>
      <c r="M149" s="5" t="s">
        <v>1153</v>
      </c>
      <c r="N149" s="5" t="s">
        <v>1154</v>
      </c>
      <c r="O149" s="5" t="s">
        <v>1155</v>
      </c>
      <c r="P149" s="5" t="s">
        <v>1156</v>
      </c>
      <c r="Q149" s="5" t="s">
        <v>1157</v>
      </c>
      <c r="R149" s="5" t="s">
        <v>1158</v>
      </c>
    </row>
    <row r="150" spans="1:18" ht="71.25" customHeight="1">
      <c r="A150" s="5"/>
      <c r="B150" s="2" t="s">
        <v>606</v>
      </c>
      <c r="C150" s="2" t="s">
        <v>613</v>
      </c>
      <c r="D150" s="2" t="s">
        <v>769</v>
      </c>
      <c r="E150" s="15" t="s">
        <v>771</v>
      </c>
      <c r="F150" s="4"/>
      <c r="G150" s="5" t="s">
        <v>1355</v>
      </c>
      <c r="H150" s="5"/>
      <c r="I150" s="5" t="s">
        <v>770</v>
      </c>
      <c r="J150" s="4" t="s">
        <v>240</v>
      </c>
      <c r="K150" s="5"/>
      <c r="L150" s="6">
        <v>1000000</v>
      </c>
      <c r="M150" s="5" t="s">
        <v>1171</v>
      </c>
      <c r="N150" s="5" t="s">
        <v>1016</v>
      </c>
      <c r="O150" s="5" t="s">
        <v>1017</v>
      </c>
      <c r="P150" s="5" t="s">
        <v>1018</v>
      </c>
      <c r="Q150" s="5" t="s">
        <v>1019</v>
      </c>
      <c r="R150" s="5" t="s">
        <v>1014</v>
      </c>
    </row>
    <row r="151" spans="1:18" ht="71.25" customHeight="1">
      <c r="A151" s="5"/>
      <c r="B151" s="2" t="s">
        <v>606</v>
      </c>
      <c r="C151" s="2" t="s">
        <v>613</v>
      </c>
      <c r="D151" s="2" t="s">
        <v>769</v>
      </c>
      <c r="E151" s="15" t="s">
        <v>772</v>
      </c>
      <c r="F151" s="4" t="s">
        <v>241</v>
      </c>
      <c r="G151" s="5" t="s">
        <v>1348</v>
      </c>
      <c r="H151" s="5" t="s">
        <v>1348</v>
      </c>
      <c r="I151" s="5" t="s">
        <v>770</v>
      </c>
      <c r="J151" s="4" t="s">
        <v>240</v>
      </c>
      <c r="K151" s="5"/>
      <c r="L151" s="6">
        <v>1575000</v>
      </c>
      <c r="M151" s="13" t="s">
        <v>1073</v>
      </c>
      <c r="N151" s="5" t="s">
        <v>1071</v>
      </c>
      <c r="O151" s="5" t="s">
        <v>950</v>
      </c>
      <c r="P151" s="5" t="s">
        <v>950</v>
      </c>
      <c r="Q151" s="5" t="s">
        <v>1074</v>
      </c>
      <c r="R151" s="5" t="s">
        <v>1072</v>
      </c>
    </row>
    <row r="152" spans="1:18" ht="116.25" customHeight="1">
      <c r="A152" s="5"/>
      <c r="B152" s="2" t="s">
        <v>606</v>
      </c>
      <c r="C152" s="2" t="s">
        <v>613</v>
      </c>
      <c r="D152" s="2" t="s">
        <v>769</v>
      </c>
      <c r="E152" s="3" t="s">
        <v>453</v>
      </c>
      <c r="F152" s="4" t="s">
        <v>245</v>
      </c>
      <c r="G152" s="5" t="s">
        <v>1356</v>
      </c>
      <c r="H152" s="5" t="s">
        <v>1356</v>
      </c>
      <c r="I152" s="5" t="s">
        <v>770</v>
      </c>
      <c r="J152" s="4" t="s">
        <v>281</v>
      </c>
      <c r="K152" s="5"/>
      <c r="L152" s="6">
        <v>7300000</v>
      </c>
      <c r="M152" s="5" t="s">
        <v>1165</v>
      </c>
      <c r="N152" s="5" t="s">
        <v>1165</v>
      </c>
      <c r="O152" s="5" t="s">
        <v>1163</v>
      </c>
      <c r="P152" s="5" t="s">
        <v>1156</v>
      </c>
      <c r="Q152" s="5" t="s">
        <v>1164</v>
      </c>
      <c r="R152" s="5" t="s">
        <v>1158</v>
      </c>
    </row>
    <row r="153" spans="1:18" ht="12.75">
      <c r="A153" s="194" t="s">
        <v>773</v>
      </c>
      <c r="B153" s="195"/>
      <c r="C153" s="195"/>
      <c r="D153" s="195"/>
      <c r="E153" s="195"/>
      <c r="F153" s="195"/>
      <c r="G153" s="195"/>
      <c r="H153" s="195"/>
      <c r="I153" s="195"/>
      <c r="J153" s="195"/>
      <c r="K153" s="195"/>
      <c r="L153" s="195"/>
      <c r="M153" s="195"/>
      <c r="N153" s="195"/>
      <c r="O153" s="195"/>
      <c r="P153" s="195"/>
      <c r="Q153" s="195"/>
      <c r="R153" s="196"/>
    </row>
    <row r="154" spans="1:18" ht="12.75">
      <c r="A154" s="5"/>
      <c r="B154" s="5"/>
      <c r="C154" s="5"/>
      <c r="D154" s="5"/>
      <c r="E154" s="3"/>
      <c r="F154" s="4"/>
      <c r="G154" s="5"/>
      <c r="H154" s="5"/>
      <c r="I154" s="5"/>
      <c r="J154" s="4"/>
      <c r="K154" s="5"/>
      <c r="L154" s="9">
        <f>SUM(L146:L152)</f>
        <v>32890000</v>
      </c>
      <c r="M154" s="13"/>
      <c r="N154" s="5"/>
      <c r="O154" s="5"/>
      <c r="P154" s="5"/>
      <c r="Q154" s="5"/>
      <c r="R154" s="5"/>
    </row>
    <row r="155" spans="1:18" ht="12.75">
      <c r="A155" s="194" t="s">
        <v>454</v>
      </c>
      <c r="B155" s="195"/>
      <c r="C155" s="195"/>
      <c r="D155" s="195"/>
      <c r="E155" s="195"/>
      <c r="F155" s="195"/>
      <c r="G155" s="195"/>
      <c r="H155" s="195"/>
      <c r="I155" s="195"/>
      <c r="J155" s="195"/>
      <c r="K155" s="195"/>
      <c r="L155" s="195"/>
      <c r="M155" s="195"/>
      <c r="N155" s="195"/>
      <c r="O155" s="195"/>
      <c r="P155" s="195"/>
      <c r="Q155" s="195"/>
      <c r="R155" s="196"/>
    </row>
    <row r="156" spans="1:18" ht="60.75" customHeight="1">
      <c r="A156" s="5"/>
      <c r="B156" s="5" t="s">
        <v>606</v>
      </c>
      <c r="C156" s="5" t="s">
        <v>613</v>
      </c>
      <c r="D156" s="5" t="s">
        <v>769</v>
      </c>
      <c r="E156" s="3" t="s">
        <v>456</v>
      </c>
      <c r="F156" s="4" t="s">
        <v>243</v>
      </c>
      <c r="G156" s="5" t="s">
        <v>1348</v>
      </c>
      <c r="H156" s="5" t="s">
        <v>1348</v>
      </c>
      <c r="I156" s="5" t="s">
        <v>774</v>
      </c>
      <c r="J156" s="4" t="s">
        <v>240</v>
      </c>
      <c r="K156" s="5"/>
      <c r="L156" s="6">
        <v>600000</v>
      </c>
      <c r="M156" s="90" t="s">
        <v>1077</v>
      </c>
      <c r="N156" s="5" t="s">
        <v>1078</v>
      </c>
      <c r="O156" s="5" t="s">
        <v>1079</v>
      </c>
      <c r="P156" s="5" t="s">
        <v>1080</v>
      </c>
      <c r="Q156" s="5" t="s">
        <v>1081</v>
      </c>
      <c r="R156" s="5" t="s">
        <v>1076</v>
      </c>
    </row>
    <row r="157" spans="1:18" ht="12.75">
      <c r="A157" s="194" t="s">
        <v>775</v>
      </c>
      <c r="B157" s="195"/>
      <c r="C157" s="195"/>
      <c r="D157" s="195"/>
      <c r="E157" s="195"/>
      <c r="F157" s="195"/>
      <c r="G157" s="195"/>
      <c r="H157" s="195"/>
      <c r="I157" s="195"/>
      <c r="J157" s="195"/>
      <c r="K157" s="195"/>
      <c r="L157" s="195"/>
      <c r="M157" s="195"/>
      <c r="N157" s="195"/>
      <c r="O157" s="195"/>
      <c r="P157" s="195"/>
      <c r="Q157" s="195"/>
      <c r="R157" s="196"/>
    </row>
    <row r="158" spans="1:18" ht="12.75">
      <c r="A158" s="5"/>
      <c r="B158" s="5"/>
      <c r="C158" s="5"/>
      <c r="D158" s="5"/>
      <c r="E158" s="3"/>
      <c r="F158" s="4"/>
      <c r="G158" s="5"/>
      <c r="H158" s="5"/>
      <c r="I158" s="5"/>
      <c r="J158" s="4"/>
      <c r="K158" s="5"/>
      <c r="L158" s="9">
        <f>SUM(L156:L156)</f>
        <v>600000</v>
      </c>
      <c r="M158" s="13"/>
      <c r="N158" s="5"/>
      <c r="O158" s="5"/>
      <c r="P158" s="5"/>
      <c r="Q158" s="5"/>
      <c r="R158" s="5"/>
    </row>
    <row r="159" spans="1:18" ht="12.75">
      <c r="A159" s="5"/>
      <c r="B159" s="5"/>
      <c r="C159" s="5"/>
      <c r="D159" s="5"/>
      <c r="E159" s="3"/>
      <c r="F159" s="4"/>
      <c r="G159" s="5"/>
      <c r="H159" s="5"/>
      <c r="I159" s="5"/>
      <c r="J159" s="4"/>
      <c r="K159" s="5"/>
      <c r="L159" s="9" t="e">
        <f>SUM(#REF!)</f>
        <v>#REF!</v>
      </c>
      <c r="M159" s="13"/>
      <c r="N159" s="5"/>
      <c r="O159" s="5"/>
      <c r="P159" s="5"/>
      <c r="Q159" s="5"/>
      <c r="R159" s="5"/>
    </row>
    <row r="160" spans="1:18" ht="12.75">
      <c r="A160" s="194" t="s">
        <v>463</v>
      </c>
      <c r="B160" s="195"/>
      <c r="C160" s="195"/>
      <c r="D160" s="195"/>
      <c r="E160" s="195"/>
      <c r="F160" s="195"/>
      <c r="G160" s="195"/>
      <c r="H160" s="195"/>
      <c r="I160" s="195"/>
      <c r="J160" s="195"/>
      <c r="K160" s="195"/>
      <c r="L160" s="195"/>
      <c r="M160" s="195"/>
      <c r="N160" s="195"/>
      <c r="O160" s="195"/>
      <c r="P160" s="195"/>
      <c r="Q160" s="195"/>
      <c r="R160" s="196"/>
    </row>
    <row r="161" spans="1:18" ht="68.25" customHeight="1">
      <c r="A161" s="5"/>
      <c r="B161" s="2" t="s">
        <v>135</v>
      </c>
      <c r="C161" s="2" t="s">
        <v>602</v>
      </c>
      <c r="D161" s="2" t="s">
        <v>776</v>
      </c>
      <c r="E161" s="16" t="s">
        <v>465</v>
      </c>
      <c r="F161" s="8" t="s">
        <v>243</v>
      </c>
      <c r="G161" s="5" t="s">
        <v>738</v>
      </c>
      <c r="H161" s="5" t="s">
        <v>1357</v>
      </c>
      <c r="I161" s="5" t="s">
        <v>777</v>
      </c>
      <c r="J161" s="8" t="s">
        <v>240</v>
      </c>
      <c r="K161" s="5"/>
      <c r="L161" s="6">
        <v>750000</v>
      </c>
      <c r="M161" s="13" t="s">
        <v>1113</v>
      </c>
      <c r="N161" s="5" t="s">
        <v>1114</v>
      </c>
      <c r="O161" s="5" t="s">
        <v>1115</v>
      </c>
      <c r="P161" s="5" t="s">
        <v>1116</v>
      </c>
      <c r="Q161" s="5" t="s">
        <v>1117</v>
      </c>
      <c r="R161" s="5" t="s">
        <v>1118</v>
      </c>
    </row>
    <row r="162" spans="1:18" ht="67.5" customHeight="1">
      <c r="A162" s="5"/>
      <c r="B162" s="2" t="s">
        <v>135</v>
      </c>
      <c r="C162" s="2" t="s">
        <v>602</v>
      </c>
      <c r="D162" s="2" t="s">
        <v>776</v>
      </c>
      <c r="E162" s="15" t="s">
        <v>466</v>
      </c>
      <c r="F162" s="4" t="s">
        <v>245</v>
      </c>
      <c r="G162" s="5" t="s">
        <v>738</v>
      </c>
      <c r="H162" s="5" t="s">
        <v>1357</v>
      </c>
      <c r="I162" s="5" t="s">
        <v>777</v>
      </c>
      <c r="J162" s="4" t="s">
        <v>240</v>
      </c>
      <c r="K162" s="5"/>
      <c r="L162" s="6">
        <v>7000000</v>
      </c>
      <c r="M162" s="13" t="s">
        <v>1119</v>
      </c>
      <c r="N162" s="5" t="s">
        <v>1120</v>
      </c>
      <c r="O162" s="5" t="s">
        <v>1121</v>
      </c>
      <c r="P162" s="5" t="s">
        <v>1122</v>
      </c>
      <c r="Q162" s="5" t="s">
        <v>1123</v>
      </c>
      <c r="R162" s="5" t="s">
        <v>1118</v>
      </c>
    </row>
    <row r="163" spans="1:18" ht="12.75">
      <c r="A163" s="194" t="s">
        <v>778</v>
      </c>
      <c r="B163" s="195"/>
      <c r="C163" s="195"/>
      <c r="D163" s="195"/>
      <c r="E163" s="195"/>
      <c r="F163" s="195"/>
      <c r="G163" s="195"/>
      <c r="H163" s="195"/>
      <c r="I163" s="195"/>
      <c r="J163" s="195"/>
      <c r="K163" s="195"/>
      <c r="L163" s="195"/>
      <c r="M163" s="195"/>
      <c r="N163" s="195"/>
      <c r="O163" s="195"/>
      <c r="P163" s="195"/>
      <c r="Q163" s="195"/>
      <c r="R163" s="196"/>
    </row>
    <row r="164" spans="1:18" ht="12.75">
      <c r="A164" s="5"/>
      <c r="B164" s="5"/>
      <c r="C164" s="5"/>
      <c r="D164" s="5"/>
      <c r="E164" s="3"/>
      <c r="F164" s="4"/>
      <c r="G164" s="5"/>
      <c r="H164" s="5"/>
      <c r="I164" s="5"/>
      <c r="J164" s="4"/>
      <c r="K164" s="5"/>
      <c r="L164" s="9">
        <f>SUM(L161:L162)</f>
        <v>7750000</v>
      </c>
      <c r="M164" s="13"/>
      <c r="N164" s="5"/>
      <c r="O164" s="5"/>
      <c r="P164" s="5"/>
      <c r="Q164" s="5"/>
      <c r="R164" s="5"/>
    </row>
    <row r="165" spans="1:18" ht="12.75">
      <c r="A165" s="194" t="s">
        <v>467</v>
      </c>
      <c r="B165" s="195"/>
      <c r="C165" s="195"/>
      <c r="D165" s="195"/>
      <c r="E165" s="195"/>
      <c r="F165" s="195"/>
      <c r="G165" s="195"/>
      <c r="H165" s="195"/>
      <c r="I165" s="195"/>
      <c r="J165" s="195"/>
      <c r="K165" s="195"/>
      <c r="L165" s="195"/>
      <c r="M165" s="195"/>
      <c r="N165" s="195"/>
      <c r="O165" s="195"/>
      <c r="P165" s="195"/>
      <c r="Q165" s="195"/>
      <c r="R165" s="196"/>
    </row>
    <row r="166" spans="1:18" ht="112.5" customHeight="1">
      <c r="A166" s="5"/>
      <c r="B166" s="2" t="s">
        <v>779</v>
      </c>
      <c r="C166" s="2" t="s">
        <v>780</v>
      </c>
      <c r="D166" s="2" t="s">
        <v>781</v>
      </c>
      <c r="E166" s="7" t="s">
        <v>468</v>
      </c>
      <c r="F166" s="8" t="s">
        <v>243</v>
      </c>
      <c r="G166" s="5" t="s">
        <v>738</v>
      </c>
      <c r="H166" s="5" t="s">
        <v>738</v>
      </c>
      <c r="I166" s="5" t="s">
        <v>782</v>
      </c>
      <c r="J166" s="8" t="s">
        <v>240</v>
      </c>
      <c r="K166" s="5"/>
      <c r="L166" s="6">
        <v>2000000</v>
      </c>
      <c r="M166" s="5" t="s">
        <v>1047</v>
      </c>
      <c r="N166" s="5" t="s">
        <v>1047</v>
      </c>
      <c r="O166" s="5" t="s">
        <v>1048</v>
      </c>
      <c r="P166" s="5" t="s">
        <v>1049</v>
      </c>
      <c r="Q166" s="80" t="s">
        <v>1050</v>
      </c>
      <c r="R166" s="5" t="s">
        <v>1051</v>
      </c>
    </row>
    <row r="167" spans="1:18" ht="112.5" customHeight="1">
      <c r="A167" s="5"/>
      <c r="B167" s="2" t="s">
        <v>779</v>
      </c>
      <c r="C167" s="2" t="s">
        <v>780</v>
      </c>
      <c r="D167" s="2" t="s">
        <v>781</v>
      </c>
      <c r="E167" s="7" t="s">
        <v>783</v>
      </c>
      <c r="F167" s="8" t="s">
        <v>243</v>
      </c>
      <c r="G167" s="5" t="s">
        <v>738</v>
      </c>
      <c r="H167" s="5" t="s">
        <v>738</v>
      </c>
      <c r="I167" s="5" t="s">
        <v>782</v>
      </c>
      <c r="J167" s="8" t="s">
        <v>240</v>
      </c>
      <c r="K167" s="5"/>
      <c r="L167" s="6">
        <v>3000000</v>
      </c>
      <c r="M167" s="13" t="s">
        <v>1052</v>
      </c>
      <c r="N167" s="5" t="s">
        <v>1053</v>
      </c>
      <c r="O167" s="5" t="s">
        <v>1054</v>
      </c>
      <c r="P167" s="5" t="s">
        <v>1055</v>
      </c>
      <c r="Q167" s="5" t="s">
        <v>1050</v>
      </c>
      <c r="R167" s="5" t="s">
        <v>1056</v>
      </c>
    </row>
    <row r="168" spans="1:18" ht="114.75" customHeight="1">
      <c r="A168" s="5"/>
      <c r="B168" s="2" t="s">
        <v>779</v>
      </c>
      <c r="C168" s="2" t="s">
        <v>780</v>
      </c>
      <c r="D168" s="2" t="s">
        <v>781</v>
      </c>
      <c r="E168" s="7" t="s">
        <v>470</v>
      </c>
      <c r="F168" s="8" t="s">
        <v>243</v>
      </c>
      <c r="G168" s="5" t="s">
        <v>738</v>
      </c>
      <c r="H168" s="5" t="s">
        <v>738</v>
      </c>
      <c r="I168" s="5" t="s">
        <v>782</v>
      </c>
      <c r="J168" s="8" t="s">
        <v>240</v>
      </c>
      <c r="K168" s="5"/>
      <c r="L168" s="6">
        <v>1000000</v>
      </c>
      <c r="M168" s="5" t="s">
        <v>1057</v>
      </c>
      <c r="N168" s="5" t="s">
        <v>1048</v>
      </c>
      <c r="O168" s="5" t="s">
        <v>1049</v>
      </c>
      <c r="P168" s="80" t="s">
        <v>1058</v>
      </c>
      <c r="Q168" s="5" t="s">
        <v>1050</v>
      </c>
      <c r="R168" s="5" t="s">
        <v>1051</v>
      </c>
    </row>
    <row r="169" spans="1:18" ht="66" customHeight="1">
      <c r="A169" s="5"/>
      <c r="B169" s="2" t="s">
        <v>779</v>
      </c>
      <c r="C169" s="2" t="s">
        <v>780</v>
      </c>
      <c r="D169" s="2" t="s">
        <v>781</v>
      </c>
      <c r="E169" s="7" t="s">
        <v>471</v>
      </c>
      <c r="F169" s="8" t="s">
        <v>243</v>
      </c>
      <c r="G169" s="5" t="s">
        <v>738</v>
      </c>
      <c r="H169" s="5" t="s">
        <v>738</v>
      </c>
      <c r="I169" s="5" t="s">
        <v>782</v>
      </c>
      <c r="J169" s="8" t="s">
        <v>240</v>
      </c>
      <c r="K169" s="5"/>
      <c r="L169" s="6"/>
      <c r="M169" s="13" t="s">
        <v>1086</v>
      </c>
      <c r="N169" s="13" t="s">
        <v>1087</v>
      </c>
      <c r="O169" s="13" t="s">
        <v>1054</v>
      </c>
      <c r="P169" s="5" t="s">
        <v>1055</v>
      </c>
      <c r="Q169" s="13" t="s">
        <v>1088</v>
      </c>
      <c r="R169" s="13" t="s">
        <v>1089</v>
      </c>
    </row>
    <row r="170" spans="1:18" ht="169.5" customHeight="1">
      <c r="A170" s="5"/>
      <c r="B170" s="2" t="s">
        <v>779</v>
      </c>
      <c r="C170" s="2" t="s">
        <v>780</v>
      </c>
      <c r="D170" s="2" t="s">
        <v>781</v>
      </c>
      <c r="E170" s="7" t="s">
        <v>784</v>
      </c>
      <c r="F170" s="8" t="s">
        <v>243</v>
      </c>
      <c r="G170" s="5" t="s">
        <v>1359</v>
      </c>
      <c r="H170" s="5" t="s">
        <v>1358</v>
      </c>
      <c r="I170" s="5" t="s">
        <v>782</v>
      </c>
      <c r="J170" s="8" t="s">
        <v>240</v>
      </c>
      <c r="K170" s="5"/>
      <c r="L170" s="6">
        <v>1000000</v>
      </c>
      <c r="M170" s="13" t="s">
        <v>1059</v>
      </c>
      <c r="N170" s="13" t="s">
        <v>1059</v>
      </c>
      <c r="O170" s="13" t="s">
        <v>1059</v>
      </c>
      <c r="P170" s="13" t="s">
        <v>1059</v>
      </c>
      <c r="Q170" s="13" t="s">
        <v>1059</v>
      </c>
      <c r="R170" s="13" t="s">
        <v>1090</v>
      </c>
    </row>
    <row r="171" spans="1:18" ht="12.75">
      <c r="A171" s="194" t="s">
        <v>785</v>
      </c>
      <c r="B171" s="195"/>
      <c r="C171" s="195"/>
      <c r="D171" s="195"/>
      <c r="E171" s="195"/>
      <c r="F171" s="195"/>
      <c r="G171" s="195"/>
      <c r="H171" s="195"/>
      <c r="I171" s="195"/>
      <c r="J171" s="195"/>
      <c r="K171" s="195"/>
      <c r="L171" s="195"/>
      <c r="M171" s="195"/>
      <c r="N171" s="195"/>
      <c r="O171" s="195"/>
      <c r="P171" s="195"/>
      <c r="Q171" s="195"/>
      <c r="R171" s="196"/>
    </row>
    <row r="172" spans="1:18" ht="12.75">
      <c r="A172" s="5"/>
      <c r="B172" s="5"/>
      <c r="C172" s="5"/>
      <c r="D172" s="5"/>
      <c r="E172" s="3"/>
      <c r="F172" s="4"/>
      <c r="G172" s="5"/>
      <c r="H172" s="5"/>
      <c r="I172" s="5"/>
      <c r="J172" s="4"/>
      <c r="K172" s="5"/>
      <c r="L172" s="9">
        <f>SUM(L166:L170)</f>
        <v>7000000</v>
      </c>
      <c r="M172" s="13"/>
      <c r="N172" s="5"/>
      <c r="O172" s="5"/>
      <c r="P172" s="5"/>
      <c r="Q172" s="5"/>
      <c r="R172" s="5"/>
    </row>
    <row r="173" spans="1:18" ht="18.75" customHeight="1">
      <c r="A173" s="194" t="s">
        <v>478</v>
      </c>
      <c r="B173" s="195"/>
      <c r="C173" s="195"/>
      <c r="D173" s="195"/>
      <c r="E173" s="195"/>
      <c r="F173" s="195"/>
      <c r="G173" s="195"/>
      <c r="H173" s="195"/>
      <c r="I173" s="195"/>
      <c r="J173" s="195"/>
      <c r="K173" s="195"/>
      <c r="L173" s="195"/>
      <c r="M173" s="195"/>
      <c r="N173" s="195"/>
      <c r="O173" s="195"/>
      <c r="P173" s="195"/>
      <c r="Q173" s="195"/>
      <c r="R173" s="196"/>
    </row>
    <row r="174" spans="1:18" ht="105.75" customHeight="1">
      <c r="A174" s="5"/>
      <c r="B174" s="14" t="s">
        <v>606</v>
      </c>
      <c r="C174" s="15" t="s">
        <v>607</v>
      </c>
      <c r="D174" s="14" t="s">
        <v>786</v>
      </c>
      <c r="E174" s="3" t="s">
        <v>481</v>
      </c>
      <c r="F174" s="4" t="s">
        <v>243</v>
      </c>
      <c r="G174" s="5" t="s">
        <v>738</v>
      </c>
      <c r="H174" s="5" t="s">
        <v>738</v>
      </c>
      <c r="I174" s="5" t="s">
        <v>787</v>
      </c>
      <c r="J174" s="4" t="s">
        <v>482</v>
      </c>
      <c r="K174" s="5"/>
      <c r="L174" s="6">
        <v>35499000</v>
      </c>
      <c r="M174" s="13" t="s">
        <v>1220</v>
      </c>
      <c r="N174" s="5" t="s">
        <v>1198</v>
      </c>
      <c r="O174" s="2" t="s">
        <v>950</v>
      </c>
      <c r="P174" s="2" t="s">
        <v>1210</v>
      </c>
      <c r="Q174" s="5" t="s">
        <v>1221</v>
      </c>
      <c r="R174" s="5" t="s">
        <v>1218</v>
      </c>
    </row>
    <row r="175" spans="1:18" ht="113.25" customHeight="1">
      <c r="A175" s="5"/>
      <c r="B175" s="14" t="s">
        <v>606</v>
      </c>
      <c r="C175" s="15" t="s">
        <v>607</v>
      </c>
      <c r="D175" s="14" t="s">
        <v>786</v>
      </c>
      <c r="E175" s="3" t="s">
        <v>483</v>
      </c>
      <c r="F175" s="4" t="s">
        <v>243</v>
      </c>
      <c r="G175" s="5" t="s">
        <v>738</v>
      </c>
      <c r="H175" s="5" t="s">
        <v>738</v>
      </c>
      <c r="I175" s="5" t="s">
        <v>787</v>
      </c>
      <c r="J175" s="4" t="s">
        <v>482</v>
      </c>
      <c r="K175" s="5"/>
      <c r="L175" s="6">
        <v>25499000</v>
      </c>
      <c r="M175" s="13" t="s">
        <v>1219</v>
      </c>
      <c r="N175" s="5" t="s">
        <v>1200</v>
      </c>
      <c r="O175" s="2" t="s">
        <v>950</v>
      </c>
      <c r="P175" s="2" t="s">
        <v>1210</v>
      </c>
      <c r="Q175" s="5" t="s">
        <v>1221</v>
      </c>
      <c r="R175" s="5" t="s">
        <v>1218</v>
      </c>
    </row>
    <row r="176" spans="1:18" ht="103.5" customHeight="1">
      <c r="A176" s="5"/>
      <c r="B176" s="14" t="s">
        <v>606</v>
      </c>
      <c r="C176" s="15" t="s">
        <v>607</v>
      </c>
      <c r="D176" s="14" t="s">
        <v>786</v>
      </c>
      <c r="E176" s="3" t="s">
        <v>485</v>
      </c>
      <c r="F176" s="4" t="s">
        <v>243</v>
      </c>
      <c r="G176" s="5" t="s">
        <v>738</v>
      </c>
      <c r="H176" s="5">
        <v>20</v>
      </c>
      <c r="I176" s="5" t="s">
        <v>787</v>
      </c>
      <c r="J176" s="4" t="s">
        <v>482</v>
      </c>
      <c r="K176" s="5"/>
      <c r="L176" s="6">
        <v>1500000</v>
      </c>
      <c r="M176" s="13" t="s">
        <v>1219</v>
      </c>
      <c r="N176" s="5" t="s">
        <v>1201</v>
      </c>
      <c r="O176" s="2" t="s">
        <v>950</v>
      </c>
      <c r="P176" s="2" t="s">
        <v>1210</v>
      </c>
      <c r="Q176" s="5" t="s">
        <v>1221</v>
      </c>
      <c r="R176" s="5" t="s">
        <v>1218</v>
      </c>
    </row>
    <row r="177" spans="1:18" ht="161.25" customHeight="1">
      <c r="A177" s="5"/>
      <c r="B177" s="14" t="s">
        <v>606</v>
      </c>
      <c r="C177" s="15" t="s">
        <v>607</v>
      </c>
      <c r="D177" s="14" t="s">
        <v>786</v>
      </c>
      <c r="E177" s="3" t="s">
        <v>788</v>
      </c>
      <c r="F177" s="4" t="s">
        <v>243</v>
      </c>
      <c r="G177" s="5" t="s">
        <v>738</v>
      </c>
      <c r="H177" s="5" t="s">
        <v>738</v>
      </c>
      <c r="I177" s="5" t="s">
        <v>787</v>
      </c>
      <c r="J177" s="4" t="s">
        <v>482</v>
      </c>
      <c r="K177" s="5"/>
      <c r="L177" s="6">
        <v>62500000</v>
      </c>
      <c r="M177" s="13" t="s">
        <v>1204</v>
      </c>
      <c r="N177" s="5" t="s">
        <v>1205</v>
      </c>
      <c r="O177" s="2" t="s">
        <v>1206</v>
      </c>
      <c r="P177" s="2" t="s">
        <v>1211</v>
      </c>
      <c r="Q177" s="5" t="s">
        <v>1207</v>
      </c>
      <c r="R177" s="5" t="s">
        <v>1208</v>
      </c>
    </row>
    <row r="178" spans="1:18" s="178" customFormat="1" ht="66" customHeight="1">
      <c r="A178" s="2"/>
      <c r="B178" s="14" t="s">
        <v>606</v>
      </c>
      <c r="C178" s="15" t="s">
        <v>607</v>
      </c>
      <c r="D178" s="14" t="s">
        <v>786</v>
      </c>
      <c r="E178" s="3" t="s">
        <v>789</v>
      </c>
      <c r="F178" s="4" t="s">
        <v>243</v>
      </c>
      <c r="G178" s="5" t="s">
        <v>738</v>
      </c>
      <c r="H178" s="5" t="s">
        <v>738</v>
      </c>
      <c r="I178" s="2" t="s">
        <v>787</v>
      </c>
      <c r="J178" s="4" t="s">
        <v>482</v>
      </c>
      <c r="K178" s="2"/>
      <c r="L178" s="6">
        <v>5750000</v>
      </c>
      <c r="M178" s="14" t="s">
        <v>1202</v>
      </c>
      <c r="N178" s="2" t="s">
        <v>926</v>
      </c>
      <c r="O178" s="2" t="s">
        <v>1203</v>
      </c>
      <c r="P178" s="2" t="s">
        <v>1199</v>
      </c>
      <c r="Q178" s="2" t="s">
        <v>1199</v>
      </c>
      <c r="R178" s="2" t="s">
        <v>1199</v>
      </c>
    </row>
    <row r="179" spans="1:18" s="178" customFormat="1" ht="93.75" customHeight="1">
      <c r="A179" s="2"/>
      <c r="B179" s="14" t="s">
        <v>606</v>
      </c>
      <c r="C179" s="15" t="s">
        <v>607</v>
      </c>
      <c r="D179" s="14" t="s">
        <v>786</v>
      </c>
      <c r="E179" s="3" t="s">
        <v>790</v>
      </c>
      <c r="F179" s="4" t="s">
        <v>243</v>
      </c>
      <c r="G179" s="2"/>
      <c r="H179" s="2" t="s">
        <v>1360</v>
      </c>
      <c r="I179" s="2" t="s">
        <v>787</v>
      </c>
      <c r="J179" s="4" t="s">
        <v>791</v>
      </c>
      <c r="K179" s="4"/>
      <c r="L179" s="6">
        <v>16844000</v>
      </c>
      <c r="M179" s="2" t="s">
        <v>974</v>
      </c>
      <c r="N179" s="2" t="s">
        <v>975</v>
      </c>
      <c r="O179" s="2" t="s">
        <v>976</v>
      </c>
      <c r="P179" s="2" t="s">
        <v>528</v>
      </c>
      <c r="Q179" s="2" t="s">
        <v>977</v>
      </c>
      <c r="R179" s="2" t="s">
        <v>978</v>
      </c>
    </row>
    <row r="180" spans="1:18" s="178" customFormat="1" ht="129" customHeight="1">
      <c r="A180" s="2"/>
      <c r="B180" s="14" t="s">
        <v>606</v>
      </c>
      <c r="C180" s="15" t="s">
        <v>607</v>
      </c>
      <c r="D180" s="14" t="s">
        <v>786</v>
      </c>
      <c r="E180" s="3" t="s">
        <v>792</v>
      </c>
      <c r="F180" s="4" t="s">
        <v>243</v>
      </c>
      <c r="G180" s="2"/>
      <c r="H180" s="2">
        <v>11</v>
      </c>
      <c r="I180" s="2" t="s">
        <v>787</v>
      </c>
      <c r="J180" s="4" t="s">
        <v>791</v>
      </c>
      <c r="K180" s="4"/>
      <c r="L180" s="6">
        <v>5767000</v>
      </c>
      <c r="M180" s="2" t="s">
        <v>979</v>
      </c>
      <c r="N180" s="2" t="s">
        <v>980</v>
      </c>
      <c r="O180" s="2" t="s">
        <v>528</v>
      </c>
      <c r="P180" s="2" t="s">
        <v>528</v>
      </c>
      <c r="Q180" s="2" t="s">
        <v>981</v>
      </c>
      <c r="R180" s="2" t="s">
        <v>978</v>
      </c>
    </row>
    <row r="181" spans="1:18" s="178" customFormat="1" ht="93.75" customHeight="1">
      <c r="A181" s="2"/>
      <c r="B181" s="14" t="s">
        <v>606</v>
      </c>
      <c r="C181" s="15" t="s">
        <v>607</v>
      </c>
      <c r="D181" s="14" t="s">
        <v>786</v>
      </c>
      <c r="E181" s="3" t="s">
        <v>793</v>
      </c>
      <c r="F181" s="4" t="s">
        <v>243</v>
      </c>
      <c r="G181" s="2"/>
      <c r="H181" s="2">
        <v>22</v>
      </c>
      <c r="I181" s="2" t="s">
        <v>787</v>
      </c>
      <c r="J181" s="4" t="s">
        <v>791</v>
      </c>
      <c r="K181" s="4"/>
      <c r="L181" s="6">
        <v>20476000</v>
      </c>
      <c r="M181" s="2" t="s">
        <v>982</v>
      </c>
      <c r="N181" s="2" t="s">
        <v>983</v>
      </c>
      <c r="O181" s="2" t="s">
        <v>528</v>
      </c>
      <c r="P181" s="2" t="s">
        <v>528</v>
      </c>
      <c r="Q181" s="2" t="s">
        <v>984</v>
      </c>
      <c r="R181" s="2" t="s">
        <v>978</v>
      </c>
    </row>
    <row r="182" spans="1:18" s="178" customFormat="1" ht="93.75" customHeight="1">
      <c r="A182" s="2"/>
      <c r="B182" s="14" t="s">
        <v>606</v>
      </c>
      <c r="C182" s="15" t="s">
        <v>607</v>
      </c>
      <c r="D182" s="14" t="s">
        <v>786</v>
      </c>
      <c r="E182" s="3" t="s">
        <v>793</v>
      </c>
      <c r="F182" s="4" t="s">
        <v>243</v>
      </c>
      <c r="G182" s="2" t="s">
        <v>738</v>
      </c>
      <c r="H182" s="2" t="s">
        <v>1357</v>
      </c>
      <c r="I182" s="2" t="s">
        <v>787</v>
      </c>
      <c r="J182" s="4" t="s">
        <v>794</v>
      </c>
      <c r="K182" s="2"/>
      <c r="L182" s="6">
        <v>7700000</v>
      </c>
      <c r="M182" s="2" t="s">
        <v>982</v>
      </c>
      <c r="N182" s="2" t="s">
        <v>983</v>
      </c>
      <c r="O182" s="2" t="s">
        <v>528</v>
      </c>
      <c r="P182" s="2" t="s">
        <v>528</v>
      </c>
      <c r="Q182" s="2" t="s">
        <v>984</v>
      </c>
      <c r="R182" s="2" t="s">
        <v>978</v>
      </c>
    </row>
    <row r="183" spans="1:18" s="178" customFormat="1" ht="132" customHeight="1">
      <c r="A183" s="2"/>
      <c r="B183" s="14" t="s">
        <v>606</v>
      </c>
      <c r="C183" s="15" t="s">
        <v>607</v>
      </c>
      <c r="D183" s="14" t="s">
        <v>786</v>
      </c>
      <c r="E183" s="3" t="s">
        <v>795</v>
      </c>
      <c r="F183" s="4" t="s">
        <v>243</v>
      </c>
      <c r="G183" s="2" t="s">
        <v>1348</v>
      </c>
      <c r="H183" s="2" t="s">
        <v>1348</v>
      </c>
      <c r="I183" s="2" t="s">
        <v>787</v>
      </c>
      <c r="J183" s="4" t="s">
        <v>791</v>
      </c>
      <c r="K183" s="2"/>
      <c r="L183" s="6">
        <v>7792000</v>
      </c>
      <c r="M183" s="2" t="s">
        <v>985</v>
      </c>
      <c r="N183" s="2" t="s">
        <v>986</v>
      </c>
      <c r="O183" s="2" t="s">
        <v>1212</v>
      </c>
      <c r="P183" s="2" t="s">
        <v>528</v>
      </c>
      <c r="Q183" s="2" t="s">
        <v>987</v>
      </c>
      <c r="R183" s="2" t="s">
        <v>978</v>
      </c>
    </row>
    <row r="184" spans="1:18" s="178" customFormat="1" ht="112.5" customHeight="1">
      <c r="A184" s="2"/>
      <c r="B184" s="14" t="s">
        <v>606</v>
      </c>
      <c r="C184" s="15" t="s">
        <v>607</v>
      </c>
      <c r="D184" s="14" t="s">
        <v>786</v>
      </c>
      <c r="E184" s="3" t="s">
        <v>796</v>
      </c>
      <c r="F184" s="4" t="s">
        <v>243</v>
      </c>
      <c r="G184" s="2" t="s">
        <v>1348</v>
      </c>
      <c r="H184" s="2" t="s">
        <v>1348</v>
      </c>
      <c r="I184" s="2" t="s">
        <v>787</v>
      </c>
      <c r="J184" s="4" t="s">
        <v>791</v>
      </c>
      <c r="K184" s="2"/>
      <c r="L184" s="6">
        <v>10925000</v>
      </c>
      <c r="M184" s="2" t="s">
        <v>528</v>
      </c>
      <c r="N184" s="2" t="s">
        <v>988</v>
      </c>
      <c r="O184" s="2" t="s">
        <v>989</v>
      </c>
      <c r="P184" s="2" t="s">
        <v>528</v>
      </c>
      <c r="Q184" s="2" t="s">
        <v>990</v>
      </c>
      <c r="R184" s="2" t="s">
        <v>978</v>
      </c>
    </row>
    <row r="185" spans="1:18" s="178" customFormat="1" ht="144.75" customHeight="1">
      <c r="A185" s="2"/>
      <c r="B185" s="14" t="s">
        <v>606</v>
      </c>
      <c r="C185" s="15" t="s">
        <v>607</v>
      </c>
      <c r="D185" s="14" t="s">
        <v>786</v>
      </c>
      <c r="E185" s="3" t="s">
        <v>492</v>
      </c>
      <c r="F185" s="4"/>
      <c r="G185" s="2" t="s">
        <v>1348</v>
      </c>
      <c r="H185" s="2" t="s">
        <v>1348</v>
      </c>
      <c r="I185" s="2" t="s">
        <v>787</v>
      </c>
      <c r="J185" s="4" t="s">
        <v>791</v>
      </c>
      <c r="K185" s="2"/>
      <c r="L185" s="6">
        <v>14950000</v>
      </c>
      <c r="M185" s="2" t="s">
        <v>528</v>
      </c>
      <c r="N185" s="2" t="s">
        <v>528</v>
      </c>
      <c r="O185" s="2" t="s">
        <v>991</v>
      </c>
      <c r="P185" s="2" t="s">
        <v>992</v>
      </c>
      <c r="Q185" s="2" t="s">
        <v>993</v>
      </c>
      <c r="R185" s="2" t="s">
        <v>978</v>
      </c>
    </row>
    <row r="186" spans="1:18" s="178" customFormat="1" ht="159.75" customHeight="1">
      <c r="A186" s="2"/>
      <c r="B186" s="14" t="s">
        <v>606</v>
      </c>
      <c r="C186" s="15" t="s">
        <v>607</v>
      </c>
      <c r="D186" s="14" t="s">
        <v>786</v>
      </c>
      <c r="E186" s="3" t="s">
        <v>493</v>
      </c>
      <c r="F186" s="4"/>
      <c r="G186" s="2" t="s">
        <v>1348</v>
      </c>
      <c r="H186" s="2" t="s">
        <v>1348</v>
      </c>
      <c r="I186" s="2" t="s">
        <v>787</v>
      </c>
      <c r="J186" s="4" t="s">
        <v>794</v>
      </c>
      <c r="K186" s="2"/>
      <c r="L186" s="6">
        <v>20834000</v>
      </c>
      <c r="M186" s="2" t="s">
        <v>528</v>
      </c>
      <c r="N186" s="2" t="s">
        <v>528</v>
      </c>
      <c r="O186" s="2" t="s">
        <v>994</v>
      </c>
      <c r="P186" s="2" t="s">
        <v>995</v>
      </c>
      <c r="Q186" s="2" t="s">
        <v>996</v>
      </c>
      <c r="R186" s="2" t="s">
        <v>978</v>
      </c>
    </row>
    <row r="187" spans="1:18" s="178" customFormat="1" ht="154.5" customHeight="1">
      <c r="A187" s="2"/>
      <c r="B187" s="14" t="s">
        <v>606</v>
      </c>
      <c r="C187" s="15" t="s">
        <v>607</v>
      </c>
      <c r="D187" s="14" t="s">
        <v>786</v>
      </c>
      <c r="E187" s="3" t="s">
        <v>493</v>
      </c>
      <c r="F187" s="4"/>
      <c r="G187" s="2" t="s">
        <v>1348</v>
      </c>
      <c r="H187" s="2" t="s">
        <v>1348</v>
      </c>
      <c r="I187" s="2" t="s">
        <v>787</v>
      </c>
      <c r="J187" s="4" t="s">
        <v>791</v>
      </c>
      <c r="K187" s="2"/>
      <c r="L187" s="6">
        <v>7916000</v>
      </c>
      <c r="M187" s="2" t="s">
        <v>528</v>
      </c>
      <c r="N187" s="2" t="s">
        <v>528</v>
      </c>
      <c r="O187" s="2" t="s">
        <v>994</v>
      </c>
      <c r="P187" s="2" t="s">
        <v>995</v>
      </c>
      <c r="Q187" s="2" t="s">
        <v>996</v>
      </c>
      <c r="R187" s="2" t="s">
        <v>978</v>
      </c>
    </row>
    <row r="188" spans="1:18" s="178" customFormat="1" ht="119.25" customHeight="1">
      <c r="A188" s="2"/>
      <c r="B188" s="14" t="s">
        <v>606</v>
      </c>
      <c r="C188" s="15" t="s">
        <v>607</v>
      </c>
      <c r="D188" s="14" t="s">
        <v>786</v>
      </c>
      <c r="E188" s="3" t="s">
        <v>494</v>
      </c>
      <c r="F188" s="4"/>
      <c r="G188" s="2" t="s">
        <v>738</v>
      </c>
      <c r="H188" s="2" t="s">
        <v>738</v>
      </c>
      <c r="I188" s="2" t="s">
        <v>787</v>
      </c>
      <c r="J188" s="4" t="s">
        <v>791</v>
      </c>
      <c r="K188" s="2"/>
      <c r="L188" s="6">
        <v>4025000</v>
      </c>
      <c r="M188" s="2" t="s">
        <v>528</v>
      </c>
      <c r="N188" s="2" t="s">
        <v>997</v>
      </c>
      <c r="O188" s="2" t="s">
        <v>998</v>
      </c>
      <c r="P188" s="2" t="s">
        <v>528</v>
      </c>
      <c r="Q188" s="2" t="s">
        <v>999</v>
      </c>
      <c r="R188" s="2" t="s">
        <v>978</v>
      </c>
    </row>
    <row r="189" spans="1:18" s="178" customFormat="1" ht="66" customHeight="1">
      <c r="A189" s="2"/>
      <c r="B189" s="14" t="s">
        <v>606</v>
      </c>
      <c r="C189" s="15" t="s">
        <v>607</v>
      </c>
      <c r="D189" s="14" t="s">
        <v>786</v>
      </c>
      <c r="E189" s="3" t="s">
        <v>797</v>
      </c>
      <c r="F189" s="4" t="s">
        <v>243</v>
      </c>
      <c r="G189" s="2" t="s">
        <v>738</v>
      </c>
      <c r="H189" s="2" t="s">
        <v>738</v>
      </c>
      <c r="I189" s="2" t="s">
        <v>787</v>
      </c>
      <c r="J189" s="4" t="s">
        <v>791</v>
      </c>
      <c r="K189" s="2"/>
      <c r="L189" s="6">
        <v>1000000</v>
      </c>
      <c r="M189" s="2" t="s">
        <v>1000</v>
      </c>
      <c r="N189" s="2" t="s">
        <v>1001</v>
      </c>
      <c r="O189" s="2" t="s">
        <v>1001</v>
      </c>
      <c r="P189" s="2" t="s">
        <v>1001</v>
      </c>
      <c r="Q189" s="2" t="s">
        <v>1002</v>
      </c>
      <c r="R189" s="2" t="s">
        <v>1003</v>
      </c>
    </row>
    <row r="190" spans="1:18" s="178" customFormat="1" ht="66" customHeight="1">
      <c r="A190" s="2"/>
      <c r="B190" s="14" t="s">
        <v>606</v>
      </c>
      <c r="C190" s="15" t="s">
        <v>607</v>
      </c>
      <c r="D190" s="14" t="s">
        <v>786</v>
      </c>
      <c r="E190" s="3" t="s">
        <v>798</v>
      </c>
      <c r="F190" s="4" t="s">
        <v>243</v>
      </c>
      <c r="G190" s="2" t="s">
        <v>738</v>
      </c>
      <c r="H190" s="2" t="s">
        <v>738</v>
      </c>
      <c r="I190" s="2" t="s">
        <v>787</v>
      </c>
      <c r="J190" s="4" t="s">
        <v>791</v>
      </c>
      <c r="K190" s="2"/>
      <c r="L190" s="6">
        <v>400000</v>
      </c>
      <c r="M190" s="2" t="s">
        <v>1004</v>
      </c>
      <c r="N190" s="2" t="s">
        <v>1004</v>
      </c>
      <c r="O190" s="2" t="s">
        <v>1004</v>
      </c>
      <c r="P190" s="2" t="s">
        <v>1004</v>
      </c>
      <c r="Q190" s="2" t="s">
        <v>1005</v>
      </c>
      <c r="R190" s="2" t="s">
        <v>1003</v>
      </c>
    </row>
    <row r="191" spans="1:18" s="178" customFormat="1" ht="66" customHeight="1">
      <c r="A191" s="2"/>
      <c r="B191" s="14" t="s">
        <v>606</v>
      </c>
      <c r="C191" s="15" t="s">
        <v>607</v>
      </c>
      <c r="D191" s="14" t="s">
        <v>786</v>
      </c>
      <c r="E191" s="3" t="s">
        <v>799</v>
      </c>
      <c r="F191" s="4" t="s">
        <v>243</v>
      </c>
      <c r="G191" s="2" t="s">
        <v>738</v>
      </c>
      <c r="H191" s="2" t="s">
        <v>738</v>
      </c>
      <c r="I191" s="2" t="s">
        <v>787</v>
      </c>
      <c r="J191" s="4" t="s">
        <v>791</v>
      </c>
      <c r="K191" s="2"/>
      <c r="L191" s="6">
        <v>300000</v>
      </c>
      <c r="M191" s="2" t="s">
        <v>1004</v>
      </c>
      <c r="N191" s="2" t="s">
        <v>1004</v>
      </c>
      <c r="O191" s="2" t="s">
        <v>1004</v>
      </c>
      <c r="P191" s="2" t="s">
        <v>1004</v>
      </c>
      <c r="Q191" s="2" t="s">
        <v>1005</v>
      </c>
      <c r="R191" s="2" t="s">
        <v>1003</v>
      </c>
    </row>
    <row r="192" spans="1:18" s="178" customFormat="1" ht="132.75" customHeight="1">
      <c r="A192" s="2"/>
      <c r="B192" s="14" t="s">
        <v>606</v>
      </c>
      <c r="C192" s="15" t="s">
        <v>607</v>
      </c>
      <c r="D192" s="14" t="s">
        <v>786</v>
      </c>
      <c r="E192" s="3" t="s">
        <v>800</v>
      </c>
      <c r="F192" s="4" t="s">
        <v>243</v>
      </c>
      <c r="G192" s="2" t="s">
        <v>738</v>
      </c>
      <c r="H192" s="2" t="s">
        <v>738</v>
      </c>
      <c r="I192" s="2" t="s">
        <v>787</v>
      </c>
      <c r="J192" s="4" t="s">
        <v>791</v>
      </c>
      <c r="K192" s="2"/>
      <c r="L192" s="6">
        <v>8855000</v>
      </c>
      <c r="M192" s="2" t="s">
        <v>1006</v>
      </c>
      <c r="N192" s="2" t="s">
        <v>1007</v>
      </c>
      <c r="O192" s="2" t="s">
        <v>528</v>
      </c>
      <c r="P192" s="2" t="s">
        <v>528</v>
      </c>
      <c r="Q192" s="2" t="s">
        <v>1008</v>
      </c>
      <c r="R192" s="2" t="s">
        <v>978</v>
      </c>
    </row>
    <row r="193" spans="1:18" s="178" customFormat="1" ht="79.5" customHeight="1">
      <c r="A193" s="2"/>
      <c r="B193" s="14" t="s">
        <v>606</v>
      </c>
      <c r="C193" s="15" t="s">
        <v>607</v>
      </c>
      <c r="D193" s="14" t="s">
        <v>786</v>
      </c>
      <c r="E193" s="3" t="s">
        <v>801</v>
      </c>
      <c r="F193" s="4" t="s">
        <v>243</v>
      </c>
      <c r="G193" s="2" t="s">
        <v>738</v>
      </c>
      <c r="H193" s="2" t="s">
        <v>738</v>
      </c>
      <c r="I193" s="2" t="s">
        <v>787</v>
      </c>
      <c r="J193" s="4" t="s">
        <v>791</v>
      </c>
      <c r="K193" s="2"/>
      <c r="L193" s="6">
        <v>5750000</v>
      </c>
      <c r="M193" s="2" t="s">
        <v>1009</v>
      </c>
      <c r="N193" s="2" t="s">
        <v>1010</v>
      </c>
      <c r="O193" s="2" t="s">
        <v>528</v>
      </c>
      <c r="P193" s="2" t="s">
        <v>528</v>
      </c>
      <c r="Q193" s="2" t="s">
        <v>1011</v>
      </c>
      <c r="R193" s="2" t="s">
        <v>978</v>
      </c>
    </row>
    <row r="194" spans="1:18" s="178" customFormat="1" ht="89.25" customHeight="1">
      <c r="A194" s="2"/>
      <c r="B194" s="14" t="s">
        <v>606</v>
      </c>
      <c r="C194" s="15" t="s">
        <v>607</v>
      </c>
      <c r="D194" s="14" t="s">
        <v>786</v>
      </c>
      <c r="E194" s="3" t="s">
        <v>499</v>
      </c>
      <c r="F194" s="4" t="s">
        <v>243</v>
      </c>
      <c r="G194" s="2" t="s">
        <v>738</v>
      </c>
      <c r="H194" s="2" t="s">
        <v>738</v>
      </c>
      <c r="I194" s="2" t="s">
        <v>787</v>
      </c>
      <c r="J194" s="4" t="s">
        <v>500</v>
      </c>
      <c r="K194" s="2"/>
      <c r="L194" s="6">
        <v>165000000</v>
      </c>
      <c r="M194" s="2" t="s">
        <v>1209</v>
      </c>
      <c r="N194" s="2" t="s">
        <v>1213</v>
      </c>
      <c r="O194" s="2" t="s">
        <v>1214</v>
      </c>
      <c r="P194" s="2" t="s">
        <v>1215</v>
      </c>
      <c r="Q194" s="2" t="s">
        <v>1216</v>
      </c>
      <c r="R194" s="2" t="s">
        <v>1217</v>
      </c>
    </row>
    <row r="195" spans="1:18" ht="12.75">
      <c r="A195" s="194" t="s">
        <v>802</v>
      </c>
      <c r="B195" s="195"/>
      <c r="C195" s="195"/>
      <c r="D195" s="195"/>
      <c r="E195" s="195"/>
      <c r="F195" s="195"/>
      <c r="G195" s="195"/>
      <c r="H195" s="195"/>
      <c r="I195" s="195"/>
      <c r="J195" s="195"/>
      <c r="K195" s="195"/>
      <c r="L195" s="195"/>
      <c r="M195" s="195"/>
      <c r="N195" s="195"/>
      <c r="O195" s="195"/>
      <c r="P195" s="195"/>
      <c r="Q195" s="195"/>
      <c r="R195" s="196"/>
    </row>
    <row r="196" spans="1:18" ht="12.75">
      <c r="A196" s="5"/>
      <c r="B196" s="5"/>
      <c r="C196" s="5"/>
      <c r="D196" s="5"/>
      <c r="E196" s="3"/>
      <c r="F196" s="4"/>
      <c r="G196" s="5"/>
      <c r="H196" s="5"/>
      <c r="I196" s="5"/>
      <c r="J196" s="4"/>
      <c r="K196" s="5"/>
      <c r="L196" s="9">
        <f>SUM(L174:L194)</f>
        <v>429282000</v>
      </c>
      <c r="M196" s="13"/>
      <c r="N196" s="5"/>
      <c r="O196" s="5"/>
      <c r="P196" s="5"/>
      <c r="Q196" s="5"/>
      <c r="R196" s="5"/>
    </row>
    <row r="197" spans="1:18" ht="12.75">
      <c r="A197" s="194" t="s">
        <v>501</v>
      </c>
      <c r="B197" s="195"/>
      <c r="C197" s="195"/>
      <c r="D197" s="195"/>
      <c r="E197" s="195"/>
      <c r="F197" s="195"/>
      <c r="G197" s="195"/>
      <c r="H197" s="195"/>
      <c r="I197" s="195"/>
      <c r="J197" s="195"/>
      <c r="K197" s="195"/>
      <c r="L197" s="195"/>
      <c r="M197" s="195"/>
      <c r="N197" s="195"/>
      <c r="O197" s="195"/>
      <c r="P197" s="195"/>
      <c r="Q197" s="195"/>
      <c r="R197" s="196"/>
    </row>
    <row r="198" spans="1:18" ht="113.25" customHeight="1">
      <c r="A198" s="5"/>
      <c r="B198" s="2" t="s">
        <v>193</v>
      </c>
      <c r="C198" s="2" t="s">
        <v>602</v>
      </c>
      <c r="D198" s="2" t="s">
        <v>803</v>
      </c>
      <c r="E198" s="15" t="s">
        <v>502</v>
      </c>
      <c r="F198" s="4" t="s">
        <v>245</v>
      </c>
      <c r="G198" s="5" t="s">
        <v>1348</v>
      </c>
      <c r="H198" s="5" t="s">
        <v>1348</v>
      </c>
      <c r="I198" s="5" t="s">
        <v>804</v>
      </c>
      <c r="J198" s="4" t="s">
        <v>240</v>
      </c>
      <c r="K198" s="5"/>
      <c r="L198" s="6">
        <v>8500000</v>
      </c>
      <c r="M198" s="5" t="s">
        <v>1166</v>
      </c>
      <c r="N198" s="5" t="s">
        <v>1167</v>
      </c>
      <c r="O198" s="5" t="s">
        <v>1168</v>
      </c>
      <c r="P198" s="5" t="s">
        <v>1169</v>
      </c>
      <c r="Q198" s="5" t="s">
        <v>1170</v>
      </c>
      <c r="R198" s="5" t="s">
        <v>978</v>
      </c>
    </row>
    <row r="199" spans="1:18" ht="12.75">
      <c r="A199" s="194" t="s">
        <v>805</v>
      </c>
      <c r="B199" s="195"/>
      <c r="C199" s="195"/>
      <c r="D199" s="195"/>
      <c r="E199" s="195"/>
      <c r="F199" s="195"/>
      <c r="G199" s="195"/>
      <c r="H199" s="195"/>
      <c r="I199" s="195"/>
      <c r="J199" s="195"/>
      <c r="K199" s="195"/>
      <c r="L199" s="195"/>
      <c r="M199" s="195"/>
      <c r="N199" s="195"/>
      <c r="O199" s="195"/>
      <c r="P199" s="195"/>
      <c r="Q199" s="195"/>
      <c r="R199" s="196"/>
    </row>
    <row r="200" spans="1:18" ht="21" customHeight="1">
      <c r="A200" s="5"/>
      <c r="B200" s="5"/>
      <c r="C200" s="5"/>
      <c r="D200" s="5"/>
      <c r="E200" s="36" t="s">
        <v>806</v>
      </c>
      <c r="F200" s="37" t="s">
        <v>503</v>
      </c>
      <c r="G200" s="5"/>
      <c r="H200" s="5"/>
      <c r="I200" s="5"/>
      <c r="J200" s="37"/>
      <c r="K200" s="5"/>
      <c r="L200" s="38">
        <f>SUM(L198)</f>
        <v>8500000</v>
      </c>
      <c r="M200" s="13"/>
      <c r="N200" s="5"/>
      <c r="O200" s="5"/>
      <c r="P200" s="5"/>
      <c r="Q200" s="5"/>
      <c r="R200" s="5"/>
    </row>
  </sheetData>
  <sheetProtection/>
  <mergeCells count="49">
    <mergeCell ref="L1:L2"/>
    <mergeCell ref="G1:G2"/>
    <mergeCell ref="H1:H2"/>
    <mergeCell ref="I1:I2"/>
    <mergeCell ref="J1:J2"/>
    <mergeCell ref="K1:K2"/>
    <mergeCell ref="A64:R64"/>
    <mergeCell ref="A24:R24"/>
    <mergeCell ref="A1:A2"/>
    <mergeCell ref="B1:B2"/>
    <mergeCell ref="C1:C2"/>
    <mergeCell ref="A18:R18"/>
    <mergeCell ref="A20:R20"/>
    <mergeCell ref="D1:D2"/>
    <mergeCell ref="E1:E2"/>
    <mergeCell ref="F1:F2"/>
    <mergeCell ref="M1:P1"/>
    <mergeCell ref="Q1:Q2"/>
    <mergeCell ref="R1:R2"/>
    <mergeCell ref="A3:R3"/>
    <mergeCell ref="A6:R6"/>
    <mergeCell ref="A8:R8"/>
    <mergeCell ref="A155:R155"/>
    <mergeCell ref="A157:R157"/>
    <mergeCell ref="A160:R160"/>
    <mergeCell ref="A163:R163"/>
    <mergeCell ref="A26:R26"/>
    <mergeCell ref="A62:R62"/>
    <mergeCell ref="A127:R127"/>
    <mergeCell ref="A89:R89"/>
    <mergeCell ref="A91:R91"/>
    <mergeCell ref="A95:R95"/>
    <mergeCell ref="A97:R97"/>
    <mergeCell ref="A115:R115"/>
    <mergeCell ref="A117:R117"/>
    <mergeCell ref="A119:R119"/>
    <mergeCell ref="A121:R121"/>
    <mergeCell ref="A125:R125"/>
    <mergeCell ref="A135:R135"/>
    <mergeCell ref="A137:R137"/>
    <mergeCell ref="A143:R143"/>
    <mergeCell ref="A145:R145"/>
    <mergeCell ref="A153:R153"/>
    <mergeCell ref="A195:R195"/>
    <mergeCell ref="A197:R197"/>
    <mergeCell ref="A199:R199"/>
    <mergeCell ref="A165:R165"/>
    <mergeCell ref="A171:R171"/>
    <mergeCell ref="A173:R173"/>
  </mergeCells>
  <printOptions/>
  <pageMargins left="0.7" right="0.7" top="0.75" bottom="0.75" header="0.3" footer="0.3"/>
  <pageSetup horizontalDpi="600" verticalDpi="600" orientation="landscape" paperSize="8" scale="63" r:id="rId1"/>
</worksheet>
</file>

<file path=xl/worksheets/sheet11.xml><?xml version="1.0" encoding="utf-8"?>
<worksheet xmlns="http://schemas.openxmlformats.org/spreadsheetml/2006/main" xmlns:r="http://schemas.openxmlformats.org/officeDocument/2006/relationships">
  <dimension ref="A1:I23"/>
  <sheetViews>
    <sheetView view="pageBreakPreview" zoomScaleSheetLayoutView="100" zoomScalePageLayoutView="0" workbookViewId="0" topLeftCell="A1">
      <selection activeCell="B1" sqref="B1:I22"/>
    </sheetView>
  </sheetViews>
  <sheetFormatPr defaultColWidth="9.140625" defaultRowHeight="15"/>
  <sheetData>
    <row r="1" spans="1:9" ht="15">
      <c r="A1" s="209" t="s">
        <v>527</v>
      </c>
      <c r="B1" s="210"/>
      <c r="C1" s="210"/>
      <c r="D1" s="210"/>
      <c r="E1" s="210"/>
      <c r="F1" s="210"/>
      <c r="G1" s="210"/>
      <c r="H1" s="210"/>
      <c r="I1" s="210"/>
    </row>
    <row r="2" spans="1:9" ht="15">
      <c r="A2" s="209"/>
      <c r="B2" s="210"/>
      <c r="C2" s="210"/>
      <c r="D2" s="210"/>
      <c r="E2" s="210"/>
      <c r="F2" s="210"/>
      <c r="G2" s="210"/>
      <c r="H2" s="210"/>
      <c r="I2" s="210"/>
    </row>
    <row r="3" spans="1:9" ht="15">
      <c r="A3" s="209"/>
      <c r="B3" s="210"/>
      <c r="C3" s="210"/>
      <c r="D3" s="210"/>
      <c r="E3" s="210"/>
      <c r="F3" s="210"/>
      <c r="G3" s="210"/>
      <c r="H3" s="210"/>
      <c r="I3" s="210"/>
    </row>
    <row r="4" spans="1:9" ht="15">
      <c r="A4" s="209"/>
      <c r="B4" s="210"/>
      <c r="C4" s="210"/>
      <c r="D4" s="210"/>
      <c r="E4" s="210"/>
      <c r="F4" s="210"/>
      <c r="G4" s="210"/>
      <c r="H4" s="210"/>
      <c r="I4" s="210"/>
    </row>
    <row r="5" spans="1:9" ht="15">
      <c r="A5" s="209"/>
      <c r="B5" s="210"/>
      <c r="C5" s="210"/>
      <c r="D5" s="210"/>
      <c r="E5" s="210"/>
      <c r="F5" s="210"/>
      <c r="G5" s="210"/>
      <c r="H5" s="210"/>
      <c r="I5" s="210"/>
    </row>
    <row r="6" spans="1:9" ht="15">
      <c r="A6" s="209"/>
      <c r="B6" s="210"/>
      <c r="C6" s="210"/>
      <c r="D6" s="210"/>
      <c r="E6" s="210"/>
      <c r="F6" s="210"/>
      <c r="G6" s="210"/>
      <c r="H6" s="210"/>
      <c r="I6" s="210"/>
    </row>
    <row r="7" spans="1:9" ht="15">
      <c r="A7" s="209"/>
      <c r="B7" s="210"/>
      <c r="C7" s="210"/>
      <c r="D7" s="210"/>
      <c r="E7" s="210"/>
      <c r="F7" s="210"/>
      <c r="G7" s="210"/>
      <c r="H7" s="210"/>
      <c r="I7" s="210"/>
    </row>
    <row r="8" spans="1:9" ht="15">
      <c r="A8" s="209"/>
      <c r="B8" s="210"/>
      <c r="C8" s="210"/>
      <c r="D8" s="210"/>
      <c r="E8" s="210"/>
      <c r="F8" s="210"/>
      <c r="G8" s="210"/>
      <c r="H8" s="210"/>
      <c r="I8" s="210"/>
    </row>
    <row r="9" spans="1:9" ht="15">
      <c r="A9" s="209"/>
      <c r="B9" s="210"/>
      <c r="C9" s="210"/>
      <c r="D9" s="210"/>
      <c r="E9" s="210"/>
      <c r="F9" s="210"/>
      <c r="G9" s="210"/>
      <c r="H9" s="210"/>
      <c r="I9" s="210"/>
    </row>
    <row r="10" spans="1:9" ht="15">
      <c r="A10" s="209"/>
      <c r="B10" s="210"/>
      <c r="C10" s="210"/>
      <c r="D10" s="210"/>
      <c r="E10" s="210"/>
      <c r="F10" s="210"/>
      <c r="G10" s="210"/>
      <c r="H10" s="210"/>
      <c r="I10" s="210"/>
    </row>
    <row r="11" spans="1:9" ht="15">
      <c r="A11" s="209"/>
      <c r="B11" s="210"/>
      <c r="C11" s="210"/>
      <c r="D11" s="210"/>
      <c r="E11" s="210"/>
      <c r="F11" s="210"/>
      <c r="G11" s="210"/>
      <c r="H11" s="210"/>
      <c r="I11" s="210"/>
    </row>
    <row r="12" spans="1:9" ht="15">
      <c r="A12" s="209"/>
      <c r="B12" s="210"/>
      <c r="C12" s="210"/>
      <c r="D12" s="210"/>
      <c r="E12" s="210"/>
      <c r="F12" s="210"/>
      <c r="G12" s="210"/>
      <c r="H12" s="210"/>
      <c r="I12" s="210"/>
    </row>
    <row r="13" spans="1:9" ht="15">
      <c r="A13" s="209"/>
      <c r="B13" s="210"/>
      <c r="C13" s="210"/>
      <c r="D13" s="210"/>
      <c r="E13" s="210"/>
      <c r="F13" s="210"/>
      <c r="G13" s="210"/>
      <c r="H13" s="210"/>
      <c r="I13" s="210"/>
    </row>
    <row r="14" spans="1:9" ht="15">
      <c r="A14" s="209"/>
      <c r="B14" s="210"/>
      <c r="C14" s="210"/>
      <c r="D14" s="210"/>
      <c r="E14" s="210"/>
      <c r="F14" s="210"/>
      <c r="G14" s="210"/>
      <c r="H14" s="210"/>
      <c r="I14" s="210"/>
    </row>
    <row r="15" spans="1:9" ht="15">
      <c r="A15" s="209"/>
      <c r="B15" s="210"/>
      <c r="C15" s="210"/>
      <c r="D15" s="210"/>
      <c r="E15" s="210"/>
      <c r="F15" s="210"/>
      <c r="G15" s="210"/>
      <c r="H15" s="210"/>
      <c r="I15" s="210"/>
    </row>
    <row r="16" spans="1:9" ht="15">
      <c r="A16" s="209"/>
      <c r="B16" s="210"/>
      <c r="C16" s="210"/>
      <c r="D16" s="210"/>
      <c r="E16" s="210"/>
      <c r="F16" s="210"/>
      <c r="G16" s="210"/>
      <c r="H16" s="210"/>
      <c r="I16" s="210"/>
    </row>
    <row r="17" spans="1:9" ht="15">
      <c r="A17" s="209"/>
      <c r="B17" s="210"/>
      <c r="C17" s="210"/>
      <c r="D17" s="210"/>
      <c r="E17" s="210"/>
      <c r="F17" s="210"/>
      <c r="G17" s="210"/>
      <c r="H17" s="210"/>
      <c r="I17" s="210"/>
    </row>
    <row r="18" spans="1:9" ht="15">
      <c r="A18" s="209"/>
      <c r="B18" s="210"/>
      <c r="C18" s="210"/>
      <c r="D18" s="210"/>
      <c r="E18" s="210"/>
      <c r="F18" s="210"/>
      <c r="G18" s="210"/>
      <c r="H18" s="210"/>
      <c r="I18" s="210"/>
    </row>
    <row r="19" spans="1:9" ht="15">
      <c r="A19" s="209"/>
      <c r="B19" s="210"/>
      <c r="C19" s="210"/>
      <c r="D19" s="210"/>
      <c r="E19" s="210"/>
      <c r="F19" s="210"/>
      <c r="G19" s="210"/>
      <c r="H19" s="210"/>
      <c r="I19" s="210"/>
    </row>
    <row r="20" spans="1:9" ht="15">
      <c r="A20" s="209"/>
      <c r="B20" s="210"/>
      <c r="C20" s="210"/>
      <c r="D20" s="210"/>
      <c r="E20" s="210"/>
      <c r="F20" s="210"/>
      <c r="G20" s="210"/>
      <c r="H20" s="210"/>
      <c r="I20" s="210"/>
    </row>
    <row r="21" spans="1:9" ht="15">
      <c r="A21" s="209"/>
      <c r="B21" s="210"/>
      <c r="C21" s="210"/>
      <c r="D21" s="210"/>
      <c r="E21" s="210"/>
      <c r="F21" s="210"/>
      <c r="G21" s="210"/>
      <c r="H21" s="210"/>
      <c r="I21" s="210"/>
    </row>
    <row r="22" spans="1:9" ht="15">
      <c r="A22" s="209"/>
      <c r="B22" s="210"/>
      <c r="C22" s="210"/>
      <c r="D22" s="210"/>
      <c r="E22" s="210"/>
      <c r="F22" s="210"/>
      <c r="G22" s="210"/>
      <c r="H22" s="210"/>
      <c r="I22" s="210"/>
    </row>
    <row r="23" spans="1:9" ht="15">
      <c r="A23" s="1"/>
      <c r="B23" s="1"/>
      <c r="C23" s="1"/>
      <c r="D23" s="1"/>
      <c r="E23" s="1"/>
      <c r="F23" s="1"/>
      <c r="G23" s="1"/>
      <c r="H23" s="1"/>
      <c r="I23" s="1"/>
    </row>
  </sheetData>
  <sheetProtection/>
  <mergeCells count="2">
    <mergeCell ref="A1:A22"/>
    <mergeCell ref="B1:I22"/>
  </mergeCells>
  <printOptions/>
  <pageMargins left="0.7" right="0.7" top="0.75" bottom="0.75" header="0.3" footer="0.3"/>
  <pageSetup horizontalDpi="600" verticalDpi="600" orientation="portrait" paperSize="8" scale="159" r:id="rId3"/>
  <headerFooter>
    <oddHeader>&amp;C&amp;A</oddHeader>
    <oddFooter>&amp;CPage &amp;P of &amp;N</oddFooter>
  </headerFooter>
  <legacyDrawing r:id="rId2"/>
  <oleObjects>
    <oleObject progId="Word.Document.12" shapeId="77228069" r:id="rId1"/>
  </oleObjects>
</worksheet>
</file>

<file path=xl/worksheets/sheet2.xml><?xml version="1.0" encoding="utf-8"?>
<worksheet xmlns="http://schemas.openxmlformats.org/spreadsheetml/2006/main" xmlns:r="http://schemas.openxmlformats.org/officeDocument/2006/relationships">
  <dimension ref="A1:B8"/>
  <sheetViews>
    <sheetView view="pageBreakPreview" zoomScale="80" zoomScaleSheetLayoutView="80" zoomScalePageLayoutView="0" workbookViewId="0" topLeftCell="A8">
      <selection activeCell="A3" sqref="A3:B3"/>
    </sheetView>
  </sheetViews>
  <sheetFormatPr defaultColWidth="9.140625" defaultRowHeight="15"/>
  <cols>
    <col min="1" max="1" width="20.140625" style="167" customWidth="1"/>
    <col min="2" max="2" width="80.140625" style="167" customWidth="1"/>
    <col min="3" max="16384" width="9.140625" style="167" customWidth="1"/>
  </cols>
  <sheetData>
    <row r="1" spans="1:2" ht="177" customHeight="1">
      <c r="A1" s="181" t="s">
        <v>517</v>
      </c>
      <c r="B1" s="91" t="s">
        <v>518</v>
      </c>
    </row>
    <row r="2" spans="1:2" s="168" customFormat="1" ht="349.5" customHeight="1">
      <c r="A2" s="182" t="s">
        <v>519</v>
      </c>
      <c r="B2" s="27" t="s">
        <v>520</v>
      </c>
    </row>
    <row r="3" spans="1:2" s="168" customFormat="1" ht="221.25" customHeight="1">
      <c r="A3" s="182" t="s">
        <v>521</v>
      </c>
      <c r="B3" s="27" t="s">
        <v>522</v>
      </c>
    </row>
    <row r="4" spans="1:2" ht="263.25" customHeight="1">
      <c r="A4" s="183"/>
      <c r="B4" s="179"/>
    </row>
    <row r="5" spans="1:2" ht="177.75" customHeight="1">
      <c r="A5" s="182" t="s">
        <v>523</v>
      </c>
      <c r="B5" s="91" t="s">
        <v>1085</v>
      </c>
    </row>
    <row r="6" spans="1:2" ht="195" customHeight="1">
      <c r="A6" s="182" t="s">
        <v>1226</v>
      </c>
      <c r="B6" s="91" t="s">
        <v>1227</v>
      </c>
    </row>
    <row r="7" spans="1:2" ht="121.5" customHeight="1">
      <c r="A7" s="184" t="s">
        <v>524</v>
      </c>
      <c r="B7" s="180" t="s">
        <v>1228</v>
      </c>
    </row>
    <row r="8" spans="1:2" ht="409.5" customHeight="1">
      <c r="A8" s="182" t="s">
        <v>525</v>
      </c>
      <c r="B8" s="91" t="s">
        <v>526</v>
      </c>
    </row>
  </sheetData>
  <sheetProtection/>
  <printOptions/>
  <pageMargins left="0.7" right="0.7" top="0.75" bottom="0.75" header="0.3" footer="0.3"/>
  <pageSetup horizontalDpi="600" verticalDpi="600" orientation="portrait" paperSize="8" scale="130" r:id="rId2"/>
  <headerFooter>
    <oddHeader>&amp;C&amp;A</oddHeader>
    <oddFooter>&amp;CPage &amp;P of &amp;N</oddFooter>
  </headerFooter>
  <drawing r:id="rId1"/>
</worksheet>
</file>

<file path=xl/worksheets/sheet3.xml><?xml version="1.0" encoding="utf-8"?>
<worksheet xmlns="http://schemas.openxmlformats.org/spreadsheetml/2006/main" xmlns:r="http://schemas.openxmlformats.org/officeDocument/2006/relationships">
  <dimension ref="A1:Q98"/>
  <sheetViews>
    <sheetView view="pageBreakPreview" zoomScale="70" zoomScaleSheetLayoutView="70" zoomScalePageLayoutView="0" workbookViewId="0" topLeftCell="C1">
      <selection activeCell="C1" sqref="A1:IV65536"/>
    </sheetView>
  </sheetViews>
  <sheetFormatPr defaultColWidth="9.140625" defaultRowHeight="15"/>
  <cols>
    <col min="1" max="1" width="30.28125" style="80" customWidth="1"/>
    <col min="2" max="2" width="9.140625" style="39" customWidth="1"/>
    <col min="3" max="3" width="11.7109375" style="39" customWidth="1"/>
    <col min="4" max="4" width="10.8515625" style="39" customWidth="1"/>
    <col min="5" max="5" width="11.28125" style="39" customWidth="1"/>
    <col min="6" max="7" width="10.8515625" style="39" customWidth="1"/>
    <col min="8" max="8" width="11.140625" style="39" customWidth="1"/>
    <col min="9" max="9" width="10.28125" style="39" customWidth="1"/>
    <col min="10" max="10" width="10.421875" style="39" customWidth="1"/>
    <col min="11" max="11" width="10.140625" style="39" customWidth="1"/>
    <col min="12" max="12" width="9.7109375" style="39" customWidth="1"/>
    <col min="13" max="13" width="10.421875" style="39" customWidth="1"/>
    <col min="14" max="15" width="10.28125" style="39" customWidth="1"/>
    <col min="16" max="16" width="10.7109375" style="39" customWidth="1"/>
    <col min="17" max="17" width="11.140625" style="39" customWidth="1"/>
    <col min="18" max="16384" width="9.140625" style="39" customWidth="1"/>
  </cols>
  <sheetData>
    <row r="1" spans="1:17" ht="20.25" customHeight="1" thickBot="1">
      <c r="A1" s="192" t="s">
        <v>823</v>
      </c>
      <c r="B1" s="192"/>
      <c r="C1" s="192"/>
      <c r="D1" s="192"/>
      <c r="E1" s="192"/>
      <c r="F1" s="192"/>
      <c r="G1" s="192"/>
      <c r="H1" s="192"/>
      <c r="I1" s="192"/>
      <c r="J1" s="192"/>
      <c r="K1" s="192"/>
      <c r="L1" s="192"/>
      <c r="M1" s="192"/>
      <c r="N1" s="192"/>
      <c r="O1" s="192"/>
      <c r="P1" s="192"/>
      <c r="Q1" s="192"/>
    </row>
    <row r="2" spans="1:17" ht="37.5" customHeight="1" thickBot="1">
      <c r="A2" s="40" t="s">
        <v>237</v>
      </c>
      <c r="B2" s="41" t="s">
        <v>824</v>
      </c>
      <c r="C2" s="186" t="s">
        <v>825</v>
      </c>
      <c r="D2" s="187"/>
      <c r="E2" s="187"/>
      <c r="F2" s="187"/>
      <c r="G2" s="187"/>
      <c r="H2" s="187"/>
      <c r="I2" s="187"/>
      <c r="J2" s="187"/>
      <c r="K2" s="187"/>
      <c r="L2" s="187"/>
      <c r="M2" s="187"/>
      <c r="N2" s="188"/>
      <c r="O2" s="189" t="s">
        <v>807</v>
      </c>
      <c r="P2" s="190"/>
      <c r="Q2" s="191"/>
    </row>
    <row r="3" spans="1:17" ht="49.5" customHeight="1" thickBot="1">
      <c r="A3" s="42" t="s">
        <v>808</v>
      </c>
      <c r="B3" s="43"/>
      <c r="C3" s="44" t="s">
        <v>809</v>
      </c>
      <c r="D3" s="44" t="s">
        <v>810</v>
      </c>
      <c r="E3" s="44" t="s">
        <v>811</v>
      </c>
      <c r="F3" s="44" t="s">
        <v>812</v>
      </c>
      <c r="G3" s="44" t="s">
        <v>813</v>
      </c>
      <c r="H3" s="44" t="s">
        <v>814</v>
      </c>
      <c r="I3" s="44" t="s">
        <v>815</v>
      </c>
      <c r="J3" s="44" t="s">
        <v>816</v>
      </c>
      <c r="K3" s="44" t="s">
        <v>817</v>
      </c>
      <c r="L3" s="44" t="s">
        <v>818</v>
      </c>
      <c r="M3" s="44" t="s">
        <v>819</v>
      </c>
      <c r="N3" s="44" t="s">
        <v>820</v>
      </c>
      <c r="O3" s="45" t="s">
        <v>825</v>
      </c>
      <c r="P3" s="46" t="s">
        <v>826</v>
      </c>
      <c r="Q3" s="44" t="s">
        <v>827</v>
      </c>
    </row>
    <row r="4" spans="1:17" ht="23.25" customHeight="1">
      <c r="A4" s="47" t="s">
        <v>828</v>
      </c>
      <c r="B4" s="48"/>
      <c r="C4" s="49"/>
      <c r="D4" s="49"/>
      <c r="E4" s="49"/>
      <c r="F4" s="49"/>
      <c r="G4" s="49"/>
      <c r="H4" s="49"/>
      <c r="I4" s="49"/>
      <c r="J4" s="49"/>
      <c r="K4" s="49"/>
      <c r="L4" s="49"/>
      <c r="M4" s="49"/>
      <c r="N4" s="49"/>
      <c r="O4" s="50"/>
      <c r="P4" s="51"/>
      <c r="Q4" s="49"/>
    </row>
    <row r="5" spans="1:17" ht="23.25" customHeight="1">
      <c r="A5" s="52" t="s">
        <v>829</v>
      </c>
      <c r="B5" s="53"/>
      <c r="C5" s="54">
        <v>31900</v>
      </c>
      <c r="D5" s="54">
        <v>41197</v>
      </c>
      <c r="E5" s="54">
        <v>54444</v>
      </c>
      <c r="F5" s="54">
        <v>42718</v>
      </c>
      <c r="G5" s="54">
        <v>36977</v>
      </c>
      <c r="H5" s="54">
        <v>44304</v>
      </c>
      <c r="I5" s="54">
        <v>33316</v>
      </c>
      <c r="J5" s="54">
        <v>25832</v>
      </c>
      <c r="K5" s="54">
        <v>41852</v>
      </c>
      <c r="L5" s="54">
        <v>40586</v>
      </c>
      <c r="M5" s="54">
        <v>26141</v>
      </c>
      <c r="N5" s="55">
        <v>42217</v>
      </c>
      <c r="O5" s="56">
        <v>461484</v>
      </c>
      <c r="P5" s="57">
        <v>498403</v>
      </c>
      <c r="Q5" s="55">
        <v>538275</v>
      </c>
    </row>
    <row r="6" spans="1:17" ht="23.25" customHeight="1">
      <c r="A6" s="52" t="s">
        <v>830</v>
      </c>
      <c r="B6" s="53"/>
      <c r="C6" s="54">
        <v>72922</v>
      </c>
      <c r="D6" s="54">
        <v>94175</v>
      </c>
      <c r="E6" s="54">
        <v>124456</v>
      </c>
      <c r="F6" s="54">
        <v>97652</v>
      </c>
      <c r="G6" s="54">
        <v>84527</v>
      </c>
      <c r="H6" s="54">
        <v>101278</v>
      </c>
      <c r="I6" s="54">
        <v>76160</v>
      </c>
      <c r="J6" s="54">
        <v>59051</v>
      </c>
      <c r="K6" s="54">
        <v>95672</v>
      </c>
      <c r="L6" s="54">
        <v>92779</v>
      </c>
      <c r="M6" s="54">
        <v>59758</v>
      </c>
      <c r="N6" s="55">
        <v>96514</v>
      </c>
      <c r="O6" s="56">
        <v>1054944</v>
      </c>
      <c r="P6" s="57">
        <v>1155164</v>
      </c>
      <c r="Q6" s="55">
        <v>1270681</v>
      </c>
    </row>
    <row r="7" spans="1:17" ht="23.25" customHeight="1">
      <c r="A7" s="52" t="s">
        <v>831</v>
      </c>
      <c r="B7" s="53"/>
      <c r="C7" s="54">
        <v>17174</v>
      </c>
      <c r="D7" s="54">
        <v>22179</v>
      </c>
      <c r="E7" s="54">
        <v>29311</v>
      </c>
      <c r="F7" s="54">
        <v>22998</v>
      </c>
      <c r="G7" s="54">
        <v>19907</v>
      </c>
      <c r="H7" s="54">
        <v>23852</v>
      </c>
      <c r="I7" s="54">
        <v>17937</v>
      </c>
      <c r="J7" s="54">
        <v>13907</v>
      </c>
      <c r="K7" s="54">
        <v>22532</v>
      </c>
      <c r="L7" s="54">
        <v>21851</v>
      </c>
      <c r="M7" s="54">
        <v>14074</v>
      </c>
      <c r="N7" s="55">
        <v>22728</v>
      </c>
      <c r="O7" s="56">
        <v>248450</v>
      </c>
      <c r="P7" s="57">
        <v>273919</v>
      </c>
      <c r="Q7" s="55">
        <v>301309</v>
      </c>
    </row>
    <row r="8" spans="1:17" ht="23.25" customHeight="1">
      <c r="A8" s="52" t="s">
        <v>832</v>
      </c>
      <c r="B8" s="53"/>
      <c r="C8" s="54">
        <v>7088</v>
      </c>
      <c r="D8" s="54">
        <v>9153</v>
      </c>
      <c r="E8" s="54">
        <v>12096</v>
      </c>
      <c r="F8" s="54">
        <v>9491</v>
      </c>
      <c r="G8" s="54">
        <v>8215</v>
      </c>
      <c r="H8" s="54">
        <v>9843</v>
      </c>
      <c r="I8" s="54">
        <v>7402</v>
      </c>
      <c r="J8" s="54">
        <v>5739</v>
      </c>
      <c r="K8" s="54">
        <v>9299</v>
      </c>
      <c r="L8" s="54">
        <v>9017</v>
      </c>
      <c r="M8" s="54">
        <v>5808</v>
      </c>
      <c r="N8" s="55">
        <v>9377</v>
      </c>
      <c r="O8" s="56">
        <v>102528</v>
      </c>
      <c r="P8" s="57">
        <v>109193</v>
      </c>
      <c r="Q8" s="55">
        <v>116836</v>
      </c>
    </row>
    <row r="9" spans="1:17" ht="23.25" customHeight="1">
      <c r="A9" s="52" t="s">
        <v>833</v>
      </c>
      <c r="B9" s="53"/>
      <c r="C9" s="54">
        <v>7808</v>
      </c>
      <c r="D9" s="54">
        <v>10083</v>
      </c>
      <c r="E9" s="54">
        <v>13325</v>
      </c>
      <c r="F9" s="54">
        <v>10456</v>
      </c>
      <c r="G9" s="54">
        <v>9050</v>
      </c>
      <c r="H9" s="54">
        <v>10844</v>
      </c>
      <c r="I9" s="54">
        <v>8154</v>
      </c>
      <c r="J9" s="54">
        <v>6323</v>
      </c>
      <c r="K9" s="54">
        <v>10244</v>
      </c>
      <c r="L9" s="54">
        <v>9934</v>
      </c>
      <c r="M9" s="54">
        <v>6398</v>
      </c>
      <c r="N9" s="55">
        <v>10329</v>
      </c>
      <c r="O9" s="56">
        <v>112948</v>
      </c>
      <c r="P9" s="57">
        <v>120289</v>
      </c>
      <c r="Q9" s="55">
        <v>128709</v>
      </c>
    </row>
    <row r="10" spans="1:17" ht="23.25" customHeight="1">
      <c r="A10" s="52" t="s">
        <v>834</v>
      </c>
      <c r="B10" s="53"/>
      <c r="C10" s="58" t="s">
        <v>835</v>
      </c>
      <c r="D10" s="58" t="s">
        <v>835</v>
      </c>
      <c r="E10" s="58" t="s">
        <v>835</v>
      </c>
      <c r="F10" s="58" t="s">
        <v>835</v>
      </c>
      <c r="G10" s="58" t="s">
        <v>835</v>
      </c>
      <c r="H10" s="58" t="s">
        <v>835</v>
      </c>
      <c r="I10" s="58" t="s">
        <v>835</v>
      </c>
      <c r="J10" s="58" t="s">
        <v>835</v>
      </c>
      <c r="K10" s="58" t="s">
        <v>835</v>
      </c>
      <c r="L10" s="58" t="s">
        <v>835</v>
      </c>
      <c r="M10" s="58" t="s">
        <v>835</v>
      </c>
      <c r="N10" s="59" t="s">
        <v>835</v>
      </c>
      <c r="O10" s="39" t="s">
        <v>836</v>
      </c>
      <c r="P10" s="60" t="s">
        <v>836</v>
      </c>
      <c r="Q10" s="59" t="s">
        <v>836</v>
      </c>
    </row>
    <row r="11" spans="1:17" ht="23.25" customHeight="1">
      <c r="A11" s="52" t="s">
        <v>837</v>
      </c>
      <c r="B11" s="53"/>
      <c r="C11" s="54">
        <v>2579</v>
      </c>
      <c r="D11" s="54">
        <v>3330</v>
      </c>
      <c r="E11" s="54">
        <v>4401</v>
      </c>
      <c r="F11" s="54">
        <v>3453</v>
      </c>
      <c r="G11" s="54">
        <v>2989</v>
      </c>
      <c r="H11" s="54">
        <v>3581</v>
      </c>
      <c r="I11" s="54">
        <v>2693</v>
      </c>
      <c r="J11" s="54">
        <v>2088</v>
      </c>
      <c r="K11" s="54">
        <v>3383</v>
      </c>
      <c r="L11" s="54">
        <v>3281</v>
      </c>
      <c r="M11" s="54">
        <v>2113</v>
      </c>
      <c r="N11" s="55">
        <v>3406</v>
      </c>
      <c r="O11" s="56">
        <v>37297</v>
      </c>
      <c r="P11" s="57">
        <v>39382</v>
      </c>
      <c r="Q11" s="55">
        <v>41584</v>
      </c>
    </row>
    <row r="12" spans="1:17" ht="23.25" customHeight="1">
      <c r="A12" s="52" t="s">
        <v>838</v>
      </c>
      <c r="B12" s="53"/>
      <c r="C12" s="54">
        <v>3269</v>
      </c>
      <c r="D12" s="54">
        <v>4221</v>
      </c>
      <c r="E12" s="54">
        <v>5578</v>
      </c>
      <c r="F12" s="54">
        <v>4377</v>
      </c>
      <c r="G12" s="54">
        <v>3789</v>
      </c>
      <c r="H12" s="54">
        <v>4540</v>
      </c>
      <c r="I12" s="54">
        <v>3414</v>
      </c>
      <c r="J12" s="54">
        <v>2647</v>
      </c>
      <c r="K12" s="54">
        <v>4288</v>
      </c>
      <c r="L12" s="54">
        <v>4159</v>
      </c>
      <c r="M12" s="54">
        <v>2679</v>
      </c>
      <c r="N12" s="55">
        <v>4320</v>
      </c>
      <c r="O12" s="56">
        <v>47281</v>
      </c>
      <c r="P12" s="57">
        <v>49882</v>
      </c>
      <c r="Q12" s="55">
        <v>52625</v>
      </c>
    </row>
    <row r="13" spans="1:17" ht="23.25" customHeight="1">
      <c r="A13" s="52" t="s">
        <v>839</v>
      </c>
      <c r="B13" s="53"/>
      <c r="C13" s="54">
        <v>5530</v>
      </c>
      <c r="D13" s="54">
        <v>7142</v>
      </c>
      <c r="E13" s="54">
        <v>9438</v>
      </c>
      <c r="F13" s="54">
        <v>7406</v>
      </c>
      <c r="G13" s="54">
        <v>6410</v>
      </c>
      <c r="H13" s="54">
        <v>7681</v>
      </c>
      <c r="I13" s="54">
        <v>5776</v>
      </c>
      <c r="J13" s="54">
        <v>4478</v>
      </c>
      <c r="K13" s="54">
        <v>7256</v>
      </c>
      <c r="L13" s="54">
        <v>7036</v>
      </c>
      <c r="M13" s="54">
        <v>4532</v>
      </c>
      <c r="N13" s="55">
        <v>7315</v>
      </c>
      <c r="O13" s="56">
        <v>80000</v>
      </c>
      <c r="P13" s="57">
        <v>84400</v>
      </c>
      <c r="Q13" s="55">
        <v>89042</v>
      </c>
    </row>
    <row r="14" spans="1:17" ht="23.25" customHeight="1">
      <c r="A14" s="52" t="s">
        <v>840</v>
      </c>
      <c r="B14" s="53"/>
      <c r="C14" s="58" t="s">
        <v>835</v>
      </c>
      <c r="D14" s="58" t="s">
        <v>835</v>
      </c>
      <c r="E14" s="58" t="s">
        <v>835</v>
      </c>
      <c r="F14" s="58" t="s">
        <v>835</v>
      </c>
      <c r="G14" s="58" t="s">
        <v>835</v>
      </c>
      <c r="H14" s="58" t="s">
        <v>835</v>
      </c>
      <c r="I14" s="58" t="s">
        <v>835</v>
      </c>
      <c r="J14" s="58" t="s">
        <v>835</v>
      </c>
      <c r="K14" s="58" t="s">
        <v>835</v>
      </c>
      <c r="L14" s="58" t="s">
        <v>835</v>
      </c>
      <c r="M14" s="58" t="s">
        <v>835</v>
      </c>
      <c r="N14" s="59" t="s">
        <v>835</v>
      </c>
      <c r="O14" s="39" t="s">
        <v>836</v>
      </c>
      <c r="P14" s="60" t="s">
        <v>836</v>
      </c>
      <c r="Q14" s="59" t="s">
        <v>836</v>
      </c>
    </row>
    <row r="15" spans="1:17" ht="23.25" customHeight="1">
      <c r="A15" s="52" t="s">
        <v>841</v>
      </c>
      <c r="B15" s="53"/>
      <c r="C15" s="54">
        <v>1106</v>
      </c>
      <c r="D15" s="54">
        <v>1429</v>
      </c>
      <c r="E15" s="54">
        <v>1888</v>
      </c>
      <c r="F15" s="54">
        <v>1482</v>
      </c>
      <c r="G15" s="54">
        <v>1282</v>
      </c>
      <c r="H15" s="54">
        <v>1537</v>
      </c>
      <c r="I15" s="54">
        <v>1156</v>
      </c>
      <c r="J15" s="58">
        <v>896</v>
      </c>
      <c r="K15" s="54">
        <v>1452</v>
      </c>
      <c r="L15" s="54">
        <v>1408</v>
      </c>
      <c r="M15" s="58">
        <v>907</v>
      </c>
      <c r="N15" s="55">
        <v>1457</v>
      </c>
      <c r="O15" s="56">
        <v>16000</v>
      </c>
      <c r="P15" s="57">
        <v>16959</v>
      </c>
      <c r="Q15" s="55">
        <v>17979</v>
      </c>
    </row>
    <row r="16" spans="1:17" ht="23.25" customHeight="1">
      <c r="A16" s="52" t="s">
        <v>842</v>
      </c>
      <c r="B16" s="53"/>
      <c r="C16" s="54">
        <v>1030</v>
      </c>
      <c r="D16" s="54">
        <v>1330</v>
      </c>
      <c r="E16" s="54">
        <v>1757</v>
      </c>
      <c r="F16" s="54">
        <v>1379</v>
      </c>
      <c r="G16" s="54">
        <v>1194</v>
      </c>
      <c r="H16" s="54">
        <v>1430</v>
      </c>
      <c r="I16" s="54">
        <v>1075</v>
      </c>
      <c r="J16" s="58">
        <v>834</v>
      </c>
      <c r="K16" s="54">
        <v>1351</v>
      </c>
      <c r="L16" s="54">
        <v>1310</v>
      </c>
      <c r="M16" s="58">
        <v>844</v>
      </c>
      <c r="N16" s="55">
        <v>1356</v>
      </c>
      <c r="O16" s="56">
        <v>14890</v>
      </c>
      <c r="P16" s="57">
        <v>15782</v>
      </c>
      <c r="Q16" s="55">
        <v>16728</v>
      </c>
    </row>
    <row r="17" spans="1:17" ht="23.25" customHeight="1">
      <c r="A17" s="52" t="s">
        <v>843</v>
      </c>
      <c r="B17" s="53"/>
      <c r="C17" s="54">
        <v>1729</v>
      </c>
      <c r="D17" s="54">
        <v>2232</v>
      </c>
      <c r="E17" s="54">
        <v>2950</v>
      </c>
      <c r="F17" s="54">
        <v>2315</v>
      </c>
      <c r="G17" s="54">
        <v>2004</v>
      </c>
      <c r="H17" s="54">
        <v>2401</v>
      </c>
      <c r="I17" s="54">
        <v>1805</v>
      </c>
      <c r="J17" s="54">
        <v>1400</v>
      </c>
      <c r="K17" s="54">
        <v>2268</v>
      </c>
      <c r="L17" s="54">
        <v>2199</v>
      </c>
      <c r="M17" s="54">
        <v>1417</v>
      </c>
      <c r="N17" s="55">
        <v>2280</v>
      </c>
      <c r="O17" s="56">
        <v>25000</v>
      </c>
      <c r="P17" s="57">
        <v>26500</v>
      </c>
      <c r="Q17" s="55">
        <v>28090</v>
      </c>
    </row>
    <row r="18" spans="1:17" ht="23.25" customHeight="1">
      <c r="A18" s="52" t="s">
        <v>844</v>
      </c>
      <c r="B18" s="53"/>
      <c r="C18" s="54">
        <v>69731</v>
      </c>
      <c r="D18" s="54">
        <v>90054</v>
      </c>
      <c r="E18" s="54">
        <v>119010</v>
      </c>
      <c r="F18" s="54">
        <v>93379</v>
      </c>
      <c r="G18" s="54">
        <v>80828</v>
      </c>
      <c r="H18" s="54">
        <v>96846</v>
      </c>
      <c r="I18" s="54">
        <v>72827</v>
      </c>
      <c r="J18" s="54">
        <v>56467</v>
      </c>
      <c r="K18" s="54">
        <v>91485</v>
      </c>
      <c r="L18" s="54">
        <v>88719</v>
      </c>
      <c r="M18" s="54">
        <v>57143</v>
      </c>
      <c r="N18" s="55">
        <v>92291</v>
      </c>
      <c r="O18" s="56">
        <v>1008780</v>
      </c>
      <c r="P18" s="57">
        <v>1053240</v>
      </c>
      <c r="Q18" s="55">
        <v>1126485</v>
      </c>
    </row>
    <row r="19" spans="1:17" ht="23.25" customHeight="1">
      <c r="A19" s="52" t="s">
        <v>845</v>
      </c>
      <c r="B19" s="53"/>
      <c r="C19" s="54">
        <v>29375</v>
      </c>
      <c r="D19" s="54">
        <v>37936</v>
      </c>
      <c r="E19" s="54">
        <v>50134</v>
      </c>
      <c r="F19" s="54">
        <v>39336</v>
      </c>
      <c r="G19" s="54">
        <v>34049</v>
      </c>
      <c r="H19" s="54">
        <v>40797</v>
      </c>
      <c r="I19" s="54">
        <v>30679</v>
      </c>
      <c r="J19" s="54">
        <v>23787</v>
      </c>
      <c r="K19" s="54">
        <v>38539</v>
      </c>
      <c r="L19" s="54">
        <v>37374</v>
      </c>
      <c r="M19" s="54">
        <v>24072</v>
      </c>
      <c r="N19" s="55">
        <v>38874</v>
      </c>
      <c r="O19" s="56">
        <v>424952</v>
      </c>
      <c r="P19" s="57">
        <v>442169</v>
      </c>
      <c r="Q19" s="55">
        <v>420119</v>
      </c>
    </row>
    <row r="20" spans="1:17" ht="23.25" customHeight="1" thickBot="1">
      <c r="A20" s="52" t="s">
        <v>846</v>
      </c>
      <c r="B20" s="53"/>
      <c r="C20" s="58"/>
      <c r="D20" s="58"/>
      <c r="E20" s="58"/>
      <c r="F20" s="58"/>
      <c r="G20" s="58"/>
      <c r="H20" s="58"/>
      <c r="I20" s="58"/>
      <c r="J20" s="58"/>
      <c r="K20" s="58"/>
      <c r="L20" s="58"/>
      <c r="M20" s="58"/>
      <c r="N20" s="59" t="s">
        <v>835</v>
      </c>
      <c r="O20" s="39" t="s">
        <v>836</v>
      </c>
      <c r="P20" s="60" t="s">
        <v>836</v>
      </c>
      <c r="Q20" s="59" t="s">
        <v>836</v>
      </c>
    </row>
    <row r="21" spans="1:17" ht="23.25" customHeight="1">
      <c r="A21" s="61" t="s">
        <v>847</v>
      </c>
      <c r="B21" s="51"/>
      <c r="C21" s="62">
        <v>251241</v>
      </c>
      <c r="D21" s="62">
        <v>324461</v>
      </c>
      <c r="E21" s="62">
        <v>428788</v>
      </c>
      <c r="F21" s="62">
        <v>336442</v>
      </c>
      <c r="G21" s="62">
        <v>291221</v>
      </c>
      <c r="H21" s="62">
        <v>348934</v>
      </c>
      <c r="I21" s="62">
        <v>262394</v>
      </c>
      <c r="J21" s="62">
        <v>203449</v>
      </c>
      <c r="K21" s="62">
        <v>329621</v>
      </c>
      <c r="L21" s="62">
        <v>319653</v>
      </c>
      <c r="M21" s="62">
        <v>205886</v>
      </c>
      <c r="N21" s="62">
        <v>332464</v>
      </c>
      <c r="O21" s="63">
        <v>3634554</v>
      </c>
      <c r="P21" s="64">
        <v>3885282</v>
      </c>
      <c r="Q21" s="62">
        <v>4148462</v>
      </c>
    </row>
    <row r="22" spans="1:17" ht="23.25" customHeight="1">
      <c r="A22" s="65"/>
      <c r="B22" s="53"/>
      <c r="C22" s="59"/>
      <c r="D22" s="59"/>
      <c r="E22" s="59"/>
      <c r="F22" s="59"/>
      <c r="G22" s="59"/>
      <c r="H22" s="59"/>
      <c r="I22" s="59"/>
      <c r="J22" s="59"/>
      <c r="K22" s="59"/>
      <c r="L22" s="59"/>
      <c r="M22" s="59"/>
      <c r="N22" s="59"/>
      <c r="P22" s="60"/>
      <c r="Q22" s="59"/>
    </row>
    <row r="23" spans="1:17" ht="23.25" customHeight="1">
      <c r="A23" s="47" t="s">
        <v>848</v>
      </c>
      <c r="B23" s="48"/>
      <c r="C23" s="59"/>
      <c r="D23" s="59"/>
      <c r="E23" s="59"/>
      <c r="F23" s="59"/>
      <c r="G23" s="59"/>
      <c r="H23" s="59"/>
      <c r="I23" s="59"/>
      <c r="J23" s="59"/>
      <c r="K23" s="59"/>
      <c r="L23" s="59"/>
      <c r="M23" s="59"/>
      <c r="N23" s="59"/>
      <c r="P23" s="60"/>
      <c r="Q23" s="59"/>
    </row>
    <row r="24" spans="1:17" ht="23.25" customHeight="1">
      <c r="A24" s="52" t="s">
        <v>849</v>
      </c>
      <c r="B24" s="53"/>
      <c r="C24" s="54">
        <v>66723</v>
      </c>
      <c r="D24" s="54">
        <v>69714</v>
      </c>
      <c r="E24" s="54">
        <v>73476</v>
      </c>
      <c r="F24" s="54">
        <v>61707</v>
      </c>
      <c r="G24" s="54">
        <v>60635</v>
      </c>
      <c r="H24" s="54">
        <v>73736</v>
      </c>
      <c r="I24" s="54">
        <v>66175</v>
      </c>
      <c r="J24" s="54">
        <v>62564</v>
      </c>
      <c r="K24" s="54">
        <v>65201</v>
      </c>
      <c r="L24" s="54">
        <v>65316</v>
      </c>
      <c r="M24" s="54">
        <v>66308</v>
      </c>
      <c r="N24" s="55">
        <v>85868</v>
      </c>
      <c r="O24" s="56">
        <v>817423</v>
      </c>
      <c r="P24" s="57">
        <v>869703</v>
      </c>
      <c r="Q24" s="55">
        <v>917117</v>
      </c>
    </row>
    <row r="25" spans="1:17" ht="23.25" customHeight="1">
      <c r="A25" s="52" t="s">
        <v>850</v>
      </c>
      <c r="B25" s="53"/>
      <c r="C25" s="54">
        <v>3308</v>
      </c>
      <c r="D25" s="54">
        <v>3456</v>
      </c>
      <c r="E25" s="54">
        <v>3643</v>
      </c>
      <c r="F25" s="54">
        <v>3059</v>
      </c>
      <c r="G25" s="54">
        <v>3006</v>
      </c>
      <c r="H25" s="54">
        <v>3655</v>
      </c>
      <c r="I25" s="54">
        <v>3281</v>
      </c>
      <c r="J25" s="54">
        <v>3102</v>
      </c>
      <c r="K25" s="54">
        <v>3232</v>
      </c>
      <c r="L25" s="54">
        <v>3238</v>
      </c>
      <c r="M25" s="54">
        <v>3287</v>
      </c>
      <c r="N25" s="55">
        <v>4251</v>
      </c>
      <c r="O25" s="56">
        <v>40518</v>
      </c>
      <c r="P25" s="57">
        <v>43149</v>
      </c>
      <c r="Q25" s="55">
        <v>45955</v>
      </c>
    </row>
    <row r="26" spans="1:17" ht="23.25" customHeight="1">
      <c r="A26" s="52" t="s">
        <v>851</v>
      </c>
      <c r="B26" s="53"/>
      <c r="C26" s="54">
        <v>19183</v>
      </c>
      <c r="D26" s="54">
        <v>20042</v>
      </c>
      <c r="E26" s="54">
        <v>21124</v>
      </c>
      <c r="F26" s="54">
        <v>17740</v>
      </c>
      <c r="G26" s="54">
        <v>17432</v>
      </c>
      <c r="H26" s="54">
        <v>21199</v>
      </c>
      <c r="I26" s="54">
        <v>19025</v>
      </c>
      <c r="J26" s="54">
        <v>17987</v>
      </c>
      <c r="K26" s="54">
        <v>18745</v>
      </c>
      <c r="L26" s="54">
        <v>18778</v>
      </c>
      <c r="M26" s="54">
        <v>19063</v>
      </c>
      <c r="N26" s="55">
        <v>24682</v>
      </c>
      <c r="O26" s="56">
        <v>235000</v>
      </c>
      <c r="P26" s="57">
        <v>249100</v>
      </c>
      <c r="Q26" s="55">
        <v>300000</v>
      </c>
    </row>
    <row r="27" spans="1:17" ht="23.25" customHeight="1">
      <c r="A27" s="52" t="s">
        <v>852</v>
      </c>
      <c r="B27" s="53"/>
      <c r="C27" s="54">
        <v>15509</v>
      </c>
      <c r="D27" s="54">
        <v>16205</v>
      </c>
      <c r="E27" s="54">
        <v>17079</v>
      </c>
      <c r="F27" s="54">
        <v>14343</v>
      </c>
      <c r="G27" s="54">
        <v>14094</v>
      </c>
      <c r="H27" s="54">
        <v>17139</v>
      </c>
      <c r="I27" s="54">
        <v>15382</v>
      </c>
      <c r="J27" s="54">
        <v>14543</v>
      </c>
      <c r="K27" s="54">
        <v>15156</v>
      </c>
      <c r="L27" s="54">
        <v>15182</v>
      </c>
      <c r="M27" s="54">
        <v>15413</v>
      </c>
      <c r="N27" s="55">
        <v>19955</v>
      </c>
      <c r="O27" s="56">
        <v>190000</v>
      </c>
      <c r="P27" s="57">
        <v>237000</v>
      </c>
      <c r="Q27" s="55">
        <v>255000</v>
      </c>
    </row>
    <row r="28" spans="1:17" ht="23.25" customHeight="1">
      <c r="A28" s="52" t="s">
        <v>853</v>
      </c>
      <c r="B28" s="53"/>
      <c r="C28" s="54">
        <v>5714</v>
      </c>
      <c r="D28" s="54">
        <v>5970</v>
      </c>
      <c r="E28" s="54">
        <v>6293</v>
      </c>
      <c r="F28" s="54">
        <v>5285</v>
      </c>
      <c r="G28" s="54">
        <v>5193</v>
      </c>
      <c r="H28" s="54">
        <v>6315</v>
      </c>
      <c r="I28" s="54">
        <v>5667</v>
      </c>
      <c r="J28" s="54">
        <v>5358</v>
      </c>
      <c r="K28" s="54">
        <v>5584</v>
      </c>
      <c r="L28" s="54">
        <v>5594</v>
      </c>
      <c r="M28" s="54">
        <v>5679</v>
      </c>
      <c r="N28" s="55">
        <v>44848</v>
      </c>
      <c r="O28" s="56">
        <v>107500</v>
      </c>
      <c r="P28" s="57">
        <v>111445</v>
      </c>
      <c r="Q28" s="55">
        <v>105000</v>
      </c>
    </row>
    <row r="29" spans="1:17" ht="23.25" customHeight="1">
      <c r="A29" s="52" t="s">
        <v>854</v>
      </c>
      <c r="B29" s="53"/>
      <c r="C29" s="54">
        <v>73912</v>
      </c>
      <c r="D29" s="54">
        <v>77225</v>
      </c>
      <c r="E29" s="54">
        <v>81393</v>
      </c>
      <c r="F29" s="54">
        <v>68355</v>
      </c>
      <c r="G29" s="54">
        <v>67168</v>
      </c>
      <c r="H29" s="54">
        <v>81681</v>
      </c>
      <c r="I29" s="54">
        <v>73306</v>
      </c>
      <c r="J29" s="54">
        <v>69305</v>
      </c>
      <c r="K29" s="54">
        <v>72226</v>
      </c>
      <c r="L29" s="54">
        <v>72353</v>
      </c>
      <c r="M29" s="54">
        <v>73452</v>
      </c>
      <c r="N29" s="55">
        <v>95121</v>
      </c>
      <c r="O29" s="56">
        <v>905497</v>
      </c>
      <c r="P29" s="57">
        <v>970426</v>
      </c>
      <c r="Q29" s="55">
        <v>1028653</v>
      </c>
    </row>
    <row r="30" spans="1:17" ht="23.25" customHeight="1">
      <c r="A30" s="52" t="s">
        <v>855</v>
      </c>
      <c r="B30" s="53"/>
      <c r="C30" s="54">
        <v>3075</v>
      </c>
      <c r="D30" s="54">
        <v>3213</v>
      </c>
      <c r="E30" s="54">
        <v>3386</v>
      </c>
      <c r="F30" s="54">
        <v>2844</v>
      </c>
      <c r="G30" s="54">
        <v>2794</v>
      </c>
      <c r="H30" s="54">
        <v>3398</v>
      </c>
      <c r="I30" s="54">
        <v>3050</v>
      </c>
      <c r="J30" s="54">
        <v>2883</v>
      </c>
      <c r="K30" s="54">
        <v>3005</v>
      </c>
      <c r="L30" s="54">
        <v>3010</v>
      </c>
      <c r="M30" s="54">
        <v>3056</v>
      </c>
      <c r="N30" s="55">
        <v>3952</v>
      </c>
      <c r="O30" s="56">
        <v>37666</v>
      </c>
      <c r="P30" s="57">
        <v>60827</v>
      </c>
      <c r="Q30" s="55">
        <v>64159</v>
      </c>
    </row>
    <row r="31" spans="1:17" ht="23.25" customHeight="1">
      <c r="A31" s="52" t="s">
        <v>856</v>
      </c>
      <c r="B31" s="53"/>
      <c r="C31" s="54">
        <v>65001</v>
      </c>
      <c r="D31" s="54">
        <v>67915</v>
      </c>
      <c r="E31" s="54">
        <v>71580</v>
      </c>
      <c r="F31" s="54">
        <v>60114</v>
      </c>
      <c r="G31" s="54">
        <v>59070</v>
      </c>
      <c r="H31" s="54">
        <v>71833</v>
      </c>
      <c r="I31" s="54">
        <v>64467</v>
      </c>
      <c r="J31" s="54">
        <v>60949</v>
      </c>
      <c r="K31" s="54">
        <v>63518</v>
      </c>
      <c r="L31" s="54">
        <v>63630</v>
      </c>
      <c r="M31" s="54">
        <v>64596</v>
      </c>
      <c r="N31" s="55">
        <v>83652</v>
      </c>
      <c r="O31" s="56">
        <v>796325</v>
      </c>
      <c r="P31" s="57">
        <v>764936</v>
      </c>
      <c r="Q31" s="55">
        <v>786967</v>
      </c>
    </row>
    <row r="32" spans="1:17" ht="23.25" customHeight="1">
      <c r="A32" s="52" t="s">
        <v>844</v>
      </c>
      <c r="B32" s="53"/>
      <c r="C32" s="58">
        <v>939</v>
      </c>
      <c r="D32" s="58">
        <v>981</v>
      </c>
      <c r="E32" s="54">
        <v>1034</v>
      </c>
      <c r="F32" s="58">
        <v>869</v>
      </c>
      <c r="G32" s="58">
        <v>854</v>
      </c>
      <c r="H32" s="54">
        <v>1038</v>
      </c>
      <c r="I32" s="58">
        <v>931</v>
      </c>
      <c r="J32" s="58">
        <v>881</v>
      </c>
      <c r="K32" s="58">
        <v>918</v>
      </c>
      <c r="L32" s="58">
        <v>919</v>
      </c>
      <c r="M32" s="58">
        <v>933</v>
      </c>
      <c r="N32" s="55">
        <v>1203</v>
      </c>
      <c r="O32" s="56">
        <v>11500</v>
      </c>
      <c r="P32" s="57">
        <v>11500</v>
      </c>
      <c r="Q32" s="55">
        <v>11500</v>
      </c>
    </row>
    <row r="33" spans="1:17" ht="23.25" customHeight="1">
      <c r="A33" s="52" t="s">
        <v>857</v>
      </c>
      <c r="B33" s="53"/>
      <c r="C33" s="54">
        <v>16918</v>
      </c>
      <c r="D33" s="54">
        <v>17677</v>
      </c>
      <c r="E33" s="54">
        <v>18630</v>
      </c>
      <c r="F33" s="54">
        <v>15646</v>
      </c>
      <c r="G33" s="54">
        <v>15375</v>
      </c>
      <c r="H33" s="54">
        <v>18696</v>
      </c>
      <c r="I33" s="54">
        <v>16779</v>
      </c>
      <c r="J33" s="54">
        <v>15864</v>
      </c>
      <c r="K33" s="54">
        <v>16532</v>
      </c>
      <c r="L33" s="54">
        <v>16561</v>
      </c>
      <c r="M33" s="54">
        <v>16813</v>
      </c>
      <c r="N33" s="55">
        <v>21769</v>
      </c>
      <c r="O33" s="56">
        <v>207260</v>
      </c>
      <c r="P33" s="57">
        <v>235345</v>
      </c>
      <c r="Q33" s="55">
        <v>247889</v>
      </c>
    </row>
    <row r="34" spans="1:17" ht="23.25" customHeight="1" thickBot="1">
      <c r="A34" s="52" t="s">
        <v>858</v>
      </c>
      <c r="B34" s="53"/>
      <c r="C34" s="58"/>
      <c r="D34" s="58"/>
      <c r="E34" s="58"/>
      <c r="F34" s="58"/>
      <c r="G34" s="58"/>
      <c r="H34" s="58"/>
      <c r="I34" s="58"/>
      <c r="J34" s="58"/>
      <c r="K34" s="58"/>
      <c r="L34" s="58"/>
      <c r="M34" s="58"/>
      <c r="N34" s="59" t="s">
        <v>835</v>
      </c>
      <c r="O34" s="39" t="s">
        <v>836</v>
      </c>
      <c r="P34" s="60" t="s">
        <v>836</v>
      </c>
      <c r="Q34" s="59" t="s">
        <v>836</v>
      </c>
    </row>
    <row r="35" spans="1:17" ht="23.25" customHeight="1">
      <c r="A35" s="61" t="s">
        <v>859</v>
      </c>
      <c r="B35" s="51"/>
      <c r="C35" s="62">
        <v>270282</v>
      </c>
      <c r="D35" s="62">
        <v>282398</v>
      </c>
      <c r="E35" s="62">
        <v>297638</v>
      </c>
      <c r="F35" s="62">
        <v>249962</v>
      </c>
      <c r="G35" s="62">
        <v>245621</v>
      </c>
      <c r="H35" s="62">
        <v>298690</v>
      </c>
      <c r="I35" s="62">
        <v>268063</v>
      </c>
      <c r="J35" s="62">
        <v>253436</v>
      </c>
      <c r="K35" s="62">
        <v>264117</v>
      </c>
      <c r="L35" s="62">
        <v>264581</v>
      </c>
      <c r="M35" s="62">
        <v>268600</v>
      </c>
      <c r="N35" s="62">
        <v>385301</v>
      </c>
      <c r="O35" s="63">
        <v>3348689</v>
      </c>
      <c r="P35" s="64">
        <v>3553431</v>
      </c>
      <c r="Q35" s="62">
        <v>3762240</v>
      </c>
    </row>
    <row r="36" spans="1:17" ht="23.25" customHeight="1" thickBot="1">
      <c r="A36" s="65"/>
      <c r="B36" s="53"/>
      <c r="C36" s="59"/>
      <c r="D36" s="59"/>
      <c r="E36" s="59"/>
      <c r="F36" s="59"/>
      <c r="G36" s="59"/>
      <c r="H36" s="59"/>
      <c r="I36" s="59"/>
      <c r="J36" s="59"/>
      <c r="K36" s="59"/>
      <c r="L36" s="59"/>
      <c r="M36" s="59"/>
      <c r="N36" s="59"/>
      <c r="P36" s="60"/>
      <c r="Q36" s="59"/>
    </row>
    <row r="37" spans="1:17" ht="24" customHeight="1">
      <c r="A37" s="66" t="s">
        <v>860</v>
      </c>
      <c r="B37" s="67"/>
      <c r="C37" s="62">
        <v>-19041</v>
      </c>
      <c r="D37" s="62">
        <v>42063</v>
      </c>
      <c r="E37" s="62">
        <v>131150</v>
      </c>
      <c r="F37" s="62">
        <v>86480</v>
      </c>
      <c r="G37" s="62">
        <v>45600</v>
      </c>
      <c r="H37" s="62">
        <v>50244</v>
      </c>
      <c r="I37" s="62">
        <v>-5669</v>
      </c>
      <c r="J37" s="62">
        <v>-49987</v>
      </c>
      <c r="K37" s="62">
        <v>65504</v>
      </c>
      <c r="L37" s="62">
        <v>55072</v>
      </c>
      <c r="M37" s="62">
        <v>-62714</v>
      </c>
      <c r="N37" s="62">
        <v>-52837</v>
      </c>
      <c r="O37" s="63">
        <v>285865</v>
      </c>
      <c r="P37" s="64">
        <v>331851</v>
      </c>
      <c r="Q37" s="62">
        <v>386222</v>
      </c>
    </row>
    <row r="38" spans="1:17" ht="45.75" customHeight="1">
      <c r="A38" s="52" t="s">
        <v>861</v>
      </c>
      <c r="B38" s="53"/>
      <c r="C38" s="54">
        <v>55193</v>
      </c>
      <c r="D38" s="54">
        <v>71279</v>
      </c>
      <c r="E38" s="54">
        <v>94198</v>
      </c>
      <c r="F38" s="54">
        <v>73911</v>
      </c>
      <c r="G38" s="54">
        <v>63977</v>
      </c>
      <c r="H38" s="54">
        <v>76655</v>
      </c>
      <c r="I38" s="54">
        <v>57644</v>
      </c>
      <c r="J38" s="54">
        <v>44694</v>
      </c>
      <c r="K38" s="54">
        <v>72412</v>
      </c>
      <c r="L38" s="54">
        <v>70223</v>
      </c>
      <c r="M38" s="54">
        <v>45230</v>
      </c>
      <c r="N38" s="55">
        <v>73049</v>
      </c>
      <c r="O38" s="56">
        <v>798465</v>
      </c>
      <c r="P38" s="57">
        <v>1032747</v>
      </c>
      <c r="Q38" s="55">
        <v>1270796</v>
      </c>
    </row>
    <row r="39" spans="1:17" ht="99" customHeight="1">
      <c r="A39" s="52" t="s">
        <v>862</v>
      </c>
      <c r="B39" s="53"/>
      <c r="C39" s="58">
        <v>996</v>
      </c>
      <c r="D39" s="54">
        <v>1286</v>
      </c>
      <c r="E39" s="54">
        <v>1699</v>
      </c>
      <c r="F39" s="54">
        <v>1333</v>
      </c>
      <c r="G39" s="54">
        <v>1154</v>
      </c>
      <c r="H39" s="54">
        <v>1383</v>
      </c>
      <c r="I39" s="54">
        <v>1040</v>
      </c>
      <c r="J39" s="58">
        <v>807</v>
      </c>
      <c r="K39" s="54">
        <v>1306</v>
      </c>
      <c r="L39" s="54">
        <v>1267</v>
      </c>
      <c r="M39" s="58">
        <v>816</v>
      </c>
      <c r="N39" s="55">
        <v>1313</v>
      </c>
      <c r="O39" s="56">
        <v>14400</v>
      </c>
      <c r="P39" s="60" t="s">
        <v>836</v>
      </c>
      <c r="Q39" s="59" t="s">
        <v>836</v>
      </c>
    </row>
    <row r="40" spans="1:17" ht="42.75" customHeight="1" thickBot="1">
      <c r="A40" s="52" t="s">
        <v>863</v>
      </c>
      <c r="B40" s="53"/>
      <c r="C40" s="58"/>
      <c r="D40" s="58"/>
      <c r="E40" s="58"/>
      <c r="F40" s="58"/>
      <c r="G40" s="58"/>
      <c r="H40" s="58"/>
      <c r="I40" s="58"/>
      <c r="J40" s="58"/>
      <c r="K40" s="58"/>
      <c r="L40" s="58"/>
      <c r="M40" s="58"/>
      <c r="N40" s="59" t="s">
        <v>835</v>
      </c>
      <c r="O40" s="39" t="s">
        <v>836</v>
      </c>
      <c r="P40" s="60" t="s">
        <v>836</v>
      </c>
      <c r="Q40" s="59" t="s">
        <v>836</v>
      </c>
    </row>
    <row r="41" spans="1:17" ht="33" customHeight="1">
      <c r="A41" s="66" t="s">
        <v>864</v>
      </c>
      <c r="B41" s="68"/>
      <c r="C41" s="62">
        <v>37148</v>
      </c>
      <c r="D41" s="62">
        <v>114628</v>
      </c>
      <c r="E41" s="62">
        <v>227047</v>
      </c>
      <c r="F41" s="62">
        <v>161724</v>
      </c>
      <c r="G41" s="62">
        <v>110731</v>
      </c>
      <c r="H41" s="62">
        <v>128282</v>
      </c>
      <c r="I41" s="62">
        <v>53015</v>
      </c>
      <c r="J41" s="62">
        <v>-4486</v>
      </c>
      <c r="K41" s="62">
        <v>139222</v>
      </c>
      <c r="L41" s="62">
        <v>126562</v>
      </c>
      <c r="M41" s="62">
        <v>-16668</v>
      </c>
      <c r="N41" s="62">
        <v>21525</v>
      </c>
      <c r="O41" s="63">
        <v>1098730</v>
      </c>
      <c r="P41" s="64">
        <v>1364598</v>
      </c>
      <c r="Q41" s="62">
        <v>1657018</v>
      </c>
    </row>
    <row r="42" spans="1:17" ht="23.25" customHeight="1">
      <c r="A42" s="52" t="s">
        <v>865</v>
      </c>
      <c r="B42" s="53"/>
      <c r="C42" s="58"/>
      <c r="D42" s="58"/>
      <c r="E42" s="58"/>
      <c r="F42" s="58"/>
      <c r="G42" s="58"/>
      <c r="H42" s="58"/>
      <c r="I42" s="58"/>
      <c r="J42" s="58"/>
      <c r="K42" s="58"/>
      <c r="L42" s="58"/>
      <c r="M42" s="58"/>
      <c r="N42" s="59" t="s">
        <v>835</v>
      </c>
      <c r="O42" s="39" t="s">
        <v>836</v>
      </c>
      <c r="P42" s="60" t="s">
        <v>836</v>
      </c>
      <c r="Q42" s="59" t="s">
        <v>836</v>
      </c>
    </row>
    <row r="43" spans="1:17" ht="23.25" customHeight="1">
      <c r="A43" s="52" t="s">
        <v>866</v>
      </c>
      <c r="B43" s="53"/>
      <c r="C43" s="58"/>
      <c r="D43" s="58"/>
      <c r="E43" s="58"/>
      <c r="F43" s="58"/>
      <c r="G43" s="58"/>
      <c r="H43" s="58"/>
      <c r="I43" s="58"/>
      <c r="J43" s="58"/>
      <c r="K43" s="58"/>
      <c r="L43" s="58"/>
      <c r="M43" s="58"/>
      <c r="N43" s="59" t="s">
        <v>835</v>
      </c>
      <c r="O43" s="39" t="s">
        <v>836</v>
      </c>
      <c r="P43" s="60" t="s">
        <v>836</v>
      </c>
      <c r="Q43" s="59" t="s">
        <v>836</v>
      </c>
    </row>
    <row r="44" spans="1:17" ht="33" customHeight="1" thickBot="1">
      <c r="A44" s="52" t="s">
        <v>867</v>
      </c>
      <c r="B44" s="69"/>
      <c r="C44" s="70"/>
      <c r="D44" s="70"/>
      <c r="E44" s="70"/>
      <c r="F44" s="70"/>
      <c r="G44" s="70"/>
      <c r="H44" s="70"/>
      <c r="I44" s="70"/>
      <c r="J44" s="70"/>
      <c r="K44" s="70"/>
      <c r="L44" s="70"/>
      <c r="M44" s="70"/>
      <c r="N44" s="59" t="s">
        <v>835</v>
      </c>
      <c r="O44" s="39" t="s">
        <v>836</v>
      </c>
      <c r="P44" s="60" t="s">
        <v>836</v>
      </c>
      <c r="Q44" s="59" t="s">
        <v>836</v>
      </c>
    </row>
    <row r="45" spans="1:17" ht="23.25" customHeight="1" thickBot="1">
      <c r="A45" s="71" t="s">
        <v>860</v>
      </c>
      <c r="B45" s="72">
        <v>1</v>
      </c>
      <c r="C45" s="73">
        <v>37148</v>
      </c>
      <c r="D45" s="74">
        <v>114628</v>
      </c>
      <c r="E45" s="75">
        <v>227047</v>
      </c>
      <c r="F45" s="75">
        <v>161724</v>
      </c>
      <c r="G45" s="75">
        <v>110731</v>
      </c>
      <c r="H45" s="75">
        <v>128282</v>
      </c>
      <c r="I45" s="75">
        <v>53015</v>
      </c>
      <c r="J45" s="75">
        <v>-4486</v>
      </c>
      <c r="K45" s="75">
        <v>139222</v>
      </c>
      <c r="L45" s="75">
        <v>126562</v>
      </c>
      <c r="M45" s="75">
        <v>-16668</v>
      </c>
      <c r="N45" s="76">
        <v>21525</v>
      </c>
      <c r="O45" s="77">
        <v>1098730</v>
      </c>
      <c r="P45" s="78">
        <v>1364598</v>
      </c>
      <c r="Q45" s="76">
        <v>1657018</v>
      </c>
    </row>
    <row r="46" spans="1:2" ht="23.25" customHeight="1">
      <c r="A46" s="79" t="s">
        <v>868</v>
      </c>
      <c r="B46" s="80"/>
    </row>
    <row r="47" ht="23.25" customHeight="1">
      <c r="A47" s="81" t="s">
        <v>821</v>
      </c>
    </row>
    <row r="48" spans="1:17" ht="23.25" customHeight="1">
      <c r="A48" s="82" t="s">
        <v>822</v>
      </c>
      <c r="O48" s="83" t="s">
        <v>869</v>
      </c>
      <c r="P48" s="83" t="s">
        <v>869</v>
      </c>
      <c r="Q48" s="83" t="s">
        <v>869</v>
      </c>
    </row>
    <row r="49" ht="23.25" customHeight="1"/>
    <row r="50" ht="23.25" customHeight="1"/>
    <row r="51" spans="1:17" ht="23.25" customHeight="1" thickBot="1">
      <c r="A51" s="193" t="s">
        <v>870</v>
      </c>
      <c r="B51" s="193"/>
      <c r="C51" s="193"/>
      <c r="D51" s="193"/>
      <c r="E51" s="193"/>
      <c r="F51" s="193"/>
      <c r="G51" s="193"/>
      <c r="H51" s="193"/>
      <c r="I51" s="193"/>
      <c r="J51" s="193"/>
      <c r="K51" s="193"/>
      <c r="L51" s="193"/>
      <c r="M51" s="193"/>
      <c r="N51" s="193"/>
      <c r="O51" s="193"/>
      <c r="P51" s="193"/>
      <c r="Q51" s="193"/>
    </row>
    <row r="52" spans="1:17" ht="33.75" customHeight="1" thickBot="1">
      <c r="A52" s="40" t="s">
        <v>237</v>
      </c>
      <c r="B52" s="41" t="s">
        <v>824</v>
      </c>
      <c r="C52" s="186" t="s">
        <v>825</v>
      </c>
      <c r="D52" s="187"/>
      <c r="E52" s="187"/>
      <c r="F52" s="187"/>
      <c r="G52" s="187"/>
      <c r="H52" s="187"/>
      <c r="I52" s="187"/>
      <c r="J52" s="187"/>
      <c r="K52" s="187"/>
      <c r="L52" s="187"/>
      <c r="M52" s="187"/>
      <c r="N52" s="188"/>
      <c r="O52" s="189" t="s">
        <v>807</v>
      </c>
      <c r="P52" s="190"/>
      <c r="Q52" s="191"/>
    </row>
    <row r="53" spans="1:17" ht="47.25" customHeight="1" thickBot="1">
      <c r="A53" s="42" t="s">
        <v>808</v>
      </c>
      <c r="B53" s="43"/>
      <c r="C53" s="45" t="s">
        <v>809</v>
      </c>
      <c r="D53" s="46" t="s">
        <v>810</v>
      </c>
      <c r="E53" s="44" t="s">
        <v>811</v>
      </c>
      <c r="F53" s="44" t="s">
        <v>812</v>
      </c>
      <c r="G53" s="44" t="s">
        <v>813</v>
      </c>
      <c r="H53" s="44" t="s">
        <v>814</v>
      </c>
      <c r="I53" s="44" t="s">
        <v>815</v>
      </c>
      <c r="J53" s="44" t="s">
        <v>816</v>
      </c>
      <c r="K53" s="44" t="s">
        <v>817</v>
      </c>
      <c r="L53" s="44" t="s">
        <v>818</v>
      </c>
      <c r="M53" s="44" t="s">
        <v>819</v>
      </c>
      <c r="N53" s="44" t="s">
        <v>820</v>
      </c>
      <c r="O53" s="45" t="s">
        <v>825</v>
      </c>
      <c r="P53" s="46" t="s">
        <v>826</v>
      </c>
      <c r="Q53" s="44" t="s">
        <v>827</v>
      </c>
    </row>
    <row r="54" spans="1:17" ht="23.25" customHeight="1">
      <c r="A54" s="47" t="s">
        <v>871</v>
      </c>
      <c r="B54" s="48"/>
      <c r="C54" s="50"/>
      <c r="D54" s="51"/>
      <c r="E54" s="49"/>
      <c r="F54" s="49"/>
      <c r="G54" s="49"/>
      <c r="H54" s="49"/>
      <c r="I54" s="49"/>
      <c r="J54" s="49"/>
      <c r="K54" s="49"/>
      <c r="L54" s="49"/>
      <c r="M54" s="49"/>
      <c r="N54" s="49"/>
      <c r="O54" s="49"/>
      <c r="P54" s="49"/>
      <c r="Q54" s="49"/>
    </row>
    <row r="55" spans="1:17" ht="23.25" customHeight="1">
      <c r="A55" s="52" t="s">
        <v>872</v>
      </c>
      <c r="B55" s="53"/>
      <c r="C55" s="84"/>
      <c r="D55" s="85"/>
      <c r="E55" s="58"/>
      <c r="F55" s="58"/>
      <c r="G55" s="58"/>
      <c r="H55" s="58"/>
      <c r="I55" s="58"/>
      <c r="J55" s="58"/>
      <c r="K55" s="58"/>
      <c r="L55" s="58"/>
      <c r="M55" s="58"/>
      <c r="N55" s="59" t="s">
        <v>835</v>
      </c>
      <c r="O55" s="59" t="s">
        <v>836</v>
      </c>
      <c r="P55" s="59" t="s">
        <v>836</v>
      </c>
      <c r="Q55" s="59" t="s">
        <v>836</v>
      </c>
    </row>
    <row r="56" spans="1:17" ht="23.25" customHeight="1">
      <c r="A56" s="52" t="s">
        <v>873</v>
      </c>
      <c r="B56" s="53"/>
      <c r="C56" s="84"/>
      <c r="D56" s="85"/>
      <c r="E56" s="58"/>
      <c r="F56" s="58"/>
      <c r="G56" s="58"/>
      <c r="H56" s="58"/>
      <c r="I56" s="58"/>
      <c r="J56" s="58"/>
      <c r="K56" s="58"/>
      <c r="L56" s="58"/>
      <c r="M56" s="58"/>
      <c r="N56" s="59" t="s">
        <v>835</v>
      </c>
      <c r="O56" s="59" t="s">
        <v>836</v>
      </c>
      <c r="P56" s="59" t="s">
        <v>836</v>
      </c>
      <c r="Q56" s="59" t="s">
        <v>836</v>
      </c>
    </row>
    <row r="57" spans="1:17" ht="33.75" customHeight="1">
      <c r="A57" s="52" t="s">
        <v>874</v>
      </c>
      <c r="B57" s="53"/>
      <c r="C57" s="84"/>
      <c r="D57" s="85"/>
      <c r="E57" s="58"/>
      <c r="F57" s="58"/>
      <c r="G57" s="58"/>
      <c r="H57" s="58"/>
      <c r="I57" s="58"/>
      <c r="J57" s="58"/>
      <c r="K57" s="58"/>
      <c r="L57" s="58"/>
      <c r="M57" s="58"/>
      <c r="N57" s="59" t="s">
        <v>835</v>
      </c>
      <c r="O57" s="59" t="s">
        <v>836</v>
      </c>
      <c r="P57" s="59" t="s">
        <v>836</v>
      </c>
      <c r="Q57" s="59" t="s">
        <v>836</v>
      </c>
    </row>
    <row r="58" spans="1:17" ht="23.25" customHeight="1">
      <c r="A58" s="52" t="s">
        <v>875</v>
      </c>
      <c r="B58" s="53"/>
      <c r="C58" s="86">
        <v>105286</v>
      </c>
      <c r="D58" s="87">
        <v>135971</v>
      </c>
      <c r="E58" s="54">
        <v>179693</v>
      </c>
      <c r="F58" s="54">
        <v>140992</v>
      </c>
      <c r="G58" s="54">
        <v>122042</v>
      </c>
      <c r="H58" s="54">
        <v>146227</v>
      </c>
      <c r="I58" s="54">
        <v>109961</v>
      </c>
      <c r="J58" s="54">
        <v>85258</v>
      </c>
      <c r="K58" s="54">
        <v>138133</v>
      </c>
      <c r="L58" s="54">
        <v>133957</v>
      </c>
      <c r="M58" s="54">
        <v>86280</v>
      </c>
      <c r="N58" s="55">
        <v>139352</v>
      </c>
      <c r="O58" s="55">
        <v>1523152</v>
      </c>
      <c r="P58" s="55">
        <v>1651620</v>
      </c>
      <c r="Q58" s="55">
        <v>1813480</v>
      </c>
    </row>
    <row r="59" spans="1:17" ht="23.25" customHeight="1">
      <c r="A59" s="52" t="s">
        <v>876</v>
      </c>
      <c r="B59" s="53"/>
      <c r="C59" s="86">
        <v>12728</v>
      </c>
      <c r="D59" s="87">
        <v>16437</v>
      </c>
      <c r="E59" s="54">
        <v>21723</v>
      </c>
      <c r="F59" s="54">
        <v>17044</v>
      </c>
      <c r="G59" s="54">
        <v>14753</v>
      </c>
      <c r="H59" s="54">
        <v>17677</v>
      </c>
      <c r="I59" s="54">
        <v>13293</v>
      </c>
      <c r="J59" s="54">
        <v>10307</v>
      </c>
      <c r="K59" s="54">
        <v>16699</v>
      </c>
      <c r="L59" s="54">
        <v>16194</v>
      </c>
      <c r="M59" s="54">
        <v>10430</v>
      </c>
      <c r="N59" s="55">
        <v>16841</v>
      </c>
      <c r="O59" s="55">
        <v>184126</v>
      </c>
      <c r="P59" s="55">
        <v>195736</v>
      </c>
      <c r="Q59" s="55">
        <v>208682</v>
      </c>
    </row>
    <row r="60" spans="1:17" ht="23.25" customHeight="1">
      <c r="A60" s="52" t="s">
        <v>877</v>
      </c>
      <c r="B60" s="53"/>
      <c r="C60" s="84">
        <v>798</v>
      </c>
      <c r="D60" s="87">
        <v>1030</v>
      </c>
      <c r="E60" s="54">
        <v>1361</v>
      </c>
      <c r="F60" s="54">
        <v>1068</v>
      </c>
      <c r="G60" s="58">
        <v>925</v>
      </c>
      <c r="H60" s="54">
        <v>1108</v>
      </c>
      <c r="I60" s="58">
        <v>833</v>
      </c>
      <c r="J60" s="58">
        <v>646</v>
      </c>
      <c r="K60" s="54">
        <v>1046</v>
      </c>
      <c r="L60" s="54">
        <v>1015</v>
      </c>
      <c r="M60" s="58">
        <v>654</v>
      </c>
      <c r="N60" s="55">
        <v>1049</v>
      </c>
      <c r="O60" s="55">
        <v>11533</v>
      </c>
      <c r="P60" s="55">
        <v>12191</v>
      </c>
      <c r="Q60" s="55">
        <v>12889</v>
      </c>
    </row>
    <row r="61" spans="1:17" ht="23.25" customHeight="1">
      <c r="A61" s="52" t="s">
        <v>878</v>
      </c>
      <c r="B61" s="53"/>
      <c r="C61" s="84">
        <v>369</v>
      </c>
      <c r="D61" s="85">
        <v>477</v>
      </c>
      <c r="E61" s="58">
        <v>630</v>
      </c>
      <c r="F61" s="58">
        <v>494</v>
      </c>
      <c r="G61" s="58">
        <v>428</v>
      </c>
      <c r="H61" s="58">
        <v>513</v>
      </c>
      <c r="I61" s="58">
        <v>386</v>
      </c>
      <c r="J61" s="58">
        <v>299</v>
      </c>
      <c r="K61" s="58">
        <v>484</v>
      </c>
      <c r="L61" s="58">
        <v>470</v>
      </c>
      <c r="M61" s="58">
        <v>303</v>
      </c>
      <c r="N61" s="59">
        <v>481</v>
      </c>
      <c r="O61" s="55">
        <v>5334</v>
      </c>
      <c r="P61" s="55">
        <v>5654</v>
      </c>
      <c r="Q61" s="55">
        <v>5994</v>
      </c>
    </row>
    <row r="62" spans="1:17" ht="31.5" customHeight="1">
      <c r="A62" s="52" t="s">
        <v>879</v>
      </c>
      <c r="B62" s="53"/>
      <c r="C62" s="86">
        <v>4065</v>
      </c>
      <c r="D62" s="87">
        <v>5250</v>
      </c>
      <c r="E62" s="54">
        <v>6937</v>
      </c>
      <c r="F62" s="54">
        <v>5443</v>
      </c>
      <c r="G62" s="54">
        <v>4712</v>
      </c>
      <c r="H62" s="54">
        <v>5646</v>
      </c>
      <c r="I62" s="54">
        <v>4245</v>
      </c>
      <c r="J62" s="54">
        <v>3292</v>
      </c>
      <c r="K62" s="54">
        <v>5333</v>
      </c>
      <c r="L62" s="54">
        <v>5172</v>
      </c>
      <c r="M62" s="54">
        <v>3331</v>
      </c>
      <c r="N62" s="55">
        <v>5375</v>
      </c>
      <c r="O62" s="55">
        <v>58801</v>
      </c>
      <c r="P62" s="55">
        <v>62112</v>
      </c>
      <c r="Q62" s="55">
        <v>65714</v>
      </c>
    </row>
    <row r="63" spans="1:17" ht="23.25" customHeight="1">
      <c r="A63" s="52" t="s">
        <v>880</v>
      </c>
      <c r="B63" s="53"/>
      <c r="C63" s="86">
        <v>184179</v>
      </c>
      <c r="D63" s="87">
        <v>237856</v>
      </c>
      <c r="E63" s="54">
        <v>314339</v>
      </c>
      <c r="F63" s="54">
        <v>246638</v>
      </c>
      <c r="G63" s="54">
        <v>213489</v>
      </c>
      <c r="H63" s="54">
        <v>255796</v>
      </c>
      <c r="I63" s="54">
        <v>192355</v>
      </c>
      <c r="J63" s="54">
        <v>149144</v>
      </c>
      <c r="K63" s="54">
        <v>241637</v>
      </c>
      <c r="L63" s="54">
        <v>234332</v>
      </c>
      <c r="M63" s="54">
        <v>150930</v>
      </c>
      <c r="N63" s="55">
        <v>243778</v>
      </c>
      <c r="O63" s="55">
        <v>2664473</v>
      </c>
      <c r="P63" s="55">
        <v>2990715</v>
      </c>
      <c r="Q63" s="55">
        <v>3312497</v>
      </c>
    </row>
    <row r="64" spans="1:17" ht="23.25" customHeight="1">
      <c r="A64" s="52" t="s">
        <v>881</v>
      </c>
      <c r="B64" s="53"/>
      <c r="C64" s="84"/>
      <c r="D64" s="85"/>
      <c r="E64" s="58"/>
      <c r="F64" s="58"/>
      <c r="G64" s="58"/>
      <c r="H64" s="58"/>
      <c r="I64" s="58"/>
      <c r="J64" s="58"/>
      <c r="K64" s="58"/>
      <c r="L64" s="58"/>
      <c r="M64" s="58"/>
      <c r="N64" s="59" t="s">
        <v>835</v>
      </c>
      <c r="O64" s="59" t="s">
        <v>836</v>
      </c>
      <c r="P64" s="59" t="s">
        <v>836</v>
      </c>
      <c r="Q64" s="59" t="s">
        <v>836</v>
      </c>
    </row>
    <row r="65" spans="1:17" ht="23.25" customHeight="1">
      <c r="A65" s="52" t="s">
        <v>882</v>
      </c>
      <c r="B65" s="53"/>
      <c r="C65" s="84"/>
      <c r="D65" s="85"/>
      <c r="E65" s="58"/>
      <c r="F65" s="58"/>
      <c r="G65" s="58"/>
      <c r="H65" s="58"/>
      <c r="I65" s="58"/>
      <c r="J65" s="58"/>
      <c r="K65" s="58"/>
      <c r="L65" s="58"/>
      <c r="M65" s="58"/>
      <c r="N65" s="59" t="s">
        <v>835</v>
      </c>
      <c r="O65" s="59" t="s">
        <v>836</v>
      </c>
      <c r="P65" s="59" t="s">
        <v>836</v>
      </c>
      <c r="Q65" s="59" t="s">
        <v>836</v>
      </c>
    </row>
    <row r="66" spans="1:17" ht="23.25" customHeight="1">
      <c r="A66" s="52" t="s">
        <v>883</v>
      </c>
      <c r="B66" s="53"/>
      <c r="C66" s="84"/>
      <c r="D66" s="85"/>
      <c r="E66" s="58"/>
      <c r="F66" s="58"/>
      <c r="G66" s="58"/>
      <c r="H66" s="58"/>
      <c r="I66" s="58"/>
      <c r="J66" s="58"/>
      <c r="K66" s="58"/>
      <c r="L66" s="58"/>
      <c r="M66" s="58"/>
      <c r="N66" s="59" t="s">
        <v>835</v>
      </c>
      <c r="O66" s="59" t="s">
        <v>836</v>
      </c>
      <c r="P66" s="59" t="s">
        <v>836</v>
      </c>
      <c r="Q66" s="59" t="s">
        <v>836</v>
      </c>
    </row>
    <row r="67" spans="1:17" ht="23.25" customHeight="1">
      <c r="A67" s="52" t="s">
        <v>884</v>
      </c>
      <c r="B67" s="53"/>
      <c r="C67" s="84"/>
      <c r="D67" s="85"/>
      <c r="E67" s="58"/>
      <c r="F67" s="58"/>
      <c r="G67" s="58"/>
      <c r="H67" s="58"/>
      <c r="I67" s="58"/>
      <c r="J67" s="58"/>
      <c r="K67" s="58"/>
      <c r="L67" s="58"/>
      <c r="M67" s="58"/>
      <c r="N67" s="59" t="s">
        <v>835</v>
      </c>
      <c r="O67" s="59" t="s">
        <v>836</v>
      </c>
      <c r="P67" s="59" t="s">
        <v>836</v>
      </c>
      <c r="Q67" s="59" t="s">
        <v>836</v>
      </c>
    </row>
    <row r="68" spans="1:17" ht="23.25" customHeight="1">
      <c r="A68" s="52" t="s">
        <v>885</v>
      </c>
      <c r="B68" s="53"/>
      <c r="C68" s="84"/>
      <c r="D68" s="85"/>
      <c r="E68" s="58"/>
      <c r="F68" s="58"/>
      <c r="G68" s="58"/>
      <c r="H68" s="58"/>
      <c r="I68" s="58"/>
      <c r="J68" s="58"/>
      <c r="K68" s="58"/>
      <c r="L68" s="58"/>
      <c r="M68" s="58"/>
      <c r="N68" s="59" t="s">
        <v>835</v>
      </c>
      <c r="O68" s="59" t="s">
        <v>836</v>
      </c>
      <c r="P68" s="59" t="s">
        <v>836</v>
      </c>
      <c r="Q68" s="59" t="s">
        <v>836</v>
      </c>
    </row>
    <row r="69" spans="1:17" ht="23.25" customHeight="1" thickBot="1">
      <c r="A69" s="52" t="s">
        <v>886</v>
      </c>
      <c r="B69" s="53"/>
      <c r="C69" s="84"/>
      <c r="D69" s="85"/>
      <c r="E69" s="58"/>
      <c r="F69" s="58"/>
      <c r="G69" s="58"/>
      <c r="H69" s="58"/>
      <c r="I69" s="58"/>
      <c r="J69" s="58"/>
      <c r="K69" s="58"/>
      <c r="L69" s="58"/>
      <c r="M69" s="58"/>
      <c r="N69" s="59" t="s">
        <v>835</v>
      </c>
      <c r="O69" s="59" t="s">
        <v>836</v>
      </c>
      <c r="P69" s="59" t="s">
        <v>836</v>
      </c>
      <c r="Q69" s="59" t="s">
        <v>836</v>
      </c>
    </row>
    <row r="70" spans="1:17" ht="23.25" customHeight="1">
      <c r="A70" s="61" t="s">
        <v>887</v>
      </c>
      <c r="B70" s="51"/>
      <c r="C70" s="63">
        <v>307425</v>
      </c>
      <c r="D70" s="64">
        <v>397021</v>
      </c>
      <c r="E70" s="62">
        <v>524683</v>
      </c>
      <c r="F70" s="62">
        <v>411679</v>
      </c>
      <c r="G70" s="62">
        <v>356349</v>
      </c>
      <c r="H70" s="62">
        <v>426967</v>
      </c>
      <c r="I70" s="62">
        <v>321073</v>
      </c>
      <c r="J70" s="62">
        <v>248946</v>
      </c>
      <c r="K70" s="62">
        <v>403332</v>
      </c>
      <c r="L70" s="62">
        <v>391140</v>
      </c>
      <c r="M70" s="62">
        <v>251928</v>
      </c>
      <c r="N70" s="62">
        <v>406876</v>
      </c>
      <c r="O70" s="62">
        <v>4447419</v>
      </c>
      <c r="P70" s="62">
        <v>4918028</v>
      </c>
      <c r="Q70" s="62">
        <v>5419256</v>
      </c>
    </row>
    <row r="71" spans="1:17" ht="23.25" customHeight="1">
      <c r="A71" s="65"/>
      <c r="B71" s="53"/>
      <c r="D71" s="60"/>
      <c r="E71" s="59"/>
      <c r="F71" s="59"/>
      <c r="G71" s="59"/>
      <c r="H71" s="59"/>
      <c r="I71" s="59"/>
      <c r="J71" s="59"/>
      <c r="K71" s="59"/>
      <c r="L71" s="59"/>
      <c r="M71" s="59"/>
      <c r="N71" s="59"/>
      <c r="O71" s="59"/>
      <c r="P71" s="59"/>
      <c r="Q71" s="59"/>
    </row>
    <row r="72" spans="1:17" ht="34.5" customHeight="1">
      <c r="A72" s="47" t="s">
        <v>888</v>
      </c>
      <c r="B72" s="48"/>
      <c r="D72" s="60"/>
      <c r="E72" s="59"/>
      <c r="F72" s="59"/>
      <c r="G72" s="59"/>
      <c r="H72" s="59"/>
      <c r="I72" s="59"/>
      <c r="J72" s="59"/>
      <c r="K72" s="59"/>
      <c r="L72" s="59"/>
      <c r="M72" s="59"/>
      <c r="N72" s="59"/>
      <c r="O72" s="59"/>
      <c r="P72" s="59"/>
      <c r="Q72" s="59"/>
    </row>
    <row r="73" spans="1:17" ht="23.25" customHeight="1">
      <c r="A73" s="52" t="s">
        <v>872</v>
      </c>
      <c r="B73" s="53"/>
      <c r="C73" s="86">
        <v>27624</v>
      </c>
      <c r="D73" s="87">
        <v>28862</v>
      </c>
      <c r="E73" s="54">
        <v>30420</v>
      </c>
      <c r="F73" s="54">
        <v>25547</v>
      </c>
      <c r="G73" s="54">
        <v>25104</v>
      </c>
      <c r="H73" s="54">
        <v>30527</v>
      </c>
      <c r="I73" s="54">
        <v>27397</v>
      </c>
      <c r="J73" s="54">
        <v>25902</v>
      </c>
      <c r="K73" s="54">
        <v>26994</v>
      </c>
      <c r="L73" s="54">
        <v>27042</v>
      </c>
      <c r="M73" s="54">
        <v>27452</v>
      </c>
      <c r="N73" s="55">
        <v>35548</v>
      </c>
      <c r="O73" s="55">
        <v>338419</v>
      </c>
      <c r="P73" s="55">
        <v>361417</v>
      </c>
      <c r="Q73" s="55">
        <v>413747</v>
      </c>
    </row>
    <row r="74" spans="1:17" ht="23.25" customHeight="1">
      <c r="A74" s="52" t="s">
        <v>873</v>
      </c>
      <c r="B74" s="53"/>
      <c r="C74" s="86">
        <v>3974</v>
      </c>
      <c r="D74" s="87">
        <v>4152</v>
      </c>
      <c r="E74" s="54">
        <v>4376</v>
      </c>
      <c r="F74" s="54">
        <v>3675</v>
      </c>
      <c r="G74" s="54">
        <v>3611</v>
      </c>
      <c r="H74" s="54">
        <v>4391</v>
      </c>
      <c r="I74" s="54">
        <v>3941</v>
      </c>
      <c r="J74" s="54">
        <v>3726</v>
      </c>
      <c r="K74" s="54">
        <v>3883</v>
      </c>
      <c r="L74" s="54">
        <v>3890</v>
      </c>
      <c r="M74" s="54">
        <v>3949</v>
      </c>
      <c r="N74" s="55">
        <v>5107</v>
      </c>
      <c r="O74" s="55">
        <v>48675</v>
      </c>
      <c r="P74" s="55">
        <v>33879</v>
      </c>
      <c r="Q74" s="55">
        <v>35961</v>
      </c>
    </row>
    <row r="75" spans="1:17" ht="29.25" customHeight="1">
      <c r="A75" s="52" t="s">
        <v>874</v>
      </c>
      <c r="B75" s="53"/>
      <c r="C75" s="86">
        <v>5916</v>
      </c>
      <c r="D75" s="87">
        <v>6181</v>
      </c>
      <c r="E75" s="54">
        <v>6514</v>
      </c>
      <c r="F75" s="54">
        <v>5471</v>
      </c>
      <c r="G75" s="54">
        <v>5376</v>
      </c>
      <c r="H75" s="54">
        <v>6537</v>
      </c>
      <c r="I75" s="54">
        <v>5867</v>
      </c>
      <c r="J75" s="54">
        <v>5547</v>
      </c>
      <c r="K75" s="54">
        <v>5781</v>
      </c>
      <c r="L75" s="54">
        <v>5791</v>
      </c>
      <c r="M75" s="54">
        <v>5879</v>
      </c>
      <c r="N75" s="55">
        <v>7605</v>
      </c>
      <c r="O75" s="55">
        <v>72465</v>
      </c>
      <c r="P75" s="55">
        <v>39740</v>
      </c>
      <c r="Q75" s="55">
        <v>44194</v>
      </c>
    </row>
    <row r="76" spans="1:17" ht="23.25" customHeight="1">
      <c r="A76" s="52" t="s">
        <v>875</v>
      </c>
      <c r="B76" s="53"/>
      <c r="C76" s="86">
        <v>116810</v>
      </c>
      <c r="D76" s="87">
        <v>122046</v>
      </c>
      <c r="E76" s="54">
        <v>128637</v>
      </c>
      <c r="F76" s="54">
        <v>108026</v>
      </c>
      <c r="G76" s="54">
        <v>106152</v>
      </c>
      <c r="H76" s="54">
        <v>129088</v>
      </c>
      <c r="I76" s="54">
        <v>115850</v>
      </c>
      <c r="J76" s="54">
        <v>109531</v>
      </c>
      <c r="K76" s="54">
        <v>114142</v>
      </c>
      <c r="L76" s="54">
        <v>114346</v>
      </c>
      <c r="M76" s="54">
        <v>116084</v>
      </c>
      <c r="N76" s="55">
        <v>187891</v>
      </c>
      <c r="O76" s="55">
        <v>1468603</v>
      </c>
      <c r="P76" s="55">
        <v>1585843</v>
      </c>
      <c r="Q76" s="55">
        <v>1661917</v>
      </c>
    </row>
    <row r="77" spans="1:17" ht="23.25" customHeight="1">
      <c r="A77" s="52" t="s">
        <v>876</v>
      </c>
      <c r="B77" s="53"/>
      <c r="C77" s="86">
        <v>35637</v>
      </c>
      <c r="D77" s="87">
        <v>37235</v>
      </c>
      <c r="E77" s="54">
        <v>39244</v>
      </c>
      <c r="F77" s="54">
        <v>32958</v>
      </c>
      <c r="G77" s="54">
        <v>32386</v>
      </c>
      <c r="H77" s="54">
        <v>39383</v>
      </c>
      <c r="I77" s="54">
        <v>35345</v>
      </c>
      <c r="J77" s="54">
        <v>33416</v>
      </c>
      <c r="K77" s="54">
        <v>34825</v>
      </c>
      <c r="L77" s="54">
        <v>34886</v>
      </c>
      <c r="M77" s="54">
        <v>35416</v>
      </c>
      <c r="N77" s="55">
        <v>45859</v>
      </c>
      <c r="O77" s="55">
        <v>436590</v>
      </c>
      <c r="P77" s="55">
        <v>458006</v>
      </c>
      <c r="Q77" s="55">
        <v>489658</v>
      </c>
    </row>
    <row r="78" spans="1:17" ht="23.25" customHeight="1">
      <c r="A78" s="52" t="s">
        <v>877</v>
      </c>
      <c r="B78" s="53"/>
      <c r="C78" s="86">
        <v>15227</v>
      </c>
      <c r="D78" s="87">
        <v>15910</v>
      </c>
      <c r="E78" s="54">
        <v>16768</v>
      </c>
      <c r="F78" s="54">
        <v>14082</v>
      </c>
      <c r="G78" s="54">
        <v>13838</v>
      </c>
      <c r="H78" s="54">
        <v>16828</v>
      </c>
      <c r="I78" s="54">
        <v>15102</v>
      </c>
      <c r="J78" s="54">
        <v>14278</v>
      </c>
      <c r="K78" s="54">
        <v>14880</v>
      </c>
      <c r="L78" s="54">
        <v>14906</v>
      </c>
      <c r="M78" s="54">
        <v>15132</v>
      </c>
      <c r="N78" s="55">
        <v>19593</v>
      </c>
      <c r="O78" s="55">
        <v>186544</v>
      </c>
      <c r="P78" s="55">
        <v>204505</v>
      </c>
      <c r="Q78" s="55">
        <v>216667</v>
      </c>
    </row>
    <row r="79" spans="1:17" ht="23.25" customHeight="1">
      <c r="A79" s="52" t="s">
        <v>878</v>
      </c>
      <c r="B79" s="53"/>
      <c r="C79" s="86">
        <v>17754</v>
      </c>
      <c r="D79" s="87">
        <v>18550</v>
      </c>
      <c r="E79" s="54">
        <v>19551</v>
      </c>
      <c r="F79" s="54">
        <v>16419</v>
      </c>
      <c r="G79" s="54">
        <v>16134</v>
      </c>
      <c r="H79" s="54">
        <v>19620</v>
      </c>
      <c r="I79" s="54">
        <v>17608</v>
      </c>
      <c r="J79" s="54">
        <v>16647</v>
      </c>
      <c r="K79" s="54">
        <v>17349</v>
      </c>
      <c r="L79" s="54">
        <v>17380</v>
      </c>
      <c r="M79" s="54">
        <v>17643</v>
      </c>
      <c r="N79" s="55">
        <v>22844</v>
      </c>
      <c r="O79" s="55">
        <v>217499</v>
      </c>
      <c r="P79" s="55">
        <v>238456</v>
      </c>
      <c r="Q79" s="55">
        <v>252889</v>
      </c>
    </row>
    <row r="80" spans="1:17" ht="30.75" customHeight="1">
      <c r="A80" s="52" t="s">
        <v>879</v>
      </c>
      <c r="B80" s="53"/>
      <c r="C80" s="86">
        <v>5954</v>
      </c>
      <c r="D80" s="87">
        <v>6221</v>
      </c>
      <c r="E80" s="54">
        <v>6557</v>
      </c>
      <c r="F80" s="54">
        <v>5507</v>
      </c>
      <c r="G80" s="54">
        <v>5411</v>
      </c>
      <c r="H80" s="54">
        <v>6580</v>
      </c>
      <c r="I80" s="54">
        <v>5906</v>
      </c>
      <c r="J80" s="54">
        <v>5583</v>
      </c>
      <c r="K80" s="54">
        <v>5819</v>
      </c>
      <c r="L80" s="54">
        <v>5829</v>
      </c>
      <c r="M80" s="54">
        <v>5917</v>
      </c>
      <c r="N80" s="55">
        <v>7658</v>
      </c>
      <c r="O80" s="55">
        <v>72942</v>
      </c>
      <c r="P80" s="55">
        <v>74046</v>
      </c>
      <c r="Q80" s="55">
        <v>78494</v>
      </c>
    </row>
    <row r="81" spans="1:17" ht="23.25" customHeight="1">
      <c r="A81" s="52" t="s">
        <v>880</v>
      </c>
      <c r="B81" s="53"/>
      <c r="C81" s="86">
        <v>36711</v>
      </c>
      <c r="D81" s="87">
        <v>38357</v>
      </c>
      <c r="E81" s="54">
        <v>40427</v>
      </c>
      <c r="F81" s="54">
        <v>33951</v>
      </c>
      <c r="G81" s="54">
        <v>33362</v>
      </c>
      <c r="H81" s="54">
        <v>40570</v>
      </c>
      <c r="I81" s="54">
        <v>36410</v>
      </c>
      <c r="J81" s="54">
        <v>34423</v>
      </c>
      <c r="K81" s="54">
        <v>35874</v>
      </c>
      <c r="L81" s="54">
        <v>35937</v>
      </c>
      <c r="M81" s="54">
        <v>36483</v>
      </c>
      <c r="N81" s="55">
        <v>47243</v>
      </c>
      <c r="O81" s="55">
        <v>449748</v>
      </c>
      <c r="P81" s="55">
        <v>514159</v>
      </c>
      <c r="Q81" s="55">
        <v>527646</v>
      </c>
    </row>
    <row r="82" spans="1:17" ht="23.25" customHeight="1">
      <c r="A82" s="52" t="s">
        <v>881</v>
      </c>
      <c r="B82" s="53"/>
      <c r="C82" s="86">
        <v>4670</v>
      </c>
      <c r="D82" s="87">
        <v>4879</v>
      </c>
      <c r="E82" s="54">
        <v>5142</v>
      </c>
      <c r="F82" s="54">
        <v>4319</v>
      </c>
      <c r="G82" s="54">
        <v>4244</v>
      </c>
      <c r="H82" s="54">
        <v>5161</v>
      </c>
      <c r="I82" s="54">
        <v>4632</v>
      </c>
      <c r="J82" s="54">
        <v>4379</v>
      </c>
      <c r="K82" s="54">
        <v>4563</v>
      </c>
      <c r="L82" s="54">
        <v>4571</v>
      </c>
      <c r="M82" s="54">
        <v>4641</v>
      </c>
      <c r="N82" s="55">
        <v>6004</v>
      </c>
      <c r="O82" s="55">
        <v>57205</v>
      </c>
      <c r="P82" s="55">
        <v>43379</v>
      </c>
      <c r="Q82" s="55">
        <v>41065</v>
      </c>
    </row>
    <row r="83" spans="1:17" ht="23.25" customHeight="1">
      <c r="A83" s="52" t="s">
        <v>882</v>
      </c>
      <c r="B83" s="53"/>
      <c r="C83" s="84"/>
      <c r="D83" s="85"/>
      <c r="E83" s="58"/>
      <c r="F83" s="58"/>
      <c r="G83" s="58"/>
      <c r="H83" s="58"/>
      <c r="I83" s="58"/>
      <c r="J83" s="58"/>
      <c r="K83" s="58"/>
      <c r="L83" s="58"/>
      <c r="M83" s="58"/>
      <c r="N83" s="59" t="s">
        <v>835</v>
      </c>
      <c r="O83" s="59" t="s">
        <v>836</v>
      </c>
      <c r="P83" s="59" t="s">
        <v>836</v>
      </c>
      <c r="Q83" s="59" t="s">
        <v>836</v>
      </c>
    </row>
    <row r="84" spans="1:17" ht="23.25" customHeight="1">
      <c r="A84" s="52" t="s">
        <v>883</v>
      </c>
      <c r="B84" s="53"/>
      <c r="C84" s="84"/>
      <c r="D84" s="85"/>
      <c r="E84" s="58"/>
      <c r="F84" s="58"/>
      <c r="G84" s="58"/>
      <c r="H84" s="58"/>
      <c r="I84" s="58"/>
      <c r="J84" s="58"/>
      <c r="K84" s="58"/>
      <c r="L84" s="58"/>
      <c r="M84" s="58"/>
      <c r="N84" s="59" t="s">
        <v>835</v>
      </c>
      <c r="O84" s="59" t="s">
        <v>836</v>
      </c>
      <c r="P84" s="59" t="s">
        <v>836</v>
      </c>
      <c r="Q84" s="59" t="s">
        <v>836</v>
      </c>
    </row>
    <row r="85" spans="1:17" ht="23.25" customHeight="1">
      <c r="A85" s="52" t="s">
        <v>884</v>
      </c>
      <c r="B85" s="53"/>
      <c r="C85" s="84"/>
      <c r="D85" s="85"/>
      <c r="E85" s="58"/>
      <c r="F85" s="58"/>
      <c r="G85" s="58"/>
      <c r="H85" s="58"/>
      <c r="I85" s="58"/>
      <c r="J85" s="58"/>
      <c r="K85" s="58"/>
      <c r="L85" s="58"/>
      <c r="M85" s="58"/>
      <c r="N85" s="59" t="s">
        <v>835</v>
      </c>
      <c r="O85" s="59" t="s">
        <v>836</v>
      </c>
      <c r="P85" s="59" t="s">
        <v>836</v>
      </c>
      <c r="Q85" s="59" t="s">
        <v>836</v>
      </c>
    </row>
    <row r="86" spans="1:17" ht="23.25" customHeight="1">
      <c r="A86" s="52" t="s">
        <v>885</v>
      </c>
      <c r="B86" s="53"/>
      <c r="C86" s="84"/>
      <c r="D86" s="85"/>
      <c r="E86" s="58"/>
      <c r="F86" s="58"/>
      <c r="G86" s="58"/>
      <c r="H86" s="58"/>
      <c r="I86" s="58"/>
      <c r="J86" s="58"/>
      <c r="K86" s="58"/>
      <c r="L86" s="58"/>
      <c r="M86" s="58"/>
      <c r="N86" s="59" t="s">
        <v>835</v>
      </c>
      <c r="O86" s="59" t="s">
        <v>836</v>
      </c>
      <c r="P86" s="59" t="s">
        <v>836</v>
      </c>
      <c r="Q86" s="59" t="s">
        <v>836</v>
      </c>
    </row>
    <row r="87" spans="1:17" ht="23.25" customHeight="1" thickBot="1">
      <c r="A87" s="52" t="s">
        <v>886</v>
      </c>
      <c r="B87" s="53"/>
      <c r="C87" s="84"/>
      <c r="D87" s="85"/>
      <c r="E87" s="58"/>
      <c r="F87" s="58"/>
      <c r="G87" s="58"/>
      <c r="H87" s="58"/>
      <c r="I87" s="58"/>
      <c r="J87" s="58"/>
      <c r="K87" s="58"/>
      <c r="L87" s="58"/>
      <c r="M87" s="58"/>
      <c r="N87" s="59" t="s">
        <v>835</v>
      </c>
      <c r="O87" s="59" t="s">
        <v>836</v>
      </c>
      <c r="P87" s="59" t="s">
        <v>836</v>
      </c>
      <c r="Q87" s="59" t="s">
        <v>836</v>
      </c>
    </row>
    <row r="88" spans="1:17" ht="12.75">
      <c r="A88" s="61" t="s">
        <v>889</v>
      </c>
      <c r="B88" s="51"/>
      <c r="C88" s="63">
        <v>270277</v>
      </c>
      <c r="D88" s="64">
        <v>282393</v>
      </c>
      <c r="E88" s="62">
        <v>297636</v>
      </c>
      <c r="F88" s="62">
        <v>249955</v>
      </c>
      <c r="G88" s="62">
        <v>245618</v>
      </c>
      <c r="H88" s="62">
        <v>298685</v>
      </c>
      <c r="I88" s="62">
        <v>268058</v>
      </c>
      <c r="J88" s="62">
        <v>253432</v>
      </c>
      <c r="K88" s="62">
        <v>264110</v>
      </c>
      <c r="L88" s="62">
        <v>264578</v>
      </c>
      <c r="M88" s="62">
        <v>268596</v>
      </c>
      <c r="N88" s="62">
        <v>385351</v>
      </c>
      <c r="O88" s="62">
        <v>3348689</v>
      </c>
      <c r="P88" s="62">
        <v>3553430</v>
      </c>
      <c r="Q88" s="62">
        <v>3762238</v>
      </c>
    </row>
    <row r="89" spans="1:17" ht="13.5" thickBot="1">
      <c r="A89" s="65"/>
      <c r="B89" s="53"/>
      <c r="D89" s="60"/>
      <c r="E89" s="59"/>
      <c r="F89" s="59"/>
      <c r="G89" s="59"/>
      <c r="H89" s="59"/>
      <c r="I89" s="59"/>
      <c r="J89" s="59"/>
      <c r="K89" s="59"/>
      <c r="L89" s="59"/>
      <c r="M89" s="59"/>
      <c r="N89" s="59"/>
      <c r="O89" s="59"/>
      <c r="P89" s="59"/>
      <c r="Q89" s="59"/>
    </row>
    <row r="90" spans="1:17" ht="12.75">
      <c r="A90" s="66" t="s">
        <v>890</v>
      </c>
      <c r="B90" s="67"/>
      <c r="C90" s="63">
        <v>37148</v>
      </c>
      <c r="D90" s="64">
        <v>114628</v>
      </c>
      <c r="E90" s="62">
        <v>227047</v>
      </c>
      <c r="F90" s="62">
        <v>161724</v>
      </c>
      <c r="G90" s="62">
        <v>110731</v>
      </c>
      <c r="H90" s="62">
        <v>128282</v>
      </c>
      <c r="I90" s="62">
        <v>53015</v>
      </c>
      <c r="J90" s="62">
        <v>-4486</v>
      </c>
      <c r="K90" s="62">
        <v>139222</v>
      </c>
      <c r="L90" s="62">
        <v>126562</v>
      </c>
      <c r="M90" s="62">
        <v>-16668</v>
      </c>
      <c r="N90" s="62">
        <v>21525</v>
      </c>
      <c r="O90" s="62">
        <v>1098730</v>
      </c>
      <c r="P90" s="62">
        <v>1364598</v>
      </c>
      <c r="Q90" s="62">
        <v>1657018</v>
      </c>
    </row>
    <row r="91" spans="1:17" ht="15.75" customHeight="1">
      <c r="A91" s="65"/>
      <c r="B91" s="53"/>
      <c r="D91" s="60"/>
      <c r="E91" s="59"/>
      <c r="F91" s="59"/>
      <c r="G91" s="59"/>
      <c r="H91" s="59"/>
      <c r="I91" s="59"/>
      <c r="J91" s="59"/>
      <c r="K91" s="59"/>
      <c r="L91" s="59"/>
      <c r="M91" s="59"/>
      <c r="N91" s="59"/>
      <c r="O91" s="59"/>
      <c r="P91" s="59"/>
      <c r="Q91" s="59"/>
    </row>
    <row r="92" spans="1:17" ht="19.5" customHeight="1">
      <c r="A92" s="52" t="s">
        <v>865</v>
      </c>
      <c r="B92" s="53"/>
      <c r="C92" s="84"/>
      <c r="D92" s="85"/>
      <c r="E92" s="58"/>
      <c r="F92" s="58"/>
      <c r="G92" s="58"/>
      <c r="H92" s="58"/>
      <c r="I92" s="58"/>
      <c r="J92" s="58"/>
      <c r="K92" s="58"/>
      <c r="L92" s="58"/>
      <c r="M92" s="58"/>
      <c r="N92" s="59" t="s">
        <v>835</v>
      </c>
      <c r="O92" s="59" t="s">
        <v>836</v>
      </c>
      <c r="P92" s="59" t="s">
        <v>836</v>
      </c>
      <c r="Q92" s="59" t="s">
        <v>836</v>
      </c>
    </row>
    <row r="93" spans="1:17" ht="19.5" customHeight="1">
      <c r="A93" s="52" t="s">
        <v>866</v>
      </c>
      <c r="B93" s="53"/>
      <c r="C93" s="84"/>
      <c r="D93" s="85"/>
      <c r="E93" s="58"/>
      <c r="F93" s="58"/>
      <c r="G93" s="58"/>
      <c r="H93" s="58"/>
      <c r="I93" s="58"/>
      <c r="J93" s="58"/>
      <c r="K93" s="58"/>
      <c r="L93" s="58"/>
      <c r="M93" s="58"/>
      <c r="N93" s="59" t="s">
        <v>835</v>
      </c>
      <c r="O93" s="59" t="s">
        <v>836</v>
      </c>
      <c r="P93" s="59" t="s">
        <v>836</v>
      </c>
      <c r="Q93" s="59" t="s">
        <v>836</v>
      </c>
    </row>
    <row r="94" spans="1:17" ht="32.25" customHeight="1" thickBot="1">
      <c r="A94" s="52" t="s">
        <v>867</v>
      </c>
      <c r="B94" s="69"/>
      <c r="C94" s="84"/>
      <c r="D94" s="85"/>
      <c r="E94" s="58"/>
      <c r="F94" s="58"/>
      <c r="G94" s="58"/>
      <c r="H94" s="58"/>
      <c r="I94" s="58"/>
      <c r="J94" s="58"/>
      <c r="K94" s="58"/>
      <c r="L94" s="58"/>
      <c r="M94" s="58"/>
      <c r="N94" s="59" t="s">
        <v>835</v>
      </c>
      <c r="O94" s="59" t="s">
        <v>836</v>
      </c>
      <c r="P94" s="59" t="s">
        <v>836</v>
      </c>
      <c r="Q94" s="59" t="s">
        <v>836</v>
      </c>
    </row>
    <row r="95" spans="1:17" ht="24" customHeight="1" thickBot="1">
      <c r="A95" s="71" t="s">
        <v>860</v>
      </c>
      <c r="B95" s="72">
        <v>1</v>
      </c>
      <c r="C95" s="77">
        <v>37148</v>
      </c>
      <c r="D95" s="78">
        <v>114628</v>
      </c>
      <c r="E95" s="76">
        <v>227047</v>
      </c>
      <c r="F95" s="76">
        <v>161724</v>
      </c>
      <c r="G95" s="76">
        <v>110731</v>
      </c>
      <c r="H95" s="76">
        <v>128282</v>
      </c>
      <c r="I95" s="76">
        <v>53015</v>
      </c>
      <c r="J95" s="76">
        <v>-4486</v>
      </c>
      <c r="K95" s="76">
        <v>139222</v>
      </c>
      <c r="L95" s="76">
        <v>126562</v>
      </c>
      <c r="M95" s="76">
        <v>-16668</v>
      </c>
      <c r="N95" s="76">
        <v>21525</v>
      </c>
      <c r="O95" s="76">
        <v>1098730</v>
      </c>
      <c r="P95" s="76">
        <v>1364598</v>
      </c>
      <c r="Q95" s="76">
        <v>1657018</v>
      </c>
    </row>
    <row r="96" spans="1:2" ht="12.75">
      <c r="A96" s="79" t="s">
        <v>868</v>
      </c>
      <c r="B96" s="80"/>
    </row>
    <row r="97" ht="25.5">
      <c r="A97" s="81" t="s">
        <v>821</v>
      </c>
    </row>
    <row r="98" spans="1:17" ht="12.75">
      <c r="A98" s="82" t="s">
        <v>822</v>
      </c>
      <c r="O98" s="83" t="s">
        <v>869</v>
      </c>
      <c r="P98" s="83" t="s">
        <v>869</v>
      </c>
      <c r="Q98" s="83" t="s">
        <v>869</v>
      </c>
    </row>
  </sheetData>
  <sheetProtection/>
  <mergeCells count="6">
    <mergeCell ref="C52:N52"/>
    <mergeCell ref="O52:Q52"/>
    <mergeCell ref="A1:Q1"/>
    <mergeCell ref="A51:Q51"/>
    <mergeCell ref="C2:N2"/>
    <mergeCell ref="O2:Q2"/>
  </mergeCells>
  <printOptions/>
  <pageMargins left="0.7" right="0.7" top="0.75" bottom="0.75" header="0.3" footer="0.3"/>
  <pageSetup horizontalDpi="600" verticalDpi="600" orientation="landscape" paperSize="8" scale="96" r:id="rId1"/>
  <headerFooter>
    <oddHeader>&amp;C&amp;A</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F322"/>
  <sheetViews>
    <sheetView view="pageBreakPreview" zoomScale="80" zoomScaleSheetLayoutView="80" zoomScalePageLayoutView="0" workbookViewId="0" topLeftCell="A154">
      <selection activeCell="D161" sqref="D161"/>
    </sheetView>
  </sheetViews>
  <sheetFormatPr defaultColWidth="9.140625" defaultRowHeight="15"/>
  <cols>
    <col min="1" max="1" width="40.28125" style="80" customWidth="1"/>
    <col min="2" max="2" width="9.140625" style="39" customWidth="1"/>
    <col min="3" max="3" width="13.7109375" style="39" customWidth="1"/>
    <col min="4" max="6" width="18.7109375" style="39" customWidth="1"/>
    <col min="7" max="16384" width="9.140625" style="39" customWidth="1"/>
  </cols>
  <sheetData>
    <row r="1" spans="1:6" ht="37.5" customHeight="1">
      <c r="A1" s="127" t="s">
        <v>232</v>
      </c>
      <c r="B1" s="128" t="s">
        <v>233</v>
      </c>
      <c r="C1" s="128"/>
      <c r="D1" s="129" t="s">
        <v>234</v>
      </c>
      <c r="E1" s="130" t="s">
        <v>235</v>
      </c>
      <c r="F1" s="130" t="s">
        <v>236</v>
      </c>
    </row>
    <row r="2" spans="1:6" ht="26.25" customHeight="1">
      <c r="A2" s="131" t="s">
        <v>237</v>
      </c>
      <c r="B2" s="132"/>
      <c r="C2" s="132"/>
      <c r="D2" s="133"/>
      <c r="E2" s="133"/>
      <c r="F2" s="133"/>
    </row>
    <row r="3" spans="1:6" ht="12.75">
      <c r="A3" s="134"/>
      <c r="B3" s="135"/>
      <c r="C3" s="135"/>
      <c r="D3" s="136"/>
      <c r="E3" s="136"/>
      <c r="F3" s="136"/>
    </row>
    <row r="4" spans="1:6" ht="12.75">
      <c r="A4" s="137" t="s">
        <v>58</v>
      </c>
      <c r="B4" s="138"/>
      <c r="C4" s="138"/>
      <c r="D4" s="139"/>
      <c r="E4" s="139">
        <v>0</v>
      </c>
      <c r="F4" s="139">
        <v>0</v>
      </c>
    </row>
    <row r="5" spans="1:6" ht="12.75">
      <c r="A5" s="140"/>
      <c r="B5" s="141"/>
      <c r="C5" s="141"/>
      <c r="D5" s="142"/>
      <c r="E5" s="142"/>
      <c r="F5" s="142"/>
    </row>
    <row r="6" spans="1:6" ht="12.75">
      <c r="A6" s="140"/>
      <c r="B6" s="141"/>
      <c r="C6" s="141"/>
      <c r="D6" s="142"/>
      <c r="E6" s="142"/>
      <c r="F6" s="142"/>
    </row>
    <row r="7" spans="1:6" ht="12.75">
      <c r="A7" s="143" t="s">
        <v>238</v>
      </c>
      <c r="B7" s="144"/>
      <c r="C7" s="144"/>
      <c r="D7" s="145"/>
      <c r="E7" s="146"/>
      <c r="F7" s="145"/>
    </row>
    <row r="8" spans="1:6" ht="21.75" customHeight="1">
      <c r="A8" s="140" t="s">
        <v>239</v>
      </c>
      <c r="B8" s="141" t="s">
        <v>240</v>
      </c>
      <c r="C8" s="141" t="s">
        <v>241</v>
      </c>
      <c r="D8" s="142">
        <v>1000000</v>
      </c>
      <c r="E8" s="142">
        <v>4000000</v>
      </c>
      <c r="F8" s="142">
        <v>5000000</v>
      </c>
    </row>
    <row r="9" spans="1:6" ht="35.25" customHeight="1">
      <c r="A9" s="147" t="s">
        <v>242</v>
      </c>
      <c r="B9" s="148" t="s">
        <v>240</v>
      </c>
      <c r="C9" s="148" t="s">
        <v>243</v>
      </c>
      <c r="D9" s="142">
        <v>2100000</v>
      </c>
      <c r="E9" s="142">
        <v>0</v>
      </c>
      <c r="F9" s="142">
        <v>1000000</v>
      </c>
    </row>
    <row r="10" spans="1:6" ht="38.25">
      <c r="A10" s="140" t="s">
        <v>244</v>
      </c>
      <c r="B10" s="141" t="s">
        <v>240</v>
      </c>
      <c r="C10" s="141" t="s">
        <v>245</v>
      </c>
      <c r="D10" s="142">
        <v>0</v>
      </c>
      <c r="E10" s="142">
        <v>0</v>
      </c>
      <c r="F10" s="142">
        <v>2500000</v>
      </c>
    </row>
    <row r="11" spans="1:6" ht="43.5" customHeight="1">
      <c r="A11" s="140" t="s">
        <v>246</v>
      </c>
      <c r="B11" s="141" t="s">
        <v>240</v>
      </c>
      <c r="C11" s="141" t="s">
        <v>241</v>
      </c>
      <c r="D11" s="142"/>
      <c r="E11" s="142">
        <v>1800000</v>
      </c>
      <c r="F11" s="142">
        <v>1900000</v>
      </c>
    </row>
    <row r="12" spans="1:6" ht="22.5" customHeight="1">
      <c r="A12" s="147" t="s">
        <v>247</v>
      </c>
      <c r="B12" s="148" t="s">
        <v>240</v>
      </c>
      <c r="C12" s="148" t="s">
        <v>243</v>
      </c>
      <c r="D12" s="142">
        <v>0</v>
      </c>
      <c r="E12" s="142">
        <v>2000000</v>
      </c>
      <c r="F12" s="142">
        <v>3000000</v>
      </c>
    </row>
    <row r="13" spans="1:6" ht="46.5" customHeight="1">
      <c r="A13" s="140" t="s">
        <v>248</v>
      </c>
      <c r="B13" s="141" t="s">
        <v>240</v>
      </c>
      <c r="C13" s="141" t="s">
        <v>245</v>
      </c>
      <c r="D13" s="142">
        <v>0</v>
      </c>
      <c r="E13" s="142">
        <v>1500000</v>
      </c>
      <c r="F13" s="142">
        <v>1600000</v>
      </c>
    </row>
    <row r="14" spans="1:6" ht="33" customHeight="1">
      <c r="A14" s="147" t="s">
        <v>249</v>
      </c>
      <c r="B14" s="148" t="s">
        <v>240</v>
      </c>
      <c r="C14" s="148" t="s">
        <v>243</v>
      </c>
      <c r="D14" s="142">
        <v>0</v>
      </c>
      <c r="E14" s="142">
        <v>7000000</v>
      </c>
      <c r="F14" s="142">
        <v>7500000</v>
      </c>
    </row>
    <row r="15" spans="1:6" ht="33" customHeight="1">
      <c r="A15" s="147" t="s">
        <v>250</v>
      </c>
      <c r="B15" s="148" t="s">
        <v>240</v>
      </c>
      <c r="C15" s="148" t="s">
        <v>243</v>
      </c>
      <c r="D15" s="142">
        <v>0</v>
      </c>
      <c r="E15" s="142">
        <v>3000000</v>
      </c>
      <c r="F15" s="142">
        <v>5000000</v>
      </c>
    </row>
    <row r="16" spans="1:6" ht="12.75">
      <c r="A16" s="140"/>
      <c r="B16" s="149"/>
      <c r="C16" s="149" t="s">
        <v>251</v>
      </c>
      <c r="D16" s="150">
        <f>SUM(D8:D15)</f>
        <v>3100000</v>
      </c>
      <c r="E16" s="150">
        <f>SUM(E8:E15)</f>
        <v>19300000</v>
      </c>
      <c r="F16" s="150">
        <f>SUM(F8:F15)</f>
        <v>27500000</v>
      </c>
    </row>
    <row r="17" spans="1:6" ht="12.75">
      <c r="A17" s="140"/>
      <c r="B17" s="149"/>
      <c r="C17" s="149" t="s">
        <v>251</v>
      </c>
      <c r="D17" s="139"/>
      <c r="E17" s="139"/>
      <c r="F17" s="139"/>
    </row>
    <row r="18" spans="1:6" ht="12.75">
      <c r="A18" s="137" t="s">
        <v>252</v>
      </c>
      <c r="B18" s="149"/>
      <c r="C18" s="149" t="s">
        <v>253</v>
      </c>
      <c r="D18" s="142"/>
      <c r="E18" s="142"/>
      <c r="F18" s="142"/>
    </row>
    <row r="19" spans="1:6" ht="25.5" customHeight="1">
      <c r="A19" s="140" t="s">
        <v>254</v>
      </c>
      <c r="B19" s="141" t="s">
        <v>240</v>
      </c>
      <c r="C19" s="141" t="s">
        <v>241</v>
      </c>
      <c r="D19" s="151">
        <v>5000000</v>
      </c>
      <c r="E19" s="151">
        <v>4500000</v>
      </c>
      <c r="F19" s="151">
        <v>8000000</v>
      </c>
    </row>
    <row r="20" spans="1:6" ht="25.5" customHeight="1">
      <c r="A20" s="140" t="s">
        <v>255</v>
      </c>
      <c r="B20" s="141" t="s">
        <v>240</v>
      </c>
      <c r="C20" s="141" t="s">
        <v>241</v>
      </c>
      <c r="D20" s="151">
        <v>4000000</v>
      </c>
      <c r="E20" s="151">
        <v>2000000</v>
      </c>
      <c r="F20" s="151">
        <v>2500000</v>
      </c>
    </row>
    <row r="21" spans="1:6" ht="25.5" customHeight="1">
      <c r="A21" s="147" t="s">
        <v>256</v>
      </c>
      <c r="B21" s="148" t="s">
        <v>240</v>
      </c>
      <c r="C21" s="148" t="s">
        <v>243</v>
      </c>
      <c r="D21" s="151">
        <f>250000+250000</f>
        <v>500000</v>
      </c>
      <c r="E21" s="151">
        <v>500000</v>
      </c>
      <c r="F21" s="151">
        <v>1000000</v>
      </c>
    </row>
    <row r="22" spans="1:6" ht="25.5" customHeight="1">
      <c r="A22" s="140" t="s">
        <v>257</v>
      </c>
      <c r="B22" s="141" t="s">
        <v>240</v>
      </c>
      <c r="C22" s="141" t="s">
        <v>241</v>
      </c>
      <c r="D22" s="151">
        <f>2000000+350000</f>
        <v>2350000</v>
      </c>
      <c r="E22" s="151">
        <v>500000</v>
      </c>
      <c r="F22" s="151">
        <v>1000000</v>
      </c>
    </row>
    <row r="23" spans="1:6" ht="25.5" customHeight="1">
      <c r="A23" s="140" t="s">
        <v>258</v>
      </c>
      <c r="B23" s="141" t="s">
        <v>240</v>
      </c>
      <c r="C23" s="141" t="s">
        <v>241</v>
      </c>
      <c r="D23" s="151">
        <v>500000</v>
      </c>
      <c r="E23" s="151">
        <v>700000</v>
      </c>
      <c r="F23" s="151">
        <v>500000</v>
      </c>
    </row>
    <row r="24" spans="1:6" ht="25.5" customHeight="1">
      <c r="A24" s="147" t="s">
        <v>259</v>
      </c>
      <c r="B24" s="148" t="s">
        <v>240</v>
      </c>
      <c r="C24" s="148" t="s">
        <v>243</v>
      </c>
      <c r="D24" s="151">
        <v>500000</v>
      </c>
      <c r="E24" s="151">
        <v>0</v>
      </c>
      <c r="F24" s="151">
        <v>0</v>
      </c>
    </row>
    <row r="25" spans="1:6" ht="28.5" customHeight="1">
      <c r="A25" s="147" t="s">
        <v>260</v>
      </c>
      <c r="B25" s="148" t="s">
        <v>240</v>
      </c>
      <c r="C25" s="148" t="s">
        <v>243</v>
      </c>
      <c r="D25" s="151">
        <v>500000</v>
      </c>
      <c r="E25" s="151">
        <v>0</v>
      </c>
      <c r="F25" s="151">
        <v>2000000</v>
      </c>
    </row>
    <row r="26" spans="1:6" ht="28.5" customHeight="1">
      <c r="A26" s="147" t="s">
        <v>261</v>
      </c>
      <c r="B26" s="148" t="s">
        <v>240</v>
      </c>
      <c r="C26" s="148" t="s">
        <v>243</v>
      </c>
      <c r="D26" s="151">
        <f>800000-500000</f>
        <v>300000</v>
      </c>
      <c r="E26" s="151">
        <f>800000+500000</f>
        <v>1300000</v>
      </c>
      <c r="F26" s="151">
        <v>2000000</v>
      </c>
    </row>
    <row r="27" spans="1:6" ht="28.5" customHeight="1">
      <c r="A27" s="147" t="s">
        <v>262</v>
      </c>
      <c r="B27" s="148" t="s">
        <v>240</v>
      </c>
      <c r="C27" s="148" t="s">
        <v>243</v>
      </c>
      <c r="D27" s="151">
        <v>0</v>
      </c>
      <c r="E27" s="151">
        <v>3000000</v>
      </c>
      <c r="F27" s="151">
        <v>4000000</v>
      </c>
    </row>
    <row r="28" spans="1:6" ht="28.5" customHeight="1">
      <c r="A28" s="147" t="s">
        <v>263</v>
      </c>
      <c r="B28" s="148" t="s">
        <v>240</v>
      </c>
      <c r="C28" s="148" t="s">
        <v>243</v>
      </c>
      <c r="D28" s="151">
        <v>1500000</v>
      </c>
      <c r="E28" s="151">
        <v>0</v>
      </c>
      <c r="F28" s="151">
        <v>500000</v>
      </c>
    </row>
    <row r="29" spans="1:6" ht="38.25" customHeight="1">
      <c r="A29" s="147" t="s">
        <v>264</v>
      </c>
      <c r="B29" s="148" t="s">
        <v>240</v>
      </c>
      <c r="C29" s="148" t="s">
        <v>243</v>
      </c>
      <c r="D29" s="151">
        <v>0</v>
      </c>
      <c r="E29" s="151">
        <v>750000</v>
      </c>
      <c r="F29" s="151">
        <v>800000</v>
      </c>
    </row>
    <row r="30" spans="1:6" ht="26.25" customHeight="1">
      <c r="A30" s="152" t="s">
        <v>265</v>
      </c>
      <c r="B30" s="141" t="s">
        <v>240</v>
      </c>
      <c r="C30" s="141" t="s">
        <v>241</v>
      </c>
      <c r="D30" s="142">
        <v>0</v>
      </c>
      <c r="E30" s="142">
        <v>750000</v>
      </c>
      <c r="F30" s="142">
        <v>0</v>
      </c>
    </row>
    <row r="31" spans="1:6" ht="30" customHeight="1">
      <c r="A31" s="147" t="s">
        <v>266</v>
      </c>
      <c r="B31" s="148" t="s">
        <v>240</v>
      </c>
      <c r="C31" s="148" t="s">
        <v>243</v>
      </c>
      <c r="D31" s="151">
        <v>1000000</v>
      </c>
      <c r="E31" s="151">
        <v>4000000</v>
      </c>
      <c r="F31" s="151">
        <v>6000000</v>
      </c>
    </row>
    <row r="32" spans="1:6" ht="23.25" customHeight="1">
      <c r="A32" s="140" t="s">
        <v>267</v>
      </c>
      <c r="B32" s="141" t="s">
        <v>240</v>
      </c>
      <c r="C32" s="141" t="s">
        <v>241</v>
      </c>
      <c r="D32" s="151">
        <v>0</v>
      </c>
      <c r="E32" s="151">
        <v>0</v>
      </c>
      <c r="F32" s="151">
        <v>1500000</v>
      </c>
    </row>
    <row r="33" spans="1:6" ht="33.75" customHeight="1">
      <c r="A33" s="140" t="s">
        <v>268</v>
      </c>
      <c r="B33" s="141" t="s">
        <v>240</v>
      </c>
      <c r="C33" s="141" t="s">
        <v>241</v>
      </c>
      <c r="D33" s="151">
        <v>0</v>
      </c>
      <c r="E33" s="151">
        <v>0</v>
      </c>
      <c r="F33" s="151">
        <v>3000000</v>
      </c>
    </row>
    <row r="34" spans="1:6" ht="33" customHeight="1">
      <c r="A34" s="147" t="s">
        <v>269</v>
      </c>
      <c r="B34" s="148" t="s">
        <v>240</v>
      </c>
      <c r="C34" s="148" t="s">
        <v>243</v>
      </c>
      <c r="D34" s="151">
        <v>0</v>
      </c>
      <c r="E34" s="151">
        <v>0</v>
      </c>
      <c r="F34" s="151">
        <v>4000000</v>
      </c>
    </row>
    <row r="35" spans="1:6" ht="39" customHeight="1">
      <c r="A35" s="147" t="s">
        <v>270</v>
      </c>
      <c r="B35" s="148" t="s">
        <v>240</v>
      </c>
      <c r="C35" s="148" t="s">
        <v>243</v>
      </c>
      <c r="D35" s="151">
        <v>0</v>
      </c>
      <c r="E35" s="151">
        <v>0</v>
      </c>
      <c r="F35" s="151">
        <v>3000000</v>
      </c>
    </row>
    <row r="36" spans="1:6" ht="41.25" customHeight="1">
      <c r="A36" s="147" t="s">
        <v>271</v>
      </c>
      <c r="B36" s="148" t="s">
        <v>240</v>
      </c>
      <c r="C36" s="148" t="s">
        <v>243</v>
      </c>
      <c r="D36" s="151">
        <v>0</v>
      </c>
      <c r="E36" s="151">
        <v>0</v>
      </c>
      <c r="F36" s="151">
        <v>400000</v>
      </c>
    </row>
    <row r="37" spans="1:6" ht="25.5">
      <c r="A37" s="147" t="s">
        <v>272</v>
      </c>
      <c r="B37" s="148" t="s">
        <v>240</v>
      </c>
      <c r="C37" s="148" t="s">
        <v>243</v>
      </c>
      <c r="D37" s="151">
        <v>0</v>
      </c>
      <c r="E37" s="151">
        <v>0</v>
      </c>
      <c r="F37" s="151">
        <v>3000000</v>
      </c>
    </row>
    <row r="38" spans="1:6" ht="30.75" customHeight="1">
      <c r="A38" s="147" t="s">
        <v>273</v>
      </c>
      <c r="B38" s="148" t="s">
        <v>240</v>
      </c>
      <c r="C38" s="148" t="s">
        <v>243</v>
      </c>
      <c r="D38" s="151">
        <v>0</v>
      </c>
      <c r="E38" s="151">
        <v>0</v>
      </c>
      <c r="F38" s="151">
        <v>3000000</v>
      </c>
    </row>
    <row r="39" spans="1:6" ht="38.25" customHeight="1">
      <c r="A39" s="147" t="s">
        <v>274</v>
      </c>
      <c r="B39" s="148" t="s">
        <v>240</v>
      </c>
      <c r="C39" s="148" t="s">
        <v>243</v>
      </c>
      <c r="D39" s="151">
        <v>0</v>
      </c>
      <c r="E39" s="151"/>
      <c r="F39" s="151">
        <v>1500000</v>
      </c>
    </row>
    <row r="40" spans="1:6" ht="12.75">
      <c r="A40" s="140"/>
      <c r="B40" s="141"/>
      <c r="C40" s="141" t="s">
        <v>251</v>
      </c>
      <c r="D40" s="153">
        <f>SUM(D19:D39)</f>
        <v>16150000</v>
      </c>
      <c r="E40" s="153">
        <f>SUM(E19:E39)</f>
        <v>18000000</v>
      </c>
      <c r="F40" s="153">
        <f>SUM(F19:F39)</f>
        <v>47700000</v>
      </c>
    </row>
    <row r="41" spans="1:6" ht="12.75">
      <c r="A41" s="140"/>
      <c r="B41" s="141"/>
      <c r="C41" s="141" t="s">
        <v>251</v>
      </c>
      <c r="D41" s="151"/>
      <c r="E41" s="151"/>
      <c r="F41" s="151"/>
    </row>
    <row r="42" spans="1:6" ht="12.75">
      <c r="A42" s="140"/>
      <c r="B42" s="149"/>
      <c r="C42" s="149" t="s">
        <v>251</v>
      </c>
      <c r="D42" s="142"/>
      <c r="E42" s="142"/>
      <c r="F42" s="142"/>
    </row>
    <row r="43" spans="1:6" ht="33" customHeight="1">
      <c r="A43" s="137" t="s">
        <v>275</v>
      </c>
      <c r="B43" s="149"/>
      <c r="C43" s="149" t="s">
        <v>253</v>
      </c>
      <c r="D43" s="142"/>
      <c r="E43" s="142"/>
      <c r="F43" s="142"/>
    </row>
    <row r="44" spans="1:6" ht="30" customHeight="1">
      <c r="A44" s="147" t="s">
        <v>276</v>
      </c>
      <c r="B44" s="148" t="s">
        <v>240</v>
      </c>
      <c r="C44" s="148" t="s">
        <v>243</v>
      </c>
      <c r="D44" s="142">
        <v>1700000</v>
      </c>
      <c r="E44" s="142">
        <v>2000000</v>
      </c>
      <c r="F44" s="142">
        <v>0</v>
      </c>
    </row>
    <row r="45" spans="1:6" ht="21.75" customHeight="1">
      <c r="A45" s="147" t="s">
        <v>277</v>
      </c>
      <c r="B45" s="148" t="s">
        <v>240</v>
      </c>
      <c r="C45" s="148" t="s">
        <v>243</v>
      </c>
      <c r="D45" s="142">
        <v>227000</v>
      </c>
      <c r="E45" s="142">
        <v>250000</v>
      </c>
      <c r="F45" s="142">
        <v>1000000</v>
      </c>
    </row>
    <row r="46" spans="1:6" ht="21.75" customHeight="1">
      <c r="A46" s="147" t="s">
        <v>278</v>
      </c>
      <c r="B46" s="154" t="s">
        <v>240</v>
      </c>
      <c r="C46" s="154" t="s">
        <v>243</v>
      </c>
      <c r="D46" s="151">
        <v>100000</v>
      </c>
      <c r="E46" s="151">
        <v>100000</v>
      </c>
      <c r="F46" s="151">
        <f>200000</f>
        <v>200000</v>
      </c>
    </row>
    <row r="47" spans="1:6" ht="12.75">
      <c r="A47" s="140"/>
      <c r="B47" s="149"/>
      <c r="C47" s="149" t="s">
        <v>251</v>
      </c>
      <c r="D47" s="139">
        <f>SUM(D44:D46)</f>
        <v>2027000</v>
      </c>
      <c r="E47" s="139">
        <f>SUM(E44:E46)</f>
        <v>2350000</v>
      </c>
      <c r="F47" s="139">
        <f>SUM(F44:F46)</f>
        <v>1200000</v>
      </c>
    </row>
    <row r="48" spans="1:6" ht="18.75" customHeight="1">
      <c r="A48" s="155" t="s">
        <v>279</v>
      </c>
      <c r="B48" s="149"/>
      <c r="C48" s="149" t="s">
        <v>253</v>
      </c>
      <c r="D48" s="142"/>
      <c r="E48" s="142"/>
      <c r="F48" s="142"/>
    </row>
    <row r="49" spans="1:6" ht="18.75" customHeight="1">
      <c r="A49" s="156" t="s">
        <v>280</v>
      </c>
      <c r="B49" s="148" t="s">
        <v>281</v>
      </c>
      <c r="C49" s="148" t="s">
        <v>243</v>
      </c>
      <c r="D49" s="142">
        <v>4000000</v>
      </c>
      <c r="E49" s="142">
        <v>0</v>
      </c>
      <c r="F49" s="142">
        <v>0</v>
      </c>
    </row>
    <row r="50" spans="1:6" ht="18.75" customHeight="1">
      <c r="A50" s="156" t="s">
        <v>282</v>
      </c>
      <c r="B50" s="148" t="s">
        <v>281</v>
      </c>
      <c r="C50" s="148" t="s">
        <v>243</v>
      </c>
      <c r="D50" s="142">
        <v>2600000</v>
      </c>
      <c r="E50" s="142">
        <v>0</v>
      </c>
      <c r="F50" s="142">
        <v>0</v>
      </c>
    </row>
    <row r="51" spans="1:6" ht="28.5" customHeight="1">
      <c r="A51" s="147" t="s">
        <v>283</v>
      </c>
      <c r="B51" s="148" t="s">
        <v>281</v>
      </c>
      <c r="C51" s="148" t="s">
        <v>243</v>
      </c>
      <c r="D51" s="142">
        <v>17900000</v>
      </c>
      <c r="E51" s="142">
        <f>14000000-4000000</f>
        <v>10000000</v>
      </c>
      <c r="F51" s="142">
        <v>0</v>
      </c>
    </row>
    <row r="52" spans="1:6" ht="19.5" customHeight="1">
      <c r="A52" s="147" t="s">
        <v>284</v>
      </c>
      <c r="B52" s="148" t="s">
        <v>281</v>
      </c>
      <c r="C52" s="148" t="s">
        <v>243</v>
      </c>
      <c r="D52" s="142">
        <v>10000000</v>
      </c>
      <c r="E52" s="142">
        <v>11000000</v>
      </c>
      <c r="F52" s="142">
        <v>14000000</v>
      </c>
    </row>
    <row r="53" spans="1:6" ht="19.5" customHeight="1">
      <c r="A53" s="140" t="s">
        <v>285</v>
      </c>
      <c r="B53" s="141" t="s">
        <v>281</v>
      </c>
      <c r="C53" s="141" t="s">
        <v>245</v>
      </c>
      <c r="D53" s="142">
        <v>11000000</v>
      </c>
      <c r="E53" s="142">
        <f>13000000-5000000</f>
        <v>8000000</v>
      </c>
      <c r="F53" s="142">
        <v>0</v>
      </c>
    </row>
    <row r="54" spans="1:6" ht="19.5" customHeight="1">
      <c r="A54" s="147" t="s">
        <v>286</v>
      </c>
      <c r="B54" s="148" t="s">
        <v>281</v>
      </c>
      <c r="C54" s="148" t="s">
        <v>243</v>
      </c>
      <c r="D54" s="142">
        <v>10000000</v>
      </c>
      <c r="E54" s="142">
        <v>11000000</v>
      </c>
      <c r="F54" s="142">
        <v>0</v>
      </c>
    </row>
    <row r="55" spans="1:6" ht="33.75" customHeight="1">
      <c r="A55" s="147" t="s">
        <v>287</v>
      </c>
      <c r="B55" s="148" t="s">
        <v>281</v>
      </c>
      <c r="C55" s="148" t="s">
        <v>243</v>
      </c>
      <c r="D55" s="142">
        <v>20000000</v>
      </c>
      <c r="E55" s="142">
        <f>16000000-6000000</f>
        <v>10000000</v>
      </c>
      <c r="F55" s="142">
        <f>17000000-7000000</f>
        <v>10000000</v>
      </c>
    </row>
    <row r="56" spans="1:6" ht="12.75">
      <c r="A56" s="147" t="s">
        <v>288</v>
      </c>
      <c r="B56" s="148" t="s">
        <v>281</v>
      </c>
      <c r="C56" s="148" t="s">
        <v>243</v>
      </c>
      <c r="D56" s="142">
        <v>3325000</v>
      </c>
      <c r="E56" s="142">
        <v>11000000</v>
      </c>
      <c r="F56" s="142">
        <v>0</v>
      </c>
    </row>
    <row r="57" spans="1:6" ht="24.75" customHeight="1">
      <c r="A57" s="147" t="s">
        <v>289</v>
      </c>
      <c r="B57" s="148" t="s">
        <v>281</v>
      </c>
      <c r="C57" s="148" t="s">
        <v>243</v>
      </c>
      <c r="D57" s="142">
        <f>12500000-8500000</f>
        <v>4000000</v>
      </c>
      <c r="E57" s="142">
        <v>11000000</v>
      </c>
      <c r="F57" s="142">
        <v>0</v>
      </c>
    </row>
    <row r="58" spans="1:6" ht="33" customHeight="1">
      <c r="A58" s="140" t="s">
        <v>290</v>
      </c>
      <c r="B58" s="141" t="s">
        <v>281</v>
      </c>
      <c r="C58" s="141" t="s">
        <v>245</v>
      </c>
      <c r="D58" s="142">
        <v>10000000</v>
      </c>
      <c r="E58" s="142">
        <f>10000000-5000000</f>
        <v>5000000</v>
      </c>
      <c r="F58" s="142">
        <f>9000000-4000000</f>
        <v>5000000</v>
      </c>
    </row>
    <row r="59" spans="1:6" ht="22.5" customHeight="1">
      <c r="A59" s="152" t="s">
        <v>291</v>
      </c>
      <c r="B59" s="141" t="s">
        <v>281</v>
      </c>
      <c r="C59" s="141" t="s">
        <v>245</v>
      </c>
      <c r="D59" s="142">
        <v>0</v>
      </c>
      <c r="E59" s="142">
        <v>10000000</v>
      </c>
      <c r="F59" s="142">
        <f>11000000-4000000</f>
        <v>7000000</v>
      </c>
    </row>
    <row r="60" spans="1:6" ht="30" customHeight="1">
      <c r="A60" s="140" t="s">
        <v>292</v>
      </c>
      <c r="B60" s="141" t="s">
        <v>281</v>
      </c>
      <c r="C60" s="141" t="s">
        <v>245</v>
      </c>
      <c r="D60" s="142">
        <v>10000000</v>
      </c>
      <c r="E60" s="142">
        <f>15000000-10000000</f>
        <v>5000000</v>
      </c>
      <c r="F60" s="142">
        <v>10000000</v>
      </c>
    </row>
    <row r="61" spans="1:6" ht="22.5" customHeight="1">
      <c r="A61" s="140" t="s">
        <v>293</v>
      </c>
      <c r="B61" s="141" t="s">
        <v>240</v>
      </c>
      <c r="C61" s="141" t="s">
        <v>245</v>
      </c>
      <c r="D61" s="142">
        <v>4000000</v>
      </c>
      <c r="E61" s="142">
        <v>10000000</v>
      </c>
      <c r="F61" s="142">
        <v>10000000</v>
      </c>
    </row>
    <row r="62" spans="1:6" ht="25.5" customHeight="1">
      <c r="A62" s="140" t="s">
        <v>294</v>
      </c>
      <c r="B62" s="141" t="s">
        <v>240</v>
      </c>
      <c r="C62" s="141" t="s">
        <v>241</v>
      </c>
      <c r="D62" s="142">
        <v>0</v>
      </c>
      <c r="E62" s="142">
        <v>8000000</v>
      </c>
      <c r="F62" s="142">
        <v>0</v>
      </c>
    </row>
    <row r="63" spans="1:6" ht="36" customHeight="1">
      <c r="A63" s="140" t="s">
        <v>295</v>
      </c>
      <c r="B63" s="141" t="s">
        <v>240</v>
      </c>
      <c r="C63" s="141" t="s">
        <v>245</v>
      </c>
      <c r="D63" s="142">
        <v>1900000</v>
      </c>
      <c r="E63" s="142">
        <v>6000000</v>
      </c>
      <c r="F63" s="142">
        <v>0</v>
      </c>
    </row>
    <row r="64" spans="1:6" ht="30" customHeight="1">
      <c r="A64" s="140" t="s">
        <v>296</v>
      </c>
      <c r="B64" s="141" t="s">
        <v>240</v>
      </c>
      <c r="C64" s="141" t="s">
        <v>245</v>
      </c>
      <c r="D64" s="142">
        <v>9500000</v>
      </c>
      <c r="E64" s="142">
        <v>12000000</v>
      </c>
      <c r="F64" s="142">
        <v>15000000</v>
      </c>
    </row>
    <row r="65" spans="1:6" ht="29.25" customHeight="1">
      <c r="A65" s="140" t="s">
        <v>297</v>
      </c>
      <c r="B65" s="141" t="s">
        <v>240</v>
      </c>
      <c r="C65" s="141" t="s">
        <v>245</v>
      </c>
      <c r="D65" s="142">
        <v>4000000</v>
      </c>
      <c r="E65" s="142">
        <v>12000000</v>
      </c>
      <c r="F65" s="142">
        <v>15000000</v>
      </c>
    </row>
    <row r="66" spans="1:6" ht="29.25" customHeight="1">
      <c r="A66" s="140" t="s">
        <v>297</v>
      </c>
      <c r="B66" s="141" t="s">
        <v>281</v>
      </c>
      <c r="C66" s="141" t="s">
        <v>245</v>
      </c>
      <c r="D66" s="142">
        <v>3000000</v>
      </c>
      <c r="E66" s="142"/>
      <c r="F66" s="142"/>
    </row>
    <row r="67" spans="1:6" ht="29.25" customHeight="1">
      <c r="A67" s="140" t="s">
        <v>298</v>
      </c>
      <c r="B67" s="141" t="s">
        <v>240</v>
      </c>
      <c r="C67" s="141" t="s">
        <v>245</v>
      </c>
      <c r="D67" s="142">
        <v>9500000</v>
      </c>
      <c r="E67" s="142">
        <v>12000000</v>
      </c>
      <c r="F67" s="142">
        <v>15000000</v>
      </c>
    </row>
    <row r="68" spans="1:6" ht="29.25" customHeight="1">
      <c r="A68" s="140" t="s">
        <v>299</v>
      </c>
      <c r="B68" s="141" t="s">
        <v>240</v>
      </c>
      <c r="C68" s="141" t="s">
        <v>245</v>
      </c>
      <c r="D68" s="142">
        <v>9500000</v>
      </c>
      <c r="E68" s="142">
        <v>12000000</v>
      </c>
      <c r="F68" s="142">
        <v>15000000</v>
      </c>
    </row>
    <row r="69" spans="1:6" ht="29.25" customHeight="1">
      <c r="A69" s="140" t="s">
        <v>300</v>
      </c>
      <c r="B69" s="141" t="s">
        <v>281</v>
      </c>
      <c r="C69" s="141" t="s">
        <v>245</v>
      </c>
      <c r="D69" s="142">
        <f>9500000-4000000</f>
        <v>5500000</v>
      </c>
      <c r="E69" s="142"/>
      <c r="F69" s="142"/>
    </row>
    <row r="70" spans="1:6" ht="29.25" customHeight="1">
      <c r="A70" s="140" t="s">
        <v>300</v>
      </c>
      <c r="B70" s="141" t="s">
        <v>240</v>
      </c>
      <c r="C70" s="141"/>
      <c r="D70" s="142">
        <v>4000000</v>
      </c>
      <c r="E70" s="142">
        <v>12000000</v>
      </c>
      <c r="F70" s="142">
        <v>15000000</v>
      </c>
    </row>
    <row r="71" spans="1:6" ht="33" customHeight="1">
      <c r="A71" s="140" t="s">
        <v>301</v>
      </c>
      <c r="B71" s="141" t="s">
        <v>240</v>
      </c>
      <c r="C71" s="157"/>
      <c r="D71" s="142"/>
      <c r="E71" s="142"/>
      <c r="F71" s="142"/>
    </row>
    <row r="72" spans="1:6" ht="31.5" customHeight="1">
      <c r="A72" s="140" t="s">
        <v>302</v>
      </c>
      <c r="B72" s="141" t="s">
        <v>240</v>
      </c>
      <c r="C72" s="157"/>
      <c r="D72" s="142"/>
      <c r="E72" s="142"/>
      <c r="F72" s="142"/>
    </row>
    <row r="73" spans="1:6" ht="29.25" customHeight="1">
      <c r="A73" s="140" t="s">
        <v>303</v>
      </c>
      <c r="B73" s="141" t="s">
        <v>240</v>
      </c>
      <c r="C73" s="141" t="s">
        <v>245</v>
      </c>
      <c r="D73" s="142">
        <v>1140000</v>
      </c>
      <c r="E73" s="142">
        <v>5000000</v>
      </c>
      <c r="F73" s="142">
        <v>6000000</v>
      </c>
    </row>
    <row r="74" spans="1:6" ht="22.5" customHeight="1">
      <c r="A74" s="147" t="s">
        <v>304</v>
      </c>
      <c r="B74" s="148" t="s">
        <v>240</v>
      </c>
      <c r="C74" s="148" t="s">
        <v>243</v>
      </c>
      <c r="D74" s="142">
        <v>3000000</v>
      </c>
      <c r="E74" s="142">
        <v>5000000</v>
      </c>
      <c r="F74" s="142">
        <v>4000000</v>
      </c>
    </row>
    <row r="75" spans="1:6" ht="22.5" customHeight="1">
      <c r="A75" s="147" t="s">
        <v>305</v>
      </c>
      <c r="B75" s="148" t="s">
        <v>240</v>
      </c>
      <c r="C75" s="148" t="s">
        <v>243</v>
      </c>
      <c r="D75" s="151">
        <f>190000+2500000</f>
        <v>2690000</v>
      </c>
      <c r="E75" s="151">
        <v>1200000</v>
      </c>
      <c r="F75" s="151">
        <v>800000</v>
      </c>
    </row>
    <row r="76" spans="1:6" ht="30" customHeight="1">
      <c r="A76" s="152" t="s">
        <v>306</v>
      </c>
      <c r="B76" s="141" t="s">
        <v>307</v>
      </c>
      <c r="C76" s="141" t="s">
        <v>245</v>
      </c>
      <c r="D76" s="151">
        <f>11246000+1400000</f>
        <v>12646000</v>
      </c>
      <c r="E76" s="151"/>
      <c r="F76" s="151"/>
    </row>
    <row r="77" spans="1:6" ht="30" customHeight="1">
      <c r="A77" s="152" t="s">
        <v>308</v>
      </c>
      <c r="B77" s="141" t="s">
        <v>307</v>
      </c>
      <c r="C77" s="141" t="s">
        <v>245</v>
      </c>
      <c r="D77" s="151">
        <v>8566000</v>
      </c>
      <c r="E77" s="151"/>
      <c r="F77" s="151"/>
    </row>
    <row r="78" spans="1:6" ht="30" customHeight="1">
      <c r="A78" s="152" t="s">
        <v>309</v>
      </c>
      <c r="B78" s="141" t="s">
        <v>307</v>
      </c>
      <c r="C78" s="141" t="s">
        <v>245</v>
      </c>
      <c r="D78" s="151">
        <v>8788000</v>
      </c>
      <c r="E78" s="151"/>
      <c r="F78" s="151"/>
    </row>
    <row r="79" spans="1:6" ht="30" customHeight="1">
      <c r="A79" s="152" t="s">
        <v>310</v>
      </c>
      <c r="B79" s="141" t="s">
        <v>307</v>
      </c>
      <c r="C79" s="141" t="s">
        <v>245</v>
      </c>
      <c r="D79" s="151">
        <v>5000000</v>
      </c>
      <c r="E79" s="151"/>
      <c r="F79" s="151"/>
    </row>
    <row r="80" spans="1:6" ht="12.75">
      <c r="A80" s="152" t="s">
        <v>307</v>
      </c>
      <c r="B80" s="141" t="s">
        <v>311</v>
      </c>
      <c r="C80" s="141"/>
      <c r="D80" s="151"/>
      <c r="E80" s="151">
        <v>35000000</v>
      </c>
      <c r="F80" s="151">
        <v>35000000</v>
      </c>
    </row>
    <row r="81" spans="1:6" ht="25.5">
      <c r="A81" s="140" t="s">
        <v>312</v>
      </c>
      <c r="B81" s="141" t="s">
        <v>281</v>
      </c>
      <c r="C81" s="141" t="s">
        <v>245</v>
      </c>
      <c r="D81" s="151">
        <v>7000000</v>
      </c>
      <c r="E81" s="151">
        <v>0</v>
      </c>
      <c r="F81" s="151">
        <v>10000000</v>
      </c>
    </row>
    <row r="82" spans="1:6" ht="33" customHeight="1">
      <c r="A82" s="140" t="s">
        <v>313</v>
      </c>
      <c r="B82" s="141" t="s">
        <v>281</v>
      </c>
      <c r="C82" s="141" t="s">
        <v>245</v>
      </c>
      <c r="D82" s="151">
        <v>0</v>
      </c>
      <c r="E82" s="151">
        <v>10000000</v>
      </c>
      <c r="F82" s="151">
        <v>0</v>
      </c>
    </row>
    <row r="83" spans="1:6" ht="33.75" customHeight="1">
      <c r="A83" s="140" t="s">
        <v>314</v>
      </c>
      <c r="B83" s="141" t="s">
        <v>281</v>
      </c>
      <c r="C83" s="141" t="s">
        <v>245</v>
      </c>
      <c r="D83" s="151">
        <v>0</v>
      </c>
      <c r="E83" s="151">
        <v>0</v>
      </c>
      <c r="F83" s="151">
        <v>15000000</v>
      </c>
    </row>
    <row r="84" spans="1:6" ht="33.75" customHeight="1">
      <c r="A84" s="140" t="s">
        <v>315</v>
      </c>
      <c r="B84" s="141" t="s">
        <v>281</v>
      </c>
      <c r="C84" s="141" t="s">
        <v>245</v>
      </c>
      <c r="D84" s="151">
        <v>0</v>
      </c>
      <c r="E84" s="151">
        <v>0</v>
      </c>
      <c r="F84" s="151">
        <v>15000000</v>
      </c>
    </row>
    <row r="85" spans="1:6" ht="18.75" customHeight="1">
      <c r="A85" s="140" t="s">
        <v>316</v>
      </c>
      <c r="B85" s="141" t="s">
        <v>281</v>
      </c>
      <c r="C85" s="141" t="s">
        <v>245</v>
      </c>
      <c r="D85" s="151">
        <v>0</v>
      </c>
      <c r="E85" s="151">
        <v>0</v>
      </c>
      <c r="F85" s="151">
        <v>15000000</v>
      </c>
    </row>
    <row r="86" spans="1:6" ht="18.75" customHeight="1">
      <c r="A86" s="140" t="s">
        <v>317</v>
      </c>
      <c r="B86" s="141" t="s">
        <v>281</v>
      </c>
      <c r="C86" s="141" t="s">
        <v>245</v>
      </c>
      <c r="D86" s="151">
        <v>0</v>
      </c>
      <c r="E86" s="151">
        <v>0</v>
      </c>
      <c r="F86" s="151">
        <v>15000000</v>
      </c>
    </row>
    <row r="87" spans="1:6" ht="18.75" customHeight="1">
      <c r="A87" s="140" t="s">
        <v>318</v>
      </c>
      <c r="B87" s="141" t="s">
        <v>281</v>
      </c>
      <c r="C87" s="141" t="s">
        <v>245</v>
      </c>
      <c r="D87" s="151">
        <v>0</v>
      </c>
      <c r="E87" s="151">
        <v>0</v>
      </c>
      <c r="F87" s="151">
        <v>15000000</v>
      </c>
    </row>
    <row r="88" spans="1:6" ht="18.75" customHeight="1">
      <c r="A88" s="140" t="s">
        <v>319</v>
      </c>
      <c r="B88" s="141" t="s">
        <v>320</v>
      </c>
      <c r="C88" s="141" t="s">
        <v>243</v>
      </c>
      <c r="D88" s="151">
        <v>14400000</v>
      </c>
      <c r="E88" s="151"/>
      <c r="F88" s="151"/>
    </row>
    <row r="89" spans="1:6" ht="18.75" customHeight="1">
      <c r="A89" s="140" t="s">
        <v>321</v>
      </c>
      <c r="B89" s="141" t="s">
        <v>281</v>
      </c>
      <c r="C89" s="141" t="s">
        <v>245</v>
      </c>
      <c r="D89" s="151">
        <v>0</v>
      </c>
      <c r="E89" s="151">
        <v>0</v>
      </c>
      <c r="F89" s="151">
        <v>15000000</v>
      </c>
    </row>
    <row r="90" spans="1:6" ht="33.75" customHeight="1">
      <c r="A90" s="156" t="s">
        <v>322</v>
      </c>
      <c r="B90" s="154" t="s">
        <v>240</v>
      </c>
      <c r="C90" s="154" t="s">
        <v>243</v>
      </c>
      <c r="D90" s="151">
        <v>70000000</v>
      </c>
      <c r="E90" s="151">
        <v>75000000</v>
      </c>
      <c r="F90" s="151">
        <v>80000000</v>
      </c>
    </row>
    <row r="91" spans="1:6" ht="12.75">
      <c r="A91" s="140"/>
      <c r="B91" s="141"/>
      <c r="C91" s="141" t="s">
        <v>323</v>
      </c>
      <c r="D91" s="151"/>
      <c r="E91" s="151"/>
      <c r="F91" s="151"/>
    </row>
    <row r="92" spans="1:6" ht="12.75">
      <c r="A92" s="140"/>
      <c r="B92" s="141"/>
      <c r="C92" s="141" t="s">
        <v>251</v>
      </c>
      <c r="D92" s="153">
        <f>SUM(D49:D91)</f>
        <v>286955000</v>
      </c>
      <c r="E92" s="153">
        <f>SUM(E49:E91)</f>
        <v>307200000</v>
      </c>
      <c r="F92" s="153">
        <f>SUM(F49:F91)</f>
        <v>356800000</v>
      </c>
    </row>
    <row r="93" spans="1:6" ht="12.75">
      <c r="A93" s="140"/>
      <c r="B93" s="149"/>
      <c r="C93" s="149" t="s">
        <v>251</v>
      </c>
      <c r="D93" s="142"/>
      <c r="E93" s="142"/>
      <c r="F93" s="142"/>
    </row>
    <row r="94" spans="1:6" ht="12.75">
      <c r="A94" s="137" t="s">
        <v>324</v>
      </c>
      <c r="B94" s="149"/>
      <c r="C94" s="149" t="s">
        <v>253</v>
      </c>
      <c r="D94" s="142"/>
      <c r="E94" s="142"/>
      <c r="F94" s="142"/>
    </row>
    <row r="95" spans="1:6" ht="17.25" customHeight="1">
      <c r="A95" s="147" t="s">
        <v>325</v>
      </c>
      <c r="B95" s="148" t="s">
        <v>281</v>
      </c>
      <c r="C95" s="148" t="s">
        <v>243</v>
      </c>
      <c r="D95" s="142">
        <v>23000000</v>
      </c>
      <c r="E95" s="142">
        <f>23509300-10000000</f>
        <v>13509300</v>
      </c>
      <c r="F95" s="142">
        <f>25000000-10000000</f>
        <v>15000000</v>
      </c>
    </row>
    <row r="96" spans="1:6" ht="17.25" customHeight="1">
      <c r="A96" s="147" t="s">
        <v>326</v>
      </c>
      <c r="B96" s="148" t="s">
        <v>281</v>
      </c>
      <c r="C96" s="148" t="s">
        <v>243</v>
      </c>
      <c r="D96" s="142">
        <v>0</v>
      </c>
      <c r="E96" s="142">
        <v>12000000</v>
      </c>
      <c r="F96" s="142">
        <v>13000000</v>
      </c>
    </row>
    <row r="97" spans="1:6" ht="17.25" customHeight="1">
      <c r="A97" s="147" t="s">
        <v>327</v>
      </c>
      <c r="B97" s="148" t="s">
        <v>281</v>
      </c>
      <c r="C97" s="148" t="s">
        <v>243</v>
      </c>
      <c r="D97" s="142">
        <v>20000000</v>
      </c>
      <c r="E97" s="142">
        <f>29000000-15000000</f>
        <v>14000000</v>
      </c>
      <c r="F97" s="142">
        <f>30000000-15000000</f>
        <v>15000000</v>
      </c>
    </row>
    <row r="98" spans="1:6" ht="17.25" customHeight="1">
      <c r="A98" s="147" t="s">
        <v>328</v>
      </c>
      <c r="B98" s="148" t="s">
        <v>281</v>
      </c>
      <c r="C98" s="148" t="s">
        <v>243</v>
      </c>
      <c r="D98" s="142">
        <v>0</v>
      </c>
      <c r="E98" s="142">
        <v>10000000</v>
      </c>
      <c r="F98" s="142">
        <v>10000000</v>
      </c>
    </row>
    <row r="99" spans="1:6" ht="17.25" customHeight="1">
      <c r="A99" s="147" t="s">
        <v>329</v>
      </c>
      <c r="B99" s="148" t="s">
        <v>281</v>
      </c>
      <c r="C99" s="148" t="s">
        <v>243</v>
      </c>
      <c r="D99" s="142">
        <v>17000000</v>
      </c>
      <c r="E99" s="142">
        <f>27000000-17000000</f>
        <v>10000000</v>
      </c>
      <c r="F99" s="142">
        <f>30000000-15000000</f>
        <v>15000000</v>
      </c>
    </row>
    <row r="100" spans="1:6" ht="17.25" customHeight="1">
      <c r="A100" s="147" t="s">
        <v>330</v>
      </c>
      <c r="B100" s="148" t="s">
        <v>281</v>
      </c>
      <c r="C100" s="148" t="s">
        <v>243</v>
      </c>
      <c r="D100" s="142">
        <v>0</v>
      </c>
      <c r="E100" s="142">
        <f>15000000-5000000</f>
        <v>10000000</v>
      </c>
      <c r="F100" s="142">
        <v>16000000</v>
      </c>
    </row>
    <row r="101" spans="1:6" ht="17.25" customHeight="1">
      <c r="A101" s="147" t="s">
        <v>331</v>
      </c>
      <c r="B101" s="148" t="s">
        <v>281</v>
      </c>
      <c r="C101" s="148" t="s">
        <v>243</v>
      </c>
      <c r="D101" s="142">
        <v>10000000</v>
      </c>
      <c r="E101" s="142">
        <v>10000000</v>
      </c>
      <c r="F101" s="142">
        <v>10000000</v>
      </c>
    </row>
    <row r="102" spans="1:6" ht="17.25" customHeight="1">
      <c r="A102" s="147" t="s">
        <v>332</v>
      </c>
      <c r="B102" s="148" t="s">
        <v>281</v>
      </c>
      <c r="C102" s="148" t="s">
        <v>243</v>
      </c>
      <c r="D102" s="142">
        <v>0</v>
      </c>
      <c r="E102" s="142">
        <f>13000000-6000000</f>
        <v>7000000</v>
      </c>
      <c r="F102" s="142">
        <v>14000000</v>
      </c>
    </row>
    <row r="103" spans="1:6" ht="17.25" customHeight="1">
      <c r="A103" s="147" t="s">
        <v>333</v>
      </c>
      <c r="B103" s="148" t="s">
        <v>281</v>
      </c>
      <c r="C103" s="148" t="s">
        <v>243</v>
      </c>
      <c r="D103" s="142">
        <v>10000000</v>
      </c>
      <c r="E103" s="142">
        <f>10000000-4000000-863300</f>
        <v>5136700</v>
      </c>
      <c r="F103" s="142">
        <f>11000000-5747900</f>
        <v>5252100</v>
      </c>
    </row>
    <row r="104" spans="1:6" ht="17.25" customHeight="1">
      <c r="A104" s="147" t="s">
        <v>334</v>
      </c>
      <c r="B104" s="148" t="s">
        <v>281</v>
      </c>
      <c r="C104" s="148" t="s">
        <v>243</v>
      </c>
      <c r="D104" s="142">
        <v>6000000</v>
      </c>
      <c r="E104" s="142">
        <f>8000000-2000000</f>
        <v>6000000</v>
      </c>
      <c r="F104" s="142">
        <v>8000000</v>
      </c>
    </row>
    <row r="105" spans="1:6" ht="17.25" customHeight="1">
      <c r="A105" s="147" t="s">
        <v>335</v>
      </c>
      <c r="B105" s="148" t="s">
        <v>281</v>
      </c>
      <c r="C105" s="148" t="s">
        <v>243</v>
      </c>
      <c r="D105" s="142">
        <v>15000000</v>
      </c>
      <c r="E105" s="142">
        <v>11000000</v>
      </c>
      <c r="F105" s="142">
        <v>1000000</v>
      </c>
    </row>
    <row r="106" spans="1:6" ht="17.25" customHeight="1">
      <c r="A106" s="147" t="s">
        <v>336</v>
      </c>
      <c r="B106" s="148" t="s">
        <v>281</v>
      </c>
      <c r="C106" s="148" t="s">
        <v>243</v>
      </c>
      <c r="D106" s="142">
        <v>9763000</v>
      </c>
      <c r="E106" s="142">
        <f>10000000+3000000</f>
        <v>13000000</v>
      </c>
      <c r="F106" s="142">
        <v>10000000</v>
      </c>
    </row>
    <row r="107" spans="1:6" ht="42.75" customHeight="1">
      <c r="A107" s="147" t="s">
        <v>337</v>
      </c>
      <c r="B107" s="148" t="s">
        <v>338</v>
      </c>
      <c r="C107" s="148" t="s">
        <v>243</v>
      </c>
      <c r="D107" s="142">
        <v>20000000</v>
      </c>
      <c r="E107" s="142">
        <f>10000000+19800000</f>
        <v>29800000</v>
      </c>
      <c r="F107" s="142">
        <f>10000000</f>
        <v>10000000</v>
      </c>
    </row>
    <row r="108" spans="1:6" ht="29.25" customHeight="1">
      <c r="A108" s="147" t="s">
        <v>339</v>
      </c>
      <c r="B108" s="148" t="s">
        <v>338</v>
      </c>
      <c r="C108" s="148" t="s">
        <v>243</v>
      </c>
      <c r="D108" s="142">
        <v>1000000</v>
      </c>
      <c r="E108" s="142">
        <v>8000000</v>
      </c>
      <c r="F108" s="142">
        <f>9000000+10728100</f>
        <v>19728100</v>
      </c>
    </row>
    <row r="109" spans="1:6" ht="29.25" customHeight="1">
      <c r="A109" s="147" t="s">
        <v>340</v>
      </c>
      <c r="B109" s="148" t="s">
        <v>338</v>
      </c>
      <c r="C109" s="148" t="s">
        <v>243</v>
      </c>
      <c r="D109" s="142">
        <v>1000000</v>
      </c>
      <c r="E109" s="142">
        <f>10000000+5000000</f>
        <v>15000000</v>
      </c>
      <c r="F109" s="142">
        <v>11000000</v>
      </c>
    </row>
    <row r="110" spans="1:6" ht="29.25" customHeight="1">
      <c r="A110" s="147" t="s">
        <v>341</v>
      </c>
      <c r="B110" s="148" t="s">
        <v>240</v>
      </c>
      <c r="C110" s="148" t="s">
        <v>243</v>
      </c>
      <c r="D110" s="142">
        <v>665000</v>
      </c>
      <c r="E110" s="142">
        <v>6000000</v>
      </c>
      <c r="F110" s="142">
        <v>8000000</v>
      </c>
    </row>
    <row r="111" spans="1:6" ht="29.25" customHeight="1">
      <c r="A111" s="140" t="s">
        <v>342</v>
      </c>
      <c r="B111" s="141" t="s">
        <v>240</v>
      </c>
      <c r="C111" s="141" t="s">
        <v>245</v>
      </c>
      <c r="D111" s="142">
        <v>475000</v>
      </c>
      <c r="E111" s="142">
        <v>1000000</v>
      </c>
      <c r="F111" s="142">
        <v>1500000</v>
      </c>
    </row>
    <row r="112" spans="1:6" ht="18.75" customHeight="1">
      <c r="A112" s="147" t="s">
        <v>343</v>
      </c>
      <c r="B112" s="148" t="s">
        <v>240</v>
      </c>
      <c r="C112" s="148" t="s">
        <v>243</v>
      </c>
      <c r="D112" s="142">
        <v>665000</v>
      </c>
      <c r="E112" s="142">
        <v>8000000</v>
      </c>
      <c r="F112" s="142">
        <v>10000000</v>
      </c>
    </row>
    <row r="113" spans="1:6" ht="18.75" customHeight="1">
      <c r="A113" s="147" t="s">
        <v>344</v>
      </c>
      <c r="B113" s="148" t="s">
        <v>240</v>
      </c>
      <c r="C113" s="148" t="s">
        <v>243</v>
      </c>
      <c r="D113" s="142">
        <v>13300000</v>
      </c>
      <c r="E113" s="142">
        <v>5000000</v>
      </c>
      <c r="F113" s="142">
        <v>10000000</v>
      </c>
    </row>
    <row r="114" spans="1:6" ht="18.75" customHeight="1">
      <c r="A114" s="147" t="s">
        <v>345</v>
      </c>
      <c r="B114" s="148" t="s">
        <v>240</v>
      </c>
      <c r="C114" s="148" t="s">
        <v>243</v>
      </c>
      <c r="D114" s="142">
        <v>0</v>
      </c>
      <c r="E114" s="142">
        <v>1000000</v>
      </c>
      <c r="F114" s="142">
        <v>2000000</v>
      </c>
    </row>
    <row r="115" spans="1:6" ht="18.75" customHeight="1">
      <c r="A115" s="147" t="s">
        <v>346</v>
      </c>
      <c r="B115" s="148" t="s">
        <v>338</v>
      </c>
      <c r="C115" s="148" t="s">
        <v>243</v>
      </c>
      <c r="D115" s="142">
        <v>1000000</v>
      </c>
      <c r="E115" s="142">
        <f>20000000+5000000</f>
        <v>25000000</v>
      </c>
      <c r="F115" s="142">
        <v>30000900</v>
      </c>
    </row>
    <row r="116" spans="1:6" ht="18.75" customHeight="1">
      <c r="A116" s="147" t="s">
        <v>347</v>
      </c>
      <c r="B116" s="148" t="s">
        <v>281</v>
      </c>
      <c r="C116" s="148" t="s">
        <v>243</v>
      </c>
      <c r="D116" s="142">
        <v>0</v>
      </c>
      <c r="E116" s="142">
        <f>32509300-12509300</f>
        <v>20000000</v>
      </c>
      <c r="F116" s="142">
        <f>40000000-15000000</f>
        <v>25000000</v>
      </c>
    </row>
    <row r="117" spans="1:6" ht="33" customHeight="1">
      <c r="A117" s="147" t="s">
        <v>348</v>
      </c>
      <c r="B117" s="148" t="s">
        <v>349</v>
      </c>
      <c r="C117" s="148" t="s">
        <v>243</v>
      </c>
      <c r="D117" s="142">
        <v>83335120</v>
      </c>
      <c r="E117" s="142">
        <v>110000000</v>
      </c>
      <c r="F117" s="142">
        <v>200551000</v>
      </c>
    </row>
    <row r="118" spans="1:6" ht="19.5" customHeight="1">
      <c r="A118" s="147" t="s">
        <v>350</v>
      </c>
      <c r="B118" s="148" t="s">
        <v>240</v>
      </c>
      <c r="C118" s="148" t="s">
        <v>243</v>
      </c>
      <c r="D118" s="142"/>
      <c r="E118" s="142">
        <v>0</v>
      </c>
      <c r="F118" s="142">
        <v>0</v>
      </c>
    </row>
    <row r="119" spans="1:6" ht="19.5" customHeight="1">
      <c r="A119" s="140" t="s">
        <v>351</v>
      </c>
      <c r="B119" s="141" t="s">
        <v>240</v>
      </c>
      <c r="C119" s="141" t="s">
        <v>245</v>
      </c>
      <c r="D119" s="142"/>
      <c r="E119" s="142"/>
      <c r="F119" s="142"/>
    </row>
    <row r="120" spans="1:6" ht="19.5" customHeight="1">
      <c r="A120" s="140" t="s">
        <v>352</v>
      </c>
      <c r="B120" s="141" t="s">
        <v>240</v>
      </c>
      <c r="C120" s="141" t="s">
        <v>245</v>
      </c>
      <c r="D120" s="142"/>
      <c r="E120" s="142"/>
      <c r="F120" s="142"/>
    </row>
    <row r="121" spans="1:6" ht="19.5" customHeight="1">
      <c r="A121" s="140" t="s">
        <v>353</v>
      </c>
      <c r="B121" s="141" t="s">
        <v>349</v>
      </c>
      <c r="C121" s="141" t="s">
        <v>245</v>
      </c>
      <c r="D121" s="142">
        <v>0</v>
      </c>
      <c r="E121" s="142">
        <v>110998000</v>
      </c>
      <c r="F121" s="142">
        <v>283100000</v>
      </c>
    </row>
    <row r="122" spans="1:6" ht="19.5" customHeight="1">
      <c r="A122" s="140" t="s">
        <v>354</v>
      </c>
      <c r="B122" s="141" t="s">
        <v>240</v>
      </c>
      <c r="C122" s="141" t="s">
        <v>245</v>
      </c>
      <c r="D122" s="142">
        <v>4750000</v>
      </c>
      <c r="E122" s="142">
        <v>0</v>
      </c>
      <c r="F122" s="142">
        <v>0</v>
      </c>
    </row>
    <row r="123" spans="1:6" ht="19.5" customHeight="1">
      <c r="A123" s="140" t="s">
        <v>355</v>
      </c>
      <c r="B123" s="141" t="s">
        <v>240</v>
      </c>
      <c r="C123" s="141" t="s">
        <v>245</v>
      </c>
      <c r="D123" s="142">
        <v>4750000</v>
      </c>
      <c r="E123" s="142">
        <v>0</v>
      </c>
      <c r="F123" s="142">
        <v>0</v>
      </c>
    </row>
    <row r="124" spans="1:6" ht="32.25" customHeight="1">
      <c r="A124" s="147" t="s">
        <v>356</v>
      </c>
      <c r="B124" s="148" t="s">
        <v>338</v>
      </c>
      <c r="C124" s="148" t="s">
        <v>243</v>
      </c>
      <c r="D124" s="142">
        <v>45600000</v>
      </c>
      <c r="E124" s="142">
        <f>10000000+20000000+2200000</f>
        <v>32200000</v>
      </c>
      <c r="F124" s="142">
        <f>29000000+14000000+2321000</f>
        <v>45321000</v>
      </c>
    </row>
    <row r="125" spans="1:6" ht="32.25" customHeight="1">
      <c r="A125" s="140" t="s">
        <v>357</v>
      </c>
      <c r="B125" s="141" t="s">
        <v>240</v>
      </c>
      <c r="C125" s="141" t="s">
        <v>241</v>
      </c>
      <c r="D125" s="142">
        <f>4750000-250000</f>
        <v>4500000</v>
      </c>
      <c r="E125" s="142">
        <v>0</v>
      </c>
      <c r="F125" s="142">
        <v>0</v>
      </c>
    </row>
    <row r="126" spans="1:6" ht="32.25" customHeight="1">
      <c r="A126" s="140" t="s">
        <v>358</v>
      </c>
      <c r="B126" s="141" t="s">
        <v>240</v>
      </c>
      <c r="C126" s="141" t="s">
        <v>241</v>
      </c>
      <c r="D126" s="142">
        <f>4750000-250000</f>
        <v>4500000</v>
      </c>
      <c r="E126" s="142">
        <v>0</v>
      </c>
      <c r="F126" s="142">
        <v>0</v>
      </c>
    </row>
    <row r="127" spans="1:6" ht="32.25" customHeight="1">
      <c r="A127" s="140"/>
      <c r="B127" s="141"/>
      <c r="C127" s="141"/>
      <c r="D127" s="142"/>
      <c r="E127" s="142"/>
      <c r="F127" s="142"/>
    </row>
    <row r="128" spans="1:6" ht="23.25" customHeight="1">
      <c r="A128" s="140" t="s">
        <v>353</v>
      </c>
      <c r="B128" s="141" t="s">
        <v>240</v>
      </c>
      <c r="C128" s="141" t="s">
        <v>245</v>
      </c>
      <c r="D128" s="142">
        <v>950000</v>
      </c>
      <c r="E128" s="142">
        <v>0</v>
      </c>
      <c r="F128" s="142">
        <v>0</v>
      </c>
    </row>
    <row r="129" spans="1:6" ht="12.75">
      <c r="A129" s="140"/>
      <c r="B129" s="141"/>
      <c r="C129" s="141" t="s">
        <v>251</v>
      </c>
      <c r="D129" s="150">
        <f>SUM(D95:D128)</f>
        <v>297253120</v>
      </c>
      <c r="E129" s="150">
        <f>SUM(E95:E128)</f>
        <v>493644000</v>
      </c>
      <c r="F129" s="150">
        <f>SUM(F95:F128)</f>
        <v>788453100</v>
      </c>
    </row>
    <row r="130" spans="1:6" ht="12.75">
      <c r="A130" s="140"/>
      <c r="B130" s="149"/>
      <c r="C130" s="149" t="s">
        <v>251</v>
      </c>
      <c r="D130" s="142"/>
      <c r="E130" s="142"/>
      <c r="F130" s="142"/>
    </row>
    <row r="131" spans="1:6" ht="22.5" customHeight="1">
      <c r="A131" s="137" t="s">
        <v>359</v>
      </c>
      <c r="B131" s="149"/>
      <c r="C131" s="149" t="s">
        <v>253</v>
      </c>
      <c r="D131" s="142"/>
      <c r="E131" s="142"/>
      <c r="F131" s="142"/>
    </row>
    <row r="132" spans="1:6" ht="22.5" customHeight="1">
      <c r="A132" s="147" t="s">
        <v>360</v>
      </c>
      <c r="B132" s="148" t="s">
        <v>349</v>
      </c>
      <c r="C132" s="148" t="s">
        <v>243</v>
      </c>
      <c r="D132" s="142"/>
      <c r="E132" s="142">
        <v>0</v>
      </c>
      <c r="F132" s="142">
        <v>0</v>
      </c>
    </row>
    <row r="133" spans="1:6" ht="22.5" customHeight="1">
      <c r="A133" s="147" t="s">
        <v>361</v>
      </c>
      <c r="B133" s="148" t="s">
        <v>349</v>
      </c>
      <c r="C133" s="148" t="s">
        <v>243</v>
      </c>
      <c r="D133" s="142">
        <v>180519880</v>
      </c>
      <c r="E133" s="142">
        <f>410000000-170000000</f>
        <v>240000000</v>
      </c>
      <c r="F133" s="142">
        <v>160840000</v>
      </c>
    </row>
    <row r="134" spans="1:6" ht="22.5" customHeight="1">
      <c r="A134" s="147" t="s">
        <v>361</v>
      </c>
      <c r="B134" s="148" t="s">
        <v>362</v>
      </c>
      <c r="C134" s="148" t="s">
        <v>243</v>
      </c>
      <c r="D134" s="142">
        <v>170000000</v>
      </c>
      <c r="E134" s="142"/>
      <c r="F134" s="142"/>
    </row>
    <row r="135" spans="1:6" ht="31.5" customHeight="1">
      <c r="A135" s="140" t="s">
        <v>363</v>
      </c>
      <c r="B135" s="141" t="s">
        <v>240</v>
      </c>
      <c r="C135" s="141" t="s">
        <v>241</v>
      </c>
      <c r="D135" s="142">
        <v>41800000</v>
      </c>
      <c r="E135" s="142">
        <v>0</v>
      </c>
      <c r="F135" s="142">
        <v>0</v>
      </c>
    </row>
    <row r="136" spans="1:6" ht="24.75" customHeight="1">
      <c r="A136" s="147" t="s">
        <v>364</v>
      </c>
      <c r="B136" s="148" t="s">
        <v>240</v>
      </c>
      <c r="C136" s="148" t="s">
        <v>243</v>
      </c>
      <c r="D136" s="142">
        <v>0</v>
      </c>
      <c r="E136" s="142">
        <v>0</v>
      </c>
      <c r="F136" s="142">
        <v>3000000</v>
      </c>
    </row>
    <row r="137" spans="1:6" ht="12.75">
      <c r="A137" s="140"/>
      <c r="B137" s="141"/>
      <c r="C137" s="141" t="s">
        <v>323</v>
      </c>
      <c r="D137" s="142"/>
      <c r="E137" s="142"/>
      <c r="F137" s="142"/>
    </row>
    <row r="138" spans="1:6" ht="12.75">
      <c r="A138" s="140"/>
      <c r="B138" s="149"/>
      <c r="C138" s="149" t="s">
        <v>251</v>
      </c>
      <c r="D138" s="150">
        <f>SUM(D132:D137)</f>
        <v>392319880</v>
      </c>
      <c r="E138" s="150">
        <f>SUM(E132:E137)</f>
        <v>240000000</v>
      </c>
      <c r="F138" s="150">
        <f>SUM(F132:F137)</f>
        <v>163840000</v>
      </c>
    </row>
    <row r="139" spans="1:6" ht="12.75">
      <c r="A139" s="137" t="s">
        <v>365</v>
      </c>
      <c r="B139" s="149"/>
      <c r="C139" s="149" t="s">
        <v>253</v>
      </c>
      <c r="D139" s="142"/>
      <c r="E139" s="142"/>
      <c r="F139" s="142"/>
    </row>
    <row r="140" spans="1:6" ht="63" customHeight="1">
      <c r="A140" s="147" t="s">
        <v>366</v>
      </c>
      <c r="B140" s="148" t="s">
        <v>240</v>
      </c>
      <c r="C140" s="148" t="s">
        <v>243</v>
      </c>
      <c r="D140" s="142">
        <v>2145000</v>
      </c>
      <c r="E140" s="142">
        <v>2000000</v>
      </c>
      <c r="F140" s="142">
        <v>3000000</v>
      </c>
    </row>
    <row r="141" spans="1:6" ht="39" customHeight="1">
      <c r="A141" s="147" t="s">
        <v>367</v>
      </c>
      <c r="B141" s="148" t="s">
        <v>240</v>
      </c>
      <c r="C141" s="148" t="s">
        <v>243</v>
      </c>
      <c r="D141" s="142">
        <v>487500</v>
      </c>
      <c r="E141" s="142">
        <v>5000000</v>
      </c>
      <c r="F141" s="142">
        <v>8000000</v>
      </c>
    </row>
    <row r="142" spans="1:6" ht="33.75" customHeight="1">
      <c r="A142" s="147" t="s">
        <v>368</v>
      </c>
      <c r="B142" s="148" t="s">
        <v>240</v>
      </c>
      <c r="C142" s="148" t="s">
        <v>243</v>
      </c>
      <c r="D142" s="142">
        <v>0</v>
      </c>
      <c r="E142" s="142">
        <v>2500000</v>
      </c>
      <c r="F142" s="142">
        <v>15000000</v>
      </c>
    </row>
    <row r="143" spans="1:6" ht="25.5" customHeight="1">
      <c r="A143" s="147" t="s">
        <v>369</v>
      </c>
      <c r="B143" s="148" t="s">
        <v>240</v>
      </c>
      <c r="C143" s="148" t="s">
        <v>243</v>
      </c>
      <c r="D143" s="142">
        <v>2437500</v>
      </c>
      <c r="E143" s="142">
        <v>3000000</v>
      </c>
      <c r="F143" s="142">
        <v>5000000</v>
      </c>
    </row>
    <row r="144" spans="1:6" ht="33" customHeight="1">
      <c r="A144" s="147" t="s">
        <v>370</v>
      </c>
      <c r="B144" s="148" t="s">
        <v>240</v>
      </c>
      <c r="C144" s="148" t="s">
        <v>243</v>
      </c>
      <c r="D144" s="142">
        <v>0</v>
      </c>
      <c r="E144" s="142">
        <v>10000000</v>
      </c>
      <c r="F144" s="142">
        <v>1000000</v>
      </c>
    </row>
    <row r="145" spans="1:6" ht="33.75" customHeight="1">
      <c r="A145" s="147" t="s">
        <v>371</v>
      </c>
      <c r="B145" s="148" t="s">
        <v>240</v>
      </c>
      <c r="C145" s="148" t="s">
        <v>243</v>
      </c>
      <c r="D145" s="142">
        <v>9750000</v>
      </c>
      <c r="E145" s="142">
        <v>5000000</v>
      </c>
      <c r="F145" s="142">
        <v>15000000</v>
      </c>
    </row>
    <row r="146" spans="1:6" ht="33.75" customHeight="1">
      <c r="A146" s="147" t="s">
        <v>372</v>
      </c>
      <c r="B146" s="148" t="s">
        <v>240</v>
      </c>
      <c r="C146" s="148" t="s">
        <v>243</v>
      </c>
      <c r="D146" s="142">
        <v>9750000</v>
      </c>
      <c r="E146" s="142">
        <v>15000000</v>
      </c>
      <c r="F146" s="142">
        <v>7000000</v>
      </c>
    </row>
    <row r="147" spans="1:6" ht="21.75" customHeight="1">
      <c r="A147" s="147" t="s">
        <v>373</v>
      </c>
      <c r="B147" s="148" t="s">
        <v>240</v>
      </c>
      <c r="C147" s="148" t="s">
        <v>243</v>
      </c>
      <c r="D147" s="142">
        <v>9500000</v>
      </c>
      <c r="E147" s="142">
        <v>8000000</v>
      </c>
      <c r="F147" s="142">
        <v>7000000</v>
      </c>
    </row>
    <row r="148" spans="1:6" ht="31.5" customHeight="1">
      <c r="A148" s="147" t="s">
        <v>374</v>
      </c>
      <c r="B148" s="148" t="s">
        <v>240</v>
      </c>
      <c r="C148" s="148" t="s">
        <v>243</v>
      </c>
      <c r="D148" s="142">
        <v>5850000</v>
      </c>
      <c r="E148" s="142">
        <v>5000000</v>
      </c>
      <c r="F148" s="142">
        <v>5000000</v>
      </c>
    </row>
    <row r="149" spans="1:6" ht="29.25" customHeight="1">
      <c r="A149" s="147" t="s">
        <v>375</v>
      </c>
      <c r="B149" s="148" t="s">
        <v>240</v>
      </c>
      <c r="C149" s="148" t="s">
        <v>243</v>
      </c>
      <c r="D149" s="142">
        <v>9750000</v>
      </c>
      <c r="E149" s="142">
        <v>2000000</v>
      </c>
      <c r="F149" s="142">
        <v>1000000</v>
      </c>
    </row>
    <row r="150" spans="1:6" ht="31.5" customHeight="1">
      <c r="A150" s="147" t="s">
        <v>376</v>
      </c>
      <c r="B150" s="148" t="s">
        <v>240</v>
      </c>
      <c r="C150" s="148" t="s">
        <v>243</v>
      </c>
      <c r="D150" s="142">
        <v>0</v>
      </c>
      <c r="E150" s="142">
        <v>0</v>
      </c>
      <c r="F150" s="142">
        <v>0</v>
      </c>
    </row>
    <row r="151" spans="1:6" ht="31.5" customHeight="1">
      <c r="A151" s="147" t="s">
        <v>377</v>
      </c>
      <c r="B151" s="148" t="s">
        <v>240</v>
      </c>
      <c r="C151" s="148" t="s">
        <v>243</v>
      </c>
      <c r="D151" s="142">
        <v>682500</v>
      </c>
      <c r="E151" s="142">
        <v>7000000</v>
      </c>
      <c r="F151" s="142">
        <v>9000000</v>
      </c>
    </row>
    <row r="152" spans="1:6" ht="18" customHeight="1">
      <c r="A152" s="147" t="s">
        <v>378</v>
      </c>
      <c r="B152" s="148" t="s">
        <v>240</v>
      </c>
      <c r="C152" s="148" t="s">
        <v>243</v>
      </c>
      <c r="D152" s="142">
        <v>2500000</v>
      </c>
      <c r="E152" s="142">
        <v>2500000</v>
      </c>
      <c r="F152" s="142">
        <v>1500000</v>
      </c>
    </row>
    <row r="153" spans="1:6" ht="32.25" customHeight="1">
      <c r="A153" s="147" t="s">
        <v>379</v>
      </c>
      <c r="B153" s="148" t="s">
        <v>240</v>
      </c>
      <c r="C153" s="148" t="s">
        <v>243</v>
      </c>
      <c r="D153" s="142">
        <v>0</v>
      </c>
      <c r="E153" s="142">
        <v>25000000</v>
      </c>
      <c r="F153" s="142">
        <v>0</v>
      </c>
    </row>
    <row r="154" spans="1:6" ht="33.75" customHeight="1">
      <c r="A154" s="147" t="s">
        <v>380</v>
      </c>
      <c r="B154" s="148" t="s">
        <v>240</v>
      </c>
      <c r="C154" s="148" t="s">
        <v>243</v>
      </c>
      <c r="D154" s="142">
        <v>0</v>
      </c>
      <c r="E154" s="142">
        <v>8000000</v>
      </c>
      <c r="F154" s="142">
        <v>0</v>
      </c>
    </row>
    <row r="155" spans="1:6" ht="21" customHeight="1">
      <c r="A155" s="147" t="s">
        <v>381</v>
      </c>
      <c r="B155" s="148" t="s">
        <v>240</v>
      </c>
      <c r="C155" s="148" t="s">
        <v>243</v>
      </c>
      <c r="D155" s="142">
        <v>1000000</v>
      </c>
      <c r="E155" s="142">
        <v>8000000</v>
      </c>
      <c r="F155" s="142">
        <v>9000000</v>
      </c>
    </row>
    <row r="156" spans="1:6" ht="33" customHeight="1">
      <c r="A156" s="147" t="s">
        <v>382</v>
      </c>
      <c r="B156" s="148" t="s">
        <v>240</v>
      </c>
      <c r="C156" s="148" t="s">
        <v>243</v>
      </c>
      <c r="D156" s="142">
        <v>0</v>
      </c>
      <c r="E156" s="142">
        <v>3000000</v>
      </c>
      <c r="F156" s="142">
        <v>4000000</v>
      </c>
    </row>
    <row r="157" spans="1:6" ht="35.25" customHeight="1">
      <c r="A157" s="140" t="s">
        <v>383</v>
      </c>
      <c r="B157" s="141" t="s">
        <v>240</v>
      </c>
      <c r="C157" s="141" t="s">
        <v>241</v>
      </c>
      <c r="D157" s="142">
        <v>3217500</v>
      </c>
      <c r="E157" s="142">
        <v>5000000</v>
      </c>
      <c r="F157" s="142">
        <v>3000000</v>
      </c>
    </row>
    <row r="158" spans="1:6" ht="46.5" customHeight="1">
      <c r="A158" s="140" t="s">
        <v>384</v>
      </c>
      <c r="B158" s="141" t="s">
        <v>240</v>
      </c>
      <c r="C158" s="141" t="s">
        <v>241</v>
      </c>
      <c r="D158" s="142">
        <v>975000</v>
      </c>
      <c r="E158" s="142">
        <v>1000000</v>
      </c>
      <c r="F158" s="142">
        <v>1000000</v>
      </c>
    </row>
    <row r="159" spans="1:6" ht="31.5" customHeight="1">
      <c r="A159" s="140" t="s">
        <v>385</v>
      </c>
      <c r="B159" s="141" t="s">
        <v>240</v>
      </c>
      <c r="C159" s="141" t="s">
        <v>245</v>
      </c>
      <c r="D159" s="142">
        <v>975000</v>
      </c>
      <c r="E159" s="142">
        <v>10000000</v>
      </c>
      <c r="F159" s="142">
        <v>10000000</v>
      </c>
    </row>
    <row r="160" spans="1:6" ht="33.75" customHeight="1">
      <c r="A160" s="147" t="s">
        <v>386</v>
      </c>
      <c r="B160" s="148" t="s">
        <v>240</v>
      </c>
      <c r="C160" s="148" t="s">
        <v>243</v>
      </c>
      <c r="D160" s="151">
        <v>1000000</v>
      </c>
      <c r="E160" s="142">
        <v>20000000</v>
      </c>
      <c r="F160" s="142">
        <v>5000000</v>
      </c>
    </row>
    <row r="161" spans="1:6" ht="33" customHeight="1">
      <c r="A161" s="147" t="s">
        <v>387</v>
      </c>
      <c r="B161" s="148" t="s">
        <v>240</v>
      </c>
      <c r="C161" s="148" t="s">
        <v>243</v>
      </c>
      <c r="D161" s="151"/>
      <c r="E161" s="142">
        <v>5000000</v>
      </c>
      <c r="F161" s="142">
        <v>0</v>
      </c>
    </row>
    <row r="162" spans="1:6" ht="21.75" customHeight="1">
      <c r="A162" s="147" t="s">
        <v>388</v>
      </c>
      <c r="B162" s="148" t="s">
        <v>240</v>
      </c>
      <c r="C162" s="148" t="s">
        <v>243</v>
      </c>
      <c r="D162" s="142">
        <v>0</v>
      </c>
      <c r="E162" s="142">
        <v>0</v>
      </c>
      <c r="F162" s="142">
        <v>10000000</v>
      </c>
    </row>
    <row r="163" spans="1:6" ht="31.5" customHeight="1">
      <c r="A163" s="140" t="s">
        <v>389</v>
      </c>
      <c r="B163" s="141" t="s">
        <v>240</v>
      </c>
      <c r="C163" s="141" t="s">
        <v>241</v>
      </c>
      <c r="D163" s="142">
        <v>0</v>
      </c>
      <c r="E163" s="142">
        <v>0</v>
      </c>
      <c r="F163" s="142">
        <v>10000000</v>
      </c>
    </row>
    <row r="164" spans="1:6" ht="36" customHeight="1">
      <c r="A164" s="147" t="s">
        <v>390</v>
      </c>
      <c r="B164" s="148" t="s">
        <v>240</v>
      </c>
      <c r="C164" s="148" t="s">
        <v>243</v>
      </c>
      <c r="D164" s="142">
        <v>0</v>
      </c>
      <c r="E164" s="142">
        <v>0</v>
      </c>
      <c r="F164" s="142">
        <v>25000000</v>
      </c>
    </row>
    <row r="165" spans="1:6" ht="36" customHeight="1">
      <c r="A165" s="147" t="s">
        <v>391</v>
      </c>
      <c r="B165" s="148" t="s">
        <v>240</v>
      </c>
      <c r="C165" s="148" t="s">
        <v>243</v>
      </c>
      <c r="D165" s="142">
        <v>0</v>
      </c>
      <c r="E165" s="142">
        <v>0</v>
      </c>
      <c r="F165" s="142">
        <v>15000000</v>
      </c>
    </row>
    <row r="166" spans="1:6" ht="38.25">
      <c r="A166" s="147" t="s">
        <v>392</v>
      </c>
      <c r="B166" s="148" t="s">
        <v>240</v>
      </c>
      <c r="C166" s="148" t="s">
        <v>243</v>
      </c>
      <c r="D166" s="142">
        <v>0</v>
      </c>
      <c r="E166" s="142">
        <v>0</v>
      </c>
      <c r="F166" s="142">
        <v>5800000</v>
      </c>
    </row>
    <row r="167" spans="1:6" ht="32.25" customHeight="1">
      <c r="A167" s="147" t="s">
        <v>393</v>
      </c>
      <c r="B167" s="148" t="s">
        <v>240</v>
      </c>
      <c r="C167" s="148" t="s">
        <v>243</v>
      </c>
      <c r="D167" s="142">
        <v>0</v>
      </c>
      <c r="E167" s="142">
        <v>0</v>
      </c>
      <c r="F167" s="142">
        <v>2000000</v>
      </c>
    </row>
    <row r="168" spans="1:6" ht="32.25" customHeight="1">
      <c r="A168" s="147" t="s">
        <v>394</v>
      </c>
      <c r="B168" s="148" t="s">
        <v>240</v>
      </c>
      <c r="C168" s="148" t="s">
        <v>243</v>
      </c>
      <c r="D168" s="151">
        <v>3200000</v>
      </c>
      <c r="E168" s="151">
        <v>2000000</v>
      </c>
      <c r="F168" s="142">
        <f>1200000+1000000+1000000</f>
        <v>3200000</v>
      </c>
    </row>
    <row r="169" spans="1:6" ht="32.25" customHeight="1">
      <c r="A169" s="147" t="s">
        <v>395</v>
      </c>
      <c r="B169" s="148" t="s">
        <v>240</v>
      </c>
      <c r="C169" s="148" t="s">
        <v>243</v>
      </c>
      <c r="D169" s="151">
        <f>1000000-1000000</f>
        <v>0</v>
      </c>
      <c r="E169" s="142">
        <v>10000000</v>
      </c>
      <c r="F169" s="142">
        <v>10000000</v>
      </c>
    </row>
    <row r="170" spans="1:6" ht="38.25">
      <c r="A170" s="147" t="s">
        <v>396</v>
      </c>
      <c r="B170" s="148" t="s">
        <v>240</v>
      </c>
      <c r="C170" s="148" t="s">
        <v>243</v>
      </c>
      <c r="D170" s="151">
        <v>5850000</v>
      </c>
      <c r="E170" s="151">
        <v>8000000</v>
      </c>
      <c r="F170" s="151">
        <v>10000000</v>
      </c>
    </row>
    <row r="171" spans="1:6" ht="12.75">
      <c r="A171" s="147" t="s">
        <v>397</v>
      </c>
      <c r="B171" s="148" t="s">
        <v>240</v>
      </c>
      <c r="C171" s="148" t="s">
        <v>243</v>
      </c>
      <c r="D171" s="151">
        <v>0</v>
      </c>
      <c r="E171" s="151">
        <v>0</v>
      </c>
      <c r="F171" s="151">
        <v>10000000</v>
      </c>
    </row>
    <row r="172" spans="1:6" ht="12.75">
      <c r="A172" s="140"/>
      <c r="B172" s="149"/>
      <c r="C172" s="149" t="s">
        <v>251</v>
      </c>
      <c r="D172" s="153">
        <f>SUM(D140:D171)</f>
        <v>69070000</v>
      </c>
      <c r="E172" s="153">
        <f>SUM(E140:E171)</f>
        <v>172000000</v>
      </c>
      <c r="F172" s="153">
        <f>SUM(F140:F171)</f>
        <v>210500000</v>
      </c>
    </row>
    <row r="173" spans="1:6" ht="12.75">
      <c r="A173" s="140"/>
      <c r="B173" s="149"/>
      <c r="C173" s="149" t="s">
        <v>323</v>
      </c>
      <c r="D173" s="151"/>
      <c r="E173" s="151"/>
      <c r="F173" s="151"/>
    </row>
    <row r="174" spans="1:6" ht="12.75">
      <c r="A174" s="137" t="s">
        <v>398</v>
      </c>
      <c r="B174" s="149"/>
      <c r="C174" s="149" t="s">
        <v>253</v>
      </c>
      <c r="D174" s="142"/>
      <c r="E174" s="142"/>
      <c r="F174" s="142"/>
    </row>
    <row r="175" spans="1:6" ht="21" customHeight="1">
      <c r="A175" s="147" t="s">
        <v>399</v>
      </c>
      <c r="B175" s="148" t="s">
        <v>240</v>
      </c>
      <c r="C175" s="148" t="s">
        <v>243</v>
      </c>
      <c r="D175" s="142">
        <v>2000000</v>
      </c>
      <c r="E175" s="142">
        <v>1000000</v>
      </c>
      <c r="F175" s="142">
        <v>2000000</v>
      </c>
    </row>
    <row r="176" spans="1:6" ht="21" customHeight="1">
      <c r="A176" s="147" t="s">
        <v>400</v>
      </c>
      <c r="B176" s="148" t="s">
        <v>240</v>
      </c>
      <c r="C176" s="148" t="s">
        <v>243</v>
      </c>
      <c r="D176" s="142">
        <v>0</v>
      </c>
      <c r="E176" s="142">
        <v>250000</v>
      </c>
      <c r="F176" s="142">
        <v>300000</v>
      </c>
    </row>
    <row r="177" spans="1:6" ht="21" customHeight="1">
      <c r="A177" s="147" t="s">
        <v>401</v>
      </c>
      <c r="B177" s="148" t="s">
        <v>240</v>
      </c>
      <c r="C177" s="148" t="s">
        <v>243</v>
      </c>
      <c r="D177" s="142">
        <v>350000</v>
      </c>
      <c r="E177" s="142">
        <v>350000</v>
      </c>
      <c r="F177" s="142">
        <v>350000</v>
      </c>
    </row>
    <row r="178" spans="1:6" ht="35.25" customHeight="1">
      <c r="A178" s="147" t="s">
        <v>402</v>
      </c>
      <c r="B178" s="148" t="s">
        <v>240</v>
      </c>
      <c r="C178" s="148" t="s">
        <v>243</v>
      </c>
      <c r="D178" s="142">
        <v>300000</v>
      </c>
      <c r="E178" s="142">
        <v>300000</v>
      </c>
      <c r="F178" s="142">
        <v>350000</v>
      </c>
    </row>
    <row r="179" spans="1:6" ht="22.5" customHeight="1">
      <c r="A179" s="147" t="s">
        <v>403</v>
      </c>
      <c r="B179" s="148" t="s">
        <v>240</v>
      </c>
      <c r="C179" s="148" t="s">
        <v>243</v>
      </c>
      <c r="D179" s="142">
        <v>800000</v>
      </c>
      <c r="E179" s="142">
        <v>550000</v>
      </c>
      <c r="F179" s="142">
        <v>550000</v>
      </c>
    </row>
    <row r="180" spans="1:6" ht="26.25" customHeight="1">
      <c r="A180" s="147" t="s">
        <v>404</v>
      </c>
      <c r="B180" s="148" t="s">
        <v>240</v>
      </c>
      <c r="C180" s="148"/>
      <c r="D180" s="142">
        <v>1000000</v>
      </c>
      <c r="E180" s="142"/>
      <c r="F180" s="142"/>
    </row>
    <row r="181" spans="1:6" ht="26.25" customHeight="1">
      <c r="A181" s="147" t="s">
        <v>405</v>
      </c>
      <c r="B181" s="148" t="s">
        <v>240</v>
      </c>
      <c r="C181" s="148" t="s">
        <v>243</v>
      </c>
      <c r="D181" s="142">
        <v>0</v>
      </c>
      <c r="E181" s="142">
        <v>2000000</v>
      </c>
      <c r="F181" s="142">
        <v>2000000</v>
      </c>
    </row>
    <row r="182" spans="1:6" ht="26.25" customHeight="1">
      <c r="A182" s="147" t="s">
        <v>406</v>
      </c>
      <c r="B182" s="148" t="s">
        <v>240</v>
      </c>
      <c r="C182" s="148" t="s">
        <v>243</v>
      </c>
      <c r="D182" s="142">
        <v>0</v>
      </c>
      <c r="E182" s="142">
        <v>850000</v>
      </c>
      <c r="F182" s="142">
        <v>850000</v>
      </c>
    </row>
    <row r="183" spans="1:6" ht="26.25" customHeight="1">
      <c r="A183" s="147" t="s">
        <v>407</v>
      </c>
      <c r="B183" s="148" t="s">
        <v>240</v>
      </c>
      <c r="C183" s="148" t="s">
        <v>243</v>
      </c>
      <c r="D183" s="142">
        <v>300000</v>
      </c>
      <c r="E183" s="142">
        <v>300000</v>
      </c>
      <c r="F183" s="142">
        <v>300000</v>
      </c>
    </row>
    <row r="184" spans="1:6" ht="12.75">
      <c r="A184" s="140"/>
      <c r="B184" s="149"/>
      <c r="C184" s="149" t="s">
        <v>323</v>
      </c>
      <c r="D184" s="142"/>
      <c r="E184" s="142"/>
      <c r="F184" s="142"/>
    </row>
    <row r="185" spans="1:6" ht="12.75">
      <c r="A185" s="140"/>
      <c r="B185" s="149"/>
      <c r="C185" s="149" t="s">
        <v>251</v>
      </c>
      <c r="D185" s="150">
        <f>SUM(D175:D184)</f>
        <v>4750000</v>
      </c>
      <c r="E185" s="150">
        <f>SUM(E175:E184)</f>
        <v>5600000</v>
      </c>
      <c r="F185" s="150">
        <f>SUM(F175:F184)</f>
        <v>6700000</v>
      </c>
    </row>
    <row r="186" spans="1:6" ht="12.75">
      <c r="A186" s="140"/>
      <c r="B186" s="149"/>
      <c r="C186" s="149" t="s">
        <v>323</v>
      </c>
      <c r="D186" s="142"/>
      <c r="E186" s="142"/>
      <c r="F186" s="142"/>
    </row>
    <row r="187" spans="1:6" ht="12.75">
      <c r="A187" s="155" t="s">
        <v>408</v>
      </c>
      <c r="B187" s="149"/>
      <c r="C187" s="149" t="s">
        <v>253</v>
      </c>
      <c r="D187" s="142"/>
      <c r="E187" s="142"/>
      <c r="F187" s="142"/>
    </row>
    <row r="188" spans="1:6" ht="23.25" customHeight="1">
      <c r="A188" s="147" t="s">
        <v>409</v>
      </c>
      <c r="B188" s="148" t="s">
        <v>240</v>
      </c>
      <c r="C188" s="148" t="s">
        <v>243</v>
      </c>
      <c r="D188" s="151">
        <v>200000</v>
      </c>
      <c r="E188" s="151">
        <v>0</v>
      </c>
      <c r="F188" s="151">
        <v>220000</v>
      </c>
    </row>
    <row r="189" spans="1:6" ht="23.25" customHeight="1">
      <c r="A189" s="140" t="s">
        <v>410</v>
      </c>
      <c r="B189" s="141" t="s">
        <v>240</v>
      </c>
      <c r="C189" s="141" t="s">
        <v>245</v>
      </c>
      <c r="D189" s="151">
        <v>1000000</v>
      </c>
      <c r="E189" s="151">
        <v>0</v>
      </c>
      <c r="F189" s="151">
        <v>0</v>
      </c>
    </row>
    <row r="190" spans="1:6" ht="31.5" customHeight="1">
      <c r="A190" s="140" t="s">
        <v>411</v>
      </c>
      <c r="B190" s="141" t="s">
        <v>240</v>
      </c>
      <c r="C190" s="141" t="s">
        <v>245</v>
      </c>
      <c r="D190" s="142">
        <v>600000</v>
      </c>
      <c r="E190" s="151">
        <v>0</v>
      </c>
      <c r="F190" s="151">
        <v>0</v>
      </c>
    </row>
    <row r="191" spans="1:6" ht="29.25" customHeight="1">
      <c r="A191" s="140" t="s">
        <v>412</v>
      </c>
      <c r="B191" s="141" t="s">
        <v>240</v>
      </c>
      <c r="C191" s="141" t="s">
        <v>245</v>
      </c>
      <c r="D191" s="142">
        <v>500000</v>
      </c>
      <c r="E191" s="151">
        <v>600000</v>
      </c>
      <c r="F191" s="151">
        <v>600000</v>
      </c>
    </row>
    <row r="192" spans="1:6" ht="29.25" customHeight="1">
      <c r="A192" s="147" t="s">
        <v>413</v>
      </c>
      <c r="B192" s="148" t="s">
        <v>240</v>
      </c>
      <c r="C192" s="148" t="s">
        <v>243</v>
      </c>
      <c r="D192" s="151">
        <v>50000</v>
      </c>
      <c r="E192" s="151">
        <v>50000</v>
      </c>
      <c r="F192" s="151">
        <v>160000</v>
      </c>
    </row>
    <row r="193" spans="1:6" ht="29.25" customHeight="1">
      <c r="A193" s="147" t="s">
        <v>414</v>
      </c>
      <c r="B193" s="148" t="s">
        <v>240</v>
      </c>
      <c r="C193" s="148" t="s">
        <v>243</v>
      </c>
      <c r="D193" s="151">
        <v>80000</v>
      </c>
      <c r="E193" s="151">
        <v>100000</v>
      </c>
      <c r="F193" s="151">
        <v>160000</v>
      </c>
    </row>
    <row r="194" spans="1:6" ht="29.25" customHeight="1">
      <c r="A194" s="147" t="s">
        <v>415</v>
      </c>
      <c r="B194" s="148" t="s">
        <v>240</v>
      </c>
      <c r="C194" s="148" t="s">
        <v>243</v>
      </c>
      <c r="D194" s="151">
        <v>0</v>
      </c>
      <c r="E194" s="151">
        <v>0</v>
      </c>
      <c r="F194" s="151">
        <v>2000000</v>
      </c>
    </row>
    <row r="195" spans="1:6" ht="31.5" customHeight="1">
      <c r="A195" s="147" t="s">
        <v>416</v>
      </c>
      <c r="B195" s="148" t="s">
        <v>240</v>
      </c>
      <c r="C195" s="148" t="s">
        <v>243</v>
      </c>
      <c r="D195" s="151">
        <v>0</v>
      </c>
      <c r="E195" s="151">
        <v>0</v>
      </c>
      <c r="F195" s="151">
        <v>300000</v>
      </c>
    </row>
    <row r="196" spans="1:6" ht="32.25" customHeight="1">
      <c r="A196" s="147" t="s">
        <v>417</v>
      </c>
      <c r="B196" s="148" t="s">
        <v>240</v>
      </c>
      <c r="C196" s="148" t="s">
        <v>243</v>
      </c>
      <c r="D196" s="151">
        <v>0</v>
      </c>
      <c r="E196" s="151">
        <v>0</v>
      </c>
      <c r="F196" s="151">
        <v>1400000</v>
      </c>
    </row>
    <row r="197" spans="1:6" ht="12.75">
      <c r="A197" s="140"/>
      <c r="B197" s="141"/>
      <c r="C197" s="141" t="s">
        <v>251</v>
      </c>
      <c r="D197" s="153">
        <f>SUM(D187:D196)</f>
        <v>2430000</v>
      </c>
      <c r="E197" s="153">
        <f>SUM(E187:E196)</f>
        <v>750000</v>
      </c>
      <c r="F197" s="153">
        <f>SUM(F187:F196)</f>
        <v>4840000</v>
      </c>
    </row>
    <row r="198" spans="1:6" ht="12.75">
      <c r="A198" s="140"/>
      <c r="B198" s="141"/>
      <c r="C198" s="141" t="s">
        <v>323</v>
      </c>
      <c r="D198" s="151"/>
      <c r="E198" s="151"/>
      <c r="F198" s="151"/>
    </row>
    <row r="199" spans="1:6" ht="12.75">
      <c r="A199" s="137" t="s">
        <v>418</v>
      </c>
      <c r="B199" s="141"/>
      <c r="C199" s="141" t="s">
        <v>253</v>
      </c>
      <c r="D199" s="151"/>
      <c r="E199" s="151"/>
      <c r="F199" s="151"/>
    </row>
    <row r="200" spans="1:6" ht="22.5" customHeight="1">
      <c r="A200" s="147" t="s">
        <v>419</v>
      </c>
      <c r="B200" s="148" t="s">
        <v>240</v>
      </c>
      <c r="C200" s="148" t="s">
        <v>243</v>
      </c>
      <c r="D200" s="151">
        <v>140000</v>
      </c>
      <c r="E200" s="158">
        <v>0</v>
      </c>
      <c r="F200" s="158">
        <v>0</v>
      </c>
    </row>
    <row r="201" spans="1:6" ht="12.75">
      <c r="A201" s="140"/>
      <c r="B201" s="149"/>
      <c r="C201" s="149" t="s">
        <v>251</v>
      </c>
      <c r="D201" s="150">
        <f>SUM(D200)</f>
        <v>140000</v>
      </c>
      <c r="E201" s="159">
        <f>SUM(E200)</f>
        <v>0</v>
      </c>
      <c r="F201" s="159">
        <f>SUM(F200)</f>
        <v>0</v>
      </c>
    </row>
    <row r="202" spans="1:6" ht="25.5">
      <c r="A202" s="137" t="s">
        <v>420</v>
      </c>
      <c r="B202" s="149"/>
      <c r="C202" s="149" t="s">
        <v>253</v>
      </c>
      <c r="D202" s="142"/>
      <c r="E202" s="142"/>
      <c r="F202" s="142"/>
    </row>
    <row r="203" spans="1:6" ht="30" customHeight="1">
      <c r="A203" s="147" t="s">
        <v>421</v>
      </c>
      <c r="B203" s="148" t="s">
        <v>240</v>
      </c>
      <c r="C203" s="148" t="s">
        <v>243</v>
      </c>
      <c r="D203" s="151">
        <v>900000</v>
      </c>
      <c r="E203" s="151">
        <v>800000</v>
      </c>
      <c r="F203" s="151">
        <v>950000</v>
      </c>
    </row>
    <row r="204" spans="1:6" ht="30" customHeight="1">
      <c r="A204" s="147" t="s">
        <v>422</v>
      </c>
      <c r="B204" s="148" t="s">
        <v>240</v>
      </c>
      <c r="C204" s="148" t="s">
        <v>243</v>
      </c>
      <c r="D204" s="151">
        <v>0</v>
      </c>
      <c r="E204" s="151">
        <v>1800000</v>
      </c>
      <c r="F204" s="151">
        <v>2000000</v>
      </c>
    </row>
    <row r="205" spans="1:6" ht="30" customHeight="1">
      <c r="A205" s="147" t="s">
        <v>423</v>
      </c>
      <c r="B205" s="148" t="s">
        <v>240</v>
      </c>
      <c r="C205" s="148" t="s">
        <v>243</v>
      </c>
      <c r="D205" s="151">
        <v>3200000</v>
      </c>
      <c r="E205" s="151">
        <v>800000</v>
      </c>
      <c r="F205" s="151">
        <v>900000</v>
      </c>
    </row>
    <row r="206" spans="1:6" ht="30" customHeight="1">
      <c r="A206" s="140" t="s">
        <v>424</v>
      </c>
      <c r="B206" s="141" t="s">
        <v>240</v>
      </c>
      <c r="C206" s="141" t="s">
        <v>245</v>
      </c>
      <c r="D206" s="151">
        <v>500000</v>
      </c>
      <c r="E206" s="151">
        <v>800000</v>
      </c>
      <c r="F206" s="151">
        <v>1000000</v>
      </c>
    </row>
    <row r="207" spans="1:6" ht="30" customHeight="1">
      <c r="A207" s="147" t="s">
        <v>425</v>
      </c>
      <c r="B207" s="148" t="s">
        <v>240</v>
      </c>
      <c r="C207" s="148" t="s">
        <v>243</v>
      </c>
      <c r="D207" s="151">
        <v>0</v>
      </c>
      <c r="E207" s="151">
        <v>800000</v>
      </c>
      <c r="F207" s="151">
        <v>900000</v>
      </c>
    </row>
    <row r="208" spans="1:6" ht="30" customHeight="1">
      <c r="A208" s="140" t="s">
        <v>426</v>
      </c>
      <c r="B208" s="141" t="s">
        <v>240</v>
      </c>
      <c r="C208" s="141" t="s">
        <v>245</v>
      </c>
      <c r="D208" s="151">
        <v>1500000</v>
      </c>
      <c r="E208" s="151">
        <v>3000000</v>
      </c>
      <c r="F208" s="151">
        <v>3000000</v>
      </c>
    </row>
    <row r="209" spans="1:6" ht="30" customHeight="1">
      <c r="A209" s="140" t="s">
        <v>427</v>
      </c>
      <c r="B209" s="141" t="s">
        <v>240</v>
      </c>
      <c r="C209" s="141" t="s">
        <v>245</v>
      </c>
      <c r="D209" s="151">
        <v>750000</v>
      </c>
      <c r="E209" s="151">
        <v>1000000</v>
      </c>
      <c r="F209" s="151">
        <v>1000000</v>
      </c>
    </row>
    <row r="210" spans="1:6" ht="33" customHeight="1">
      <c r="A210" s="147" t="s">
        <v>428</v>
      </c>
      <c r="B210" s="148" t="s">
        <v>240</v>
      </c>
      <c r="C210" s="148" t="s">
        <v>243</v>
      </c>
      <c r="D210" s="151">
        <v>1200000</v>
      </c>
      <c r="E210" s="151">
        <v>0</v>
      </c>
      <c r="F210" s="151">
        <v>0</v>
      </c>
    </row>
    <row r="211" spans="1:6" ht="31.5" customHeight="1">
      <c r="A211" s="147" t="s">
        <v>429</v>
      </c>
      <c r="B211" s="148" t="s">
        <v>240</v>
      </c>
      <c r="C211" s="148" t="s">
        <v>243</v>
      </c>
      <c r="D211" s="151">
        <v>500000</v>
      </c>
      <c r="E211" s="151">
        <v>3000000</v>
      </c>
      <c r="F211" s="151">
        <v>3000000</v>
      </c>
    </row>
    <row r="212" spans="1:6" ht="24.75" customHeight="1">
      <c r="A212" s="147" t="s">
        <v>430</v>
      </c>
      <c r="B212" s="148" t="s">
        <v>240</v>
      </c>
      <c r="C212" s="148"/>
      <c r="D212" s="151">
        <v>400000</v>
      </c>
      <c r="E212" s="151"/>
      <c r="F212" s="151"/>
    </row>
    <row r="213" spans="1:6" ht="32.25" customHeight="1">
      <c r="A213" s="147" t="s">
        <v>431</v>
      </c>
      <c r="B213" s="148" t="s">
        <v>240</v>
      </c>
      <c r="C213" s="148"/>
      <c r="D213" s="151">
        <v>500000</v>
      </c>
      <c r="E213" s="151"/>
      <c r="F213" s="151"/>
    </row>
    <row r="214" spans="1:6" ht="24.75" customHeight="1">
      <c r="A214" s="147" t="s">
        <v>432</v>
      </c>
      <c r="B214" s="148" t="s">
        <v>240</v>
      </c>
      <c r="C214" s="148" t="s">
        <v>243</v>
      </c>
      <c r="D214" s="151">
        <v>0</v>
      </c>
      <c r="E214" s="151">
        <v>0</v>
      </c>
      <c r="F214" s="151">
        <v>2000000</v>
      </c>
    </row>
    <row r="215" spans="1:6" ht="29.25" customHeight="1">
      <c r="A215" s="147" t="s">
        <v>433</v>
      </c>
      <c r="B215" s="148" t="s">
        <v>240</v>
      </c>
      <c r="C215" s="148" t="s">
        <v>243</v>
      </c>
      <c r="D215" s="151">
        <v>0</v>
      </c>
      <c r="E215" s="151">
        <v>0</v>
      </c>
      <c r="F215" s="151">
        <v>2000000</v>
      </c>
    </row>
    <row r="216" spans="1:6" ht="12.75">
      <c r="A216" s="140"/>
      <c r="B216" s="149"/>
      <c r="C216" s="149" t="s">
        <v>251</v>
      </c>
      <c r="D216" s="139">
        <f>SUM(D202:D215)</f>
        <v>9450000</v>
      </c>
      <c r="E216" s="139">
        <f>SUM(E202:E215)</f>
        <v>12000000</v>
      </c>
      <c r="F216" s="139">
        <f>SUM(F202:F215)</f>
        <v>16750000</v>
      </c>
    </row>
    <row r="217" spans="1:6" ht="12.75">
      <c r="A217" s="140"/>
      <c r="B217" s="149"/>
      <c r="C217" s="149" t="s">
        <v>323</v>
      </c>
      <c r="D217" s="142"/>
      <c r="E217" s="142"/>
      <c r="F217" s="142"/>
    </row>
    <row r="218" spans="1:6" ht="12.75">
      <c r="A218" s="137" t="s">
        <v>434</v>
      </c>
      <c r="B218" s="149"/>
      <c r="C218" s="149" t="s">
        <v>253</v>
      </c>
      <c r="D218" s="142"/>
      <c r="E218" s="142"/>
      <c r="F218" s="142"/>
    </row>
    <row r="219" spans="1:6" ht="24.75" customHeight="1">
      <c r="A219" s="147" t="s">
        <v>435</v>
      </c>
      <c r="B219" s="154" t="s">
        <v>240</v>
      </c>
      <c r="C219" s="154" t="s">
        <v>243</v>
      </c>
      <c r="D219" s="151">
        <v>800000</v>
      </c>
      <c r="E219" s="151">
        <v>600000</v>
      </c>
      <c r="F219" s="151">
        <v>1000000</v>
      </c>
    </row>
    <row r="220" spans="1:6" ht="24.75" customHeight="1">
      <c r="A220" s="147" t="s">
        <v>436</v>
      </c>
      <c r="B220" s="154" t="s">
        <v>240</v>
      </c>
      <c r="C220" s="154" t="s">
        <v>243</v>
      </c>
      <c r="D220" s="151">
        <v>4000000</v>
      </c>
      <c r="E220" s="151">
        <v>0</v>
      </c>
      <c r="F220" s="151">
        <v>2000000</v>
      </c>
    </row>
    <row r="221" spans="1:6" ht="24.75" customHeight="1">
      <c r="A221" s="147" t="s">
        <v>437</v>
      </c>
      <c r="B221" s="154" t="s">
        <v>240</v>
      </c>
      <c r="C221" s="154" t="s">
        <v>243</v>
      </c>
      <c r="D221" s="151">
        <v>0</v>
      </c>
      <c r="E221" s="151">
        <v>500000</v>
      </c>
      <c r="F221" s="151">
        <v>0</v>
      </c>
    </row>
    <row r="222" spans="1:6" ht="24.75" customHeight="1">
      <c r="A222" s="147" t="s">
        <v>438</v>
      </c>
      <c r="B222" s="154" t="s">
        <v>281</v>
      </c>
      <c r="C222" s="154" t="s">
        <v>243</v>
      </c>
      <c r="D222" s="151">
        <v>4266667</v>
      </c>
      <c r="E222" s="151">
        <v>0</v>
      </c>
      <c r="F222" s="151">
        <v>3000900</v>
      </c>
    </row>
    <row r="223" spans="1:6" ht="24.75" customHeight="1">
      <c r="A223" s="147" t="s">
        <v>439</v>
      </c>
      <c r="B223" s="154" t="s">
        <v>281</v>
      </c>
      <c r="C223" s="154" t="s">
        <v>243</v>
      </c>
      <c r="D223" s="151">
        <v>4266667</v>
      </c>
      <c r="E223" s="151">
        <v>3000000</v>
      </c>
      <c r="F223" s="151">
        <v>0</v>
      </c>
    </row>
    <row r="224" spans="1:6" ht="24.75" customHeight="1">
      <c r="A224" s="147" t="s">
        <v>440</v>
      </c>
      <c r="B224" s="154" t="s">
        <v>281</v>
      </c>
      <c r="C224" s="154" t="s">
        <v>243</v>
      </c>
      <c r="D224" s="151">
        <v>4266666</v>
      </c>
      <c r="E224" s="151">
        <v>3000000</v>
      </c>
      <c r="F224" s="151">
        <v>0</v>
      </c>
    </row>
    <row r="225" spans="1:6" ht="24.75" customHeight="1">
      <c r="A225" s="147" t="s">
        <v>441</v>
      </c>
      <c r="B225" s="154" t="s">
        <v>240</v>
      </c>
      <c r="C225" s="154" t="s">
        <v>243</v>
      </c>
      <c r="D225" s="151">
        <v>0</v>
      </c>
      <c r="E225" s="151">
        <v>600000</v>
      </c>
      <c r="F225" s="151">
        <v>1000000</v>
      </c>
    </row>
    <row r="226" spans="1:6" ht="24.75" customHeight="1">
      <c r="A226" s="147" t="s">
        <v>442</v>
      </c>
      <c r="B226" s="154" t="s">
        <v>240</v>
      </c>
      <c r="C226" s="154" t="s">
        <v>243</v>
      </c>
      <c r="D226" s="151">
        <v>0</v>
      </c>
      <c r="E226" s="151">
        <v>1000000</v>
      </c>
      <c r="F226" s="151">
        <v>0</v>
      </c>
    </row>
    <row r="227" spans="1:6" ht="24.75" customHeight="1">
      <c r="A227" s="147" t="s">
        <v>443</v>
      </c>
      <c r="B227" s="154" t="s">
        <v>240</v>
      </c>
      <c r="C227" s="154" t="s">
        <v>243</v>
      </c>
      <c r="D227" s="151">
        <v>0</v>
      </c>
      <c r="E227" s="151">
        <v>600000</v>
      </c>
      <c r="F227" s="151">
        <v>1000000</v>
      </c>
    </row>
    <row r="228" spans="1:6" ht="12.75">
      <c r="A228" s="140"/>
      <c r="B228" s="160"/>
      <c r="C228" s="160" t="s">
        <v>323</v>
      </c>
      <c r="D228" s="151"/>
      <c r="E228" s="151"/>
      <c r="F228" s="151"/>
    </row>
    <row r="229" spans="1:6" ht="12.75">
      <c r="A229" s="140"/>
      <c r="B229" s="149"/>
      <c r="C229" s="149" t="s">
        <v>251</v>
      </c>
      <c r="D229" s="150">
        <f>SUM(D219:D228)</f>
        <v>17600000</v>
      </c>
      <c r="E229" s="150">
        <f>SUM(E219:E228)</f>
        <v>9300000</v>
      </c>
      <c r="F229" s="150">
        <f>SUM(F219:F228)</f>
        <v>8000900</v>
      </c>
    </row>
    <row r="230" spans="1:6" ht="12.75">
      <c r="A230" s="155" t="s">
        <v>444</v>
      </c>
      <c r="B230" s="149"/>
      <c r="C230" s="149" t="s">
        <v>253</v>
      </c>
      <c r="D230" s="139"/>
      <c r="E230" s="139"/>
      <c r="F230" s="139"/>
    </row>
    <row r="231" spans="1:6" ht="30" customHeight="1">
      <c r="A231" s="156" t="s">
        <v>445</v>
      </c>
      <c r="B231" s="154" t="s">
        <v>281</v>
      </c>
      <c r="C231" s="154" t="s">
        <v>243</v>
      </c>
      <c r="D231" s="142">
        <v>0</v>
      </c>
      <c r="E231" s="142">
        <v>0</v>
      </c>
      <c r="F231" s="142">
        <v>0</v>
      </c>
    </row>
    <row r="232" spans="1:6" ht="23.25" customHeight="1">
      <c r="A232" s="156" t="s">
        <v>446</v>
      </c>
      <c r="B232" s="154" t="s">
        <v>281</v>
      </c>
      <c r="C232" s="154" t="s">
        <v>243</v>
      </c>
      <c r="D232" s="142">
        <v>11440000</v>
      </c>
      <c r="E232" s="142">
        <v>0</v>
      </c>
      <c r="F232" s="142">
        <v>0</v>
      </c>
    </row>
    <row r="233" spans="1:6" ht="22.5" customHeight="1">
      <c r="A233" s="147" t="s">
        <v>447</v>
      </c>
      <c r="B233" s="148" t="s">
        <v>281</v>
      </c>
      <c r="C233" s="148" t="s">
        <v>243</v>
      </c>
      <c r="D233" s="142">
        <v>9600000</v>
      </c>
      <c r="E233" s="142">
        <v>4000000</v>
      </c>
      <c r="F233" s="142">
        <v>0</v>
      </c>
    </row>
    <row r="234" spans="1:6" ht="22.5" customHeight="1">
      <c r="A234" s="147" t="s">
        <v>448</v>
      </c>
      <c r="B234" s="148" t="s">
        <v>281</v>
      </c>
      <c r="C234" s="148" t="s">
        <v>243</v>
      </c>
      <c r="D234" s="142">
        <v>1500000</v>
      </c>
      <c r="E234" s="142">
        <v>10000000</v>
      </c>
      <c r="F234" s="142">
        <v>8000000</v>
      </c>
    </row>
    <row r="235" spans="1:6" ht="22.5" customHeight="1">
      <c r="A235" s="147" t="s">
        <v>449</v>
      </c>
      <c r="B235" s="154" t="s">
        <v>240</v>
      </c>
      <c r="C235" s="154" t="s">
        <v>243</v>
      </c>
      <c r="D235" s="142">
        <v>500000</v>
      </c>
      <c r="E235" s="142">
        <v>1000000</v>
      </c>
      <c r="F235" s="142">
        <v>1200000</v>
      </c>
    </row>
    <row r="236" spans="1:6" ht="29.25" customHeight="1">
      <c r="A236" s="140" t="s">
        <v>450</v>
      </c>
      <c r="B236" s="160" t="s">
        <v>281</v>
      </c>
      <c r="C236" s="160" t="s">
        <v>245</v>
      </c>
      <c r="D236" s="142">
        <v>0</v>
      </c>
      <c r="E236" s="142">
        <v>6000000</v>
      </c>
      <c r="F236" s="142">
        <v>0</v>
      </c>
    </row>
    <row r="237" spans="1:6" ht="22.5" customHeight="1">
      <c r="A237" s="152" t="s">
        <v>451</v>
      </c>
      <c r="B237" s="160" t="s">
        <v>240</v>
      </c>
      <c r="C237" s="160" t="s">
        <v>245</v>
      </c>
      <c r="D237" s="142">
        <v>475000</v>
      </c>
      <c r="E237" s="142">
        <v>2000000</v>
      </c>
      <c r="F237" s="142">
        <v>0</v>
      </c>
    </row>
    <row r="238" spans="1:6" ht="22.5" customHeight="1">
      <c r="A238" s="152" t="s">
        <v>452</v>
      </c>
      <c r="B238" s="160" t="s">
        <v>240</v>
      </c>
      <c r="C238" s="160" t="s">
        <v>241</v>
      </c>
      <c r="D238" s="142">
        <v>1575000</v>
      </c>
      <c r="E238" s="142"/>
      <c r="F238" s="142"/>
    </row>
    <row r="239" spans="1:6" ht="22.5" customHeight="1">
      <c r="A239" s="140" t="s">
        <v>453</v>
      </c>
      <c r="B239" s="160" t="s">
        <v>281</v>
      </c>
      <c r="C239" s="160" t="s">
        <v>245</v>
      </c>
      <c r="D239" s="142">
        <v>7300000</v>
      </c>
      <c r="E239" s="142">
        <v>9000000</v>
      </c>
      <c r="F239" s="142">
        <v>0</v>
      </c>
    </row>
    <row r="240" spans="1:6" ht="12.75">
      <c r="A240" s="140"/>
      <c r="B240" s="160"/>
      <c r="C240" s="160" t="s">
        <v>323</v>
      </c>
      <c r="D240" s="139"/>
      <c r="E240" s="139"/>
      <c r="F240" s="139"/>
    </row>
    <row r="241" spans="1:6" ht="12.75">
      <c r="A241" s="140"/>
      <c r="B241" s="149"/>
      <c r="C241" s="149" t="s">
        <v>251</v>
      </c>
      <c r="D241" s="150">
        <f>SUM(D231:D240)</f>
        <v>32390000</v>
      </c>
      <c r="E241" s="150">
        <f>SUM(E231:E240)</f>
        <v>32000000</v>
      </c>
      <c r="F241" s="150">
        <f>SUM(F231:F240)</f>
        <v>9200000</v>
      </c>
    </row>
    <row r="242" spans="1:6" ht="12.75">
      <c r="A242" s="140"/>
      <c r="B242" s="149"/>
      <c r="C242" s="149" t="s">
        <v>251</v>
      </c>
      <c r="D242" s="139"/>
      <c r="E242" s="139"/>
      <c r="F242" s="139"/>
    </row>
    <row r="243" spans="1:6" ht="12.75">
      <c r="A243" s="137" t="s">
        <v>454</v>
      </c>
      <c r="B243" s="149"/>
      <c r="C243" s="149" t="s">
        <v>251</v>
      </c>
      <c r="D243" s="142"/>
      <c r="E243" s="142"/>
      <c r="F243" s="142"/>
    </row>
    <row r="244" spans="1:6" ht="22.5" customHeight="1">
      <c r="A244" s="140" t="s">
        <v>455</v>
      </c>
      <c r="B244" s="141" t="s">
        <v>240</v>
      </c>
      <c r="C244" s="149" t="s">
        <v>243</v>
      </c>
      <c r="D244" s="161">
        <v>200000</v>
      </c>
      <c r="E244" s="142"/>
      <c r="F244" s="142"/>
    </row>
    <row r="245" spans="1:6" ht="31.5" customHeight="1">
      <c r="A245" s="140" t="s">
        <v>456</v>
      </c>
      <c r="B245" s="141" t="s">
        <v>240</v>
      </c>
      <c r="C245" s="149" t="s">
        <v>243</v>
      </c>
      <c r="D245" s="161">
        <v>600000</v>
      </c>
      <c r="E245" s="142"/>
      <c r="F245" s="142"/>
    </row>
    <row r="246" spans="1:6" ht="21" customHeight="1">
      <c r="A246" s="140" t="s">
        <v>457</v>
      </c>
      <c r="B246" s="141" t="s">
        <v>240</v>
      </c>
      <c r="C246" s="149" t="s">
        <v>243</v>
      </c>
      <c r="D246" s="161">
        <v>80000</v>
      </c>
      <c r="E246" s="142"/>
      <c r="F246" s="142"/>
    </row>
    <row r="247" spans="1:6" ht="30" customHeight="1">
      <c r="A247" s="140" t="s">
        <v>458</v>
      </c>
      <c r="B247" s="141" t="s">
        <v>240</v>
      </c>
      <c r="C247" s="149" t="s">
        <v>243</v>
      </c>
      <c r="D247" s="161">
        <v>800000</v>
      </c>
      <c r="E247" s="142"/>
      <c r="F247" s="142"/>
    </row>
    <row r="248" spans="1:6" ht="21" customHeight="1">
      <c r="A248" s="140" t="s">
        <v>459</v>
      </c>
      <c r="B248" s="141" t="s">
        <v>240</v>
      </c>
      <c r="C248" s="149" t="s">
        <v>243</v>
      </c>
      <c r="D248" s="161">
        <v>900000</v>
      </c>
      <c r="E248" s="142"/>
      <c r="F248" s="142"/>
    </row>
    <row r="249" spans="1:6" ht="12.75">
      <c r="A249" s="140"/>
      <c r="B249" s="149"/>
      <c r="C249" s="149" t="s">
        <v>251</v>
      </c>
      <c r="D249" s="142"/>
      <c r="E249" s="142"/>
      <c r="F249" s="142"/>
    </row>
    <row r="250" spans="1:6" ht="12.75">
      <c r="A250" s="140"/>
      <c r="B250" s="149"/>
      <c r="C250" s="149" t="s">
        <v>251</v>
      </c>
      <c r="D250" s="150">
        <f>SUM(D244:D249)</f>
        <v>2580000</v>
      </c>
      <c r="E250" s="150">
        <f>SUM(E244:E249)</f>
        <v>0</v>
      </c>
      <c r="F250" s="150">
        <f>SUM(F244:F249)</f>
        <v>0</v>
      </c>
    </row>
    <row r="251" spans="1:6" ht="12.75">
      <c r="A251" s="137" t="s">
        <v>460</v>
      </c>
      <c r="B251" s="149"/>
      <c r="C251" s="149" t="s">
        <v>253</v>
      </c>
      <c r="D251" s="142"/>
      <c r="E251" s="142"/>
      <c r="F251" s="142"/>
    </row>
    <row r="252" spans="1:6" ht="21" customHeight="1">
      <c r="A252" s="147" t="s">
        <v>461</v>
      </c>
      <c r="B252" s="148" t="s">
        <v>240</v>
      </c>
      <c r="C252" s="148" t="s">
        <v>243</v>
      </c>
      <c r="D252" s="151">
        <v>1000000</v>
      </c>
      <c r="E252" s="151">
        <v>1200000</v>
      </c>
      <c r="F252" s="151">
        <v>3000000</v>
      </c>
    </row>
    <row r="253" spans="1:6" ht="21" customHeight="1">
      <c r="A253" s="147" t="s">
        <v>462</v>
      </c>
      <c r="B253" s="148" t="s">
        <v>240</v>
      </c>
      <c r="C253" s="148" t="s">
        <v>243</v>
      </c>
      <c r="D253" s="151">
        <v>800000</v>
      </c>
      <c r="E253" s="151">
        <v>800000</v>
      </c>
      <c r="F253" s="151">
        <v>900000</v>
      </c>
    </row>
    <row r="254" spans="1:6" ht="12.75">
      <c r="A254" s="140"/>
      <c r="B254" s="149"/>
      <c r="C254" s="149" t="s">
        <v>251</v>
      </c>
      <c r="D254" s="150">
        <f>SUM(D252:D253)</f>
        <v>1800000</v>
      </c>
      <c r="E254" s="150">
        <f>SUM(E252:E253)</f>
        <v>2000000</v>
      </c>
      <c r="F254" s="150">
        <f>SUM(F252:F253)</f>
        <v>3900000</v>
      </c>
    </row>
    <row r="255" spans="1:6" ht="32.25" customHeight="1">
      <c r="A255" s="137" t="s">
        <v>463</v>
      </c>
      <c r="B255" s="149"/>
      <c r="C255" s="149" t="s">
        <v>253</v>
      </c>
      <c r="D255" s="142"/>
      <c r="E255" s="142"/>
      <c r="F255" s="142"/>
    </row>
    <row r="256" spans="1:6" ht="32.25" customHeight="1">
      <c r="A256" s="156" t="s">
        <v>464</v>
      </c>
      <c r="B256" s="148" t="s">
        <v>240</v>
      </c>
      <c r="C256" s="148" t="s">
        <v>243</v>
      </c>
      <c r="D256" s="151">
        <v>2000000</v>
      </c>
      <c r="E256" s="151">
        <v>2000000</v>
      </c>
      <c r="F256" s="151">
        <v>2000000</v>
      </c>
    </row>
    <row r="257" spans="1:6" ht="18.75" customHeight="1">
      <c r="A257" s="156" t="s">
        <v>465</v>
      </c>
      <c r="B257" s="148" t="s">
        <v>240</v>
      </c>
      <c r="C257" s="148" t="s">
        <v>243</v>
      </c>
      <c r="D257" s="151">
        <v>750000</v>
      </c>
      <c r="E257" s="151">
        <v>800000</v>
      </c>
      <c r="F257" s="151">
        <v>1000000</v>
      </c>
    </row>
    <row r="258" spans="1:6" ht="15.75" customHeight="1">
      <c r="A258" s="152" t="s">
        <v>466</v>
      </c>
      <c r="B258" s="141" t="s">
        <v>240</v>
      </c>
      <c r="C258" s="141" t="s">
        <v>245</v>
      </c>
      <c r="D258" s="151">
        <f>3000000+1500000+2500000</f>
        <v>7000000</v>
      </c>
      <c r="E258" s="162">
        <f>5000000-1500000+5000000</f>
        <v>8500000</v>
      </c>
      <c r="F258" s="162">
        <f>4000000+10000000</f>
        <v>14000000</v>
      </c>
    </row>
    <row r="259" spans="1:6" ht="12.75">
      <c r="A259" s="140"/>
      <c r="B259" s="149"/>
      <c r="C259" s="149" t="s">
        <v>323</v>
      </c>
      <c r="D259" s="142"/>
      <c r="E259" s="142"/>
      <c r="F259" s="142"/>
    </row>
    <row r="260" spans="1:6" ht="12.75">
      <c r="A260" s="140"/>
      <c r="B260" s="149"/>
      <c r="C260" s="149" t="s">
        <v>251</v>
      </c>
      <c r="D260" s="150">
        <f>SUM(D256:D259)</f>
        <v>9750000</v>
      </c>
      <c r="E260" s="150">
        <f>SUM(E256:E259)</f>
        <v>11300000</v>
      </c>
      <c r="F260" s="150">
        <f>SUM(F256:F259)</f>
        <v>17000000</v>
      </c>
    </row>
    <row r="261" spans="1:6" ht="25.5">
      <c r="A261" s="137" t="s">
        <v>467</v>
      </c>
      <c r="B261" s="149"/>
      <c r="C261" s="149" t="s">
        <v>253</v>
      </c>
      <c r="D261" s="142"/>
      <c r="E261" s="142"/>
      <c r="F261" s="142"/>
    </row>
    <row r="262" spans="1:6" ht="36" customHeight="1">
      <c r="A262" s="147" t="s">
        <v>468</v>
      </c>
      <c r="B262" s="148" t="s">
        <v>240</v>
      </c>
      <c r="C262" s="148" t="s">
        <v>243</v>
      </c>
      <c r="D262" s="151">
        <f>1000000+1000000</f>
        <v>2000000</v>
      </c>
      <c r="E262" s="151">
        <v>1000000</v>
      </c>
      <c r="F262" s="151">
        <v>1000000</v>
      </c>
    </row>
    <row r="263" spans="1:6" ht="21.75" customHeight="1">
      <c r="A263" s="147" t="s">
        <v>469</v>
      </c>
      <c r="B263" s="148" t="s">
        <v>240</v>
      </c>
      <c r="C263" s="148" t="s">
        <v>243</v>
      </c>
      <c r="D263" s="151">
        <v>0</v>
      </c>
      <c r="E263" s="151">
        <v>0</v>
      </c>
      <c r="F263" s="151">
        <v>1000000</v>
      </c>
    </row>
    <row r="264" spans="1:6" ht="38.25">
      <c r="A264" s="147" t="s">
        <v>1084</v>
      </c>
      <c r="B264" s="148" t="s">
        <v>240</v>
      </c>
      <c r="C264" s="148" t="s">
        <v>243</v>
      </c>
      <c r="D264" s="151">
        <v>3000000</v>
      </c>
      <c r="E264" s="151">
        <f>1500000-1500000</f>
        <v>0</v>
      </c>
      <c r="F264" s="151">
        <f>1500000+1500000+1500000</f>
        <v>4500000</v>
      </c>
    </row>
    <row r="265" spans="1:6" ht="30" customHeight="1">
      <c r="A265" s="147" t="s">
        <v>470</v>
      </c>
      <c r="B265" s="148" t="s">
        <v>240</v>
      </c>
      <c r="C265" s="148" t="s">
        <v>243</v>
      </c>
      <c r="D265" s="151">
        <v>1000000</v>
      </c>
      <c r="E265" s="151">
        <v>500000</v>
      </c>
      <c r="F265" s="151">
        <v>1500000</v>
      </c>
    </row>
    <row r="266" spans="1:6" ht="25.5">
      <c r="A266" s="147" t="s">
        <v>471</v>
      </c>
      <c r="B266" s="148" t="s">
        <v>240</v>
      </c>
      <c r="C266" s="148" t="s">
        <v>243</v>
      </c>
      <c r="D266" s="151"/>
      <c r="E266" s="151"/>
      <c r="F266" s="151"/>
    </row>
    <row r="267" spans="1:6" ht="90" customHeight="1">
      <c r="A267" s="147" t="s">
        <v>472</v>
      </c>
      <c r="B267" s="148" t="s">
        <v>240</v>
      </c>
      <c r="C267" s="148" t="s">
        <v>243</v>
      </c>
      <c r="D267" s="151">
        <f>110000000-110000000</f>
        <v>0</v>
      </c>
      <c r="E267" s="89">
        <f>9000000+5000000-5000000</f>
        <v>9000000</v>
      </c>
      <c r="F267" s="163">
        <f>10000000+15000000+5000000-10000000</f>
        <v>20000000</v>
      </c>
    </row>
    <row r="268" spans="1:6" ht="22.5" customHeight="1">
      <c r="A268" s="147" t="s">
        <v>473</v>
      </c>
      <c r="B268" s="148" t="s">
        <v>240</v>
      </c>
      <c r="C268" s="148" t="s">
        <v>243</v>
      </c>
      <c r="D268" s="151">
        <f>50000000-50000000</f>
        <v>0</v>
      </c>
      <c r="E268" s="151">
        <v>3000000</v>
      </c>
      <c r="F268" s="151">
        <v>11000000</v>
      </c>
    </row>
    <row r="269" spans="1:6" ht="22.5" customHeight="1">
      <c r="A269" s="140" t="s">
        <v>474</v>
      </c>
      <c r="B269" s="141" t="s">
        <v>240</v>
      </c>
      <c r="C269" s="141" t="s">
        <v>245</v>
      </c>
      <c r="D269" s="151">
        <f>10000000-10000000</f>
        <v>0</v>
      </c>
      <c r="E269" s="151">
        <f>30000000-30000000</f>
        <v>0</v>
      </c>
      <c r="F269" s="151">
        <v>12000000</v>
      </c>
    </row>
    <row r="270" spans="1:6" ht="12.75">
      <c r="A270" s="140"/>
      <c r="B270" s="141"/>
      <c r="C270" s="141" t="s">
        <v>251</v>
      </c>
      <c r="D270" s="151"/>
      <c r="E270" s="151"/>
      <c r="F270" s="142"/>
    </row>
    <row r="271" spans="1:6" ht="12.75">
      <c r="A271" s="140"/>
      <c r="B271" s="141"/>
      <c r="C271" s="141" t="s">
        <v>251</v>
      </c>
      <c r="D271" s="153">
        <f>SUM(D262:D270)</f>
        <v>6000000</v>
      </c>
      <c r="E271" s="153">
        <f>SUM(E262:E270)</f>
        <v>13500000</v>
      </c>
      <c r="F271" s="153">
        <f>SUM(F262:F270)</f>
        <v>51000000</v>
      </c>
    </row>
    <row r="272" spans="1:6" ht="12.75">
      <c r="A272" s="137" t="s">
        <v>475</v>
      </c>
      <c r="B272" s="141"/>
      <c r="C272" s="141" t="s">
        <v>253</v>
      </c>
      <c r="D272" s="151"/>
      <c r="E272" s="151"/>
      <c r="F272" s="142"/>
    </row>
    <row r="273" spans="1:6" ht="12.75">
      <c r="A273" s="147" t="s">
        <v>476</v>
      </c>
      <c r="B273" s="148" t="s">
        <v>240</v>
      </c>
      <c r="C273" s="148" t="s">
        <v>243</v>
      </c>
      <c r="D273" s="151">
        <v>0</v>
      </c>
      <c r="E273" s="151">
        <f>2000000-2000000</f>
        <v>0</v>
      </c>
      <c r="F273" s="151">
        <f>500000+2000000</f>
        <v>2500000</v>
      </c>
    </row>
    <row r="274" spans="1:6" ht="12.75">
      <c r="A274" s="140"/>
      <c r="B274" s="149"/>
      <c r="C274" s="149" t="s">
        <v>251</v>
      </c>
      <c r="D274" s="150">
        <f>SUM(D273)</f>
        <v>0</v>
      </c>
      <c r="E274" s="150">
        <f>SUM(E273)</f>
        <v>0</v>
      </c>
      <c r="F274" s="150">
        <f>SUM(F273)</f>
        <v>2500000</v>
      </c>
    </row>
    <row r="275" spans="1:6" ht="12.75">
      <c r="A275" s="140"/>
      <c r="B275" s="149"/>
      <c r="C275" s="149"/>
      <c r="D275" s="139"/>
      <c r="E275" s="139"/>
      <c r="F275" s="139"/>
    </row>
    <row r="276" spans="1:6" ht="12.75">
      <c r="A276" s="137" t="s">
        <v>477</v>
      </c>
      <c r="B276" s="141"/>
      <c r="C276" s="141"/>
      <c r="D276" s="158"/>
      <c r="E276" s="158"/>
      <c r="F276" s="158"/>
    </row>
    <row r="277" spans="1:6" ht="25.5">
      <c r="A277" s="140" t="s">
        <v>471</v>
      </c>
      <c r="B277" s="141" t="s">
        <v>240</v>
      </c>
      <c r="C277" s="141" t="s">
        <v>243</v>
      </c>
      <c r="D277" s="151">
        <v>1000000</v>
      </c>
      <c r="E277" s="151">
        <v>0</v>
      </c>
      <c r="F277" s="151">
        <v>2150000</v>
      </c>
    </row>
    <row r="278" spans="1:6" ht="12.75">
      <c r="A278" s="140"/>
      <c r="B278" s="141"/>
      <c r="C278" s="141" t="s">
        <v>251</v>
      </c>
      <c r="D278" s="153">
        <f>SUM(D277)</f>
        <v>1000000</v>
      </c>
      <c r="E278" s="153">
        <f>SUM(E277)</f>
        <v>0</v>
      </c>
      <c r="F278" s="153">
        <f>SUM(F277)</f>
        <v>2150000</v>
      </c>
    </row>
    <row r="279" spans="1:6" ht="12.75">
      <c r="A279" s="140"/>
      <c r="B279" s="149"/>
      <c r="C279" s="149" t="s">
        <v>251</v>
      </c>
      <c r="D279" s="142"/>
      <c r="E279" s="142"/>
      <c r="F279" s="142"/>
    </row>
    <row r="280" spans="1:6" ht="12.75">
      <c r="A280" s="140"/>
      <c r="B280" s="149"/>
      <c r="C280" s="149" t="s">
        <v>251</v>
      </c>
      <c r="D280" s="142"/>
      <c r="E280" s="142"/>
      <c r="F280" s="142"/>
    </row>
    <row r="281" spans="1:6" ht="25.5">
      <c r="A281" s="137" t="s">
        <v>478</v>
      </c>
      <c r="B281" s="149"/>
      <c r="C281" s="149" t="s">
        <v>253</v>
      </c>
      <c r="D281" s="142"/>
      <c r="E281" s="142"/>
      <c r="F281" s="142"/>
    </row>
    <row r="282" spans="1:6" ht="22.5" customHeight="1">
      <c r="A282" s="140" t="s">
        <v>479</v>
      </c>
      <c r="B282" s="149" t="s">
        <v>480</v>
      </c>
      <c r="C282" s="149" t="s">
        <v>241</v>
      </c>
      <c r="D282" s="142">
        <v>0</v>
      </c>
      <c r="E282" s="142">
        <v>0</v>
      </c>
      <c r="F282" s="142">
        <v>0</v>
      </c>
    </row>
    <row r="283" spans="1:6" ht="22.5" customHeight="1">
      <c r="A283" s="140" t="s">
        <v>481</v>
      </c>
      <c r="B283" s="149" t="s">
        <v>482</v>
      </c>
      <c r="C283" s="149" t="s">
        <v>241</v>
      </c>
      <c r="D283" s="142">
        <v>31389000</v>
      </c>
      <c r="E283" s="142">
        <v>0</v>
      </c>
      <c r="F283" s="142"/>
    </row>
    <row r="284" spans="1:6" ht="22.5" customHeight="1">
      <c r="A284" s="140" t="s">
        <v>483</v>
      </c>
      <c r="B284" s="149" t="s">
        <v>482</v>
      </c>
      <c r="C284" s="149" t="s">
        <v>241</v>
      </c>
      <c r="D284" s="142">
        <v>13964000</v>
      </c>
      <c r="E284" s="142">
        <v>0</v>
      </c>
      <c r="F284" s="142"/>
    </row>
    <row r="285" spans="1:6" ht="22.5" customHeight="1">
      <c r="A285" s="140" t="s">
        <v>484</v>
      </c>
      <c r="B285" s="149" t="s">
        <v>482</v>
      </c>
      <c r="C285" s="149" t="s">
        <v>241</v>
      </c>
      <c r="D285" s="142">
        <v>37333000</v>
      </c>
      <c r="E285" s="142">
        <v>0</v>
      </c>
      <c r="F285" s="142">
        <v>0</v>
      </c>
    </row>
    <row r="286" spans="1:6" ht="22.5" customHeight="1">
      <c r="A286" s="140" t="s">
        <v>485</v>
      </c>
      <c r="B286" s="149" t="s">
        <v>482</v>
      </c>
      <c r="C286" s="149" t="s">
        <v>241</v>
      </c>
      <c r="D286" s="142">
        <v>1500000</v>
      </c>
      <c r="E286" s="142">
        <v>0</v>
      </c>
      <c r="F286" s="142">
        <v>0</v>
      </c>
    </row>
    <row r="287" spans="1:6" ht="22.5" customHeight="1">
      <c r="A287" s="137" t="s">
        <v>486</v>
      </c>
      <c r="B287" s="164" t="s">
        <v>482</v>
      </c>
      <c r="C287" s="164" t="s">
        <v>241</v>
      </c>
      <c r="D287" s="142">
        <v>0</v>
      </c>
      <c r="E287" s="142">
        <v>77158000</v>
      </c>
      <c r="F287" s="142">
        <v>81207000</v>
      </c>
    </row>
    <row r="288" spans="1:6" ht="22.5" customHeight="1">
      <c r="A288" s="140" t="s">
        <v>487</v>
      </c>
      <c r="B288" s="149" t="s">
        <v>482</v>
      </c>
      <c r="C288" s="149" t="s">
        <v>241</v>
      </c>
      <c r="D288" s="142">
        <v>6500000</v>
      </c>
      <c r="E288" s="142">
        <v>0</v>
      </c>
      <c r="F288" s="142">
        <v>0</v>
      </c>
    </row>
    <row r="289" spans="1:6" ht="30.75" customHeight="1">
      <c r="A289" s="140" t="s">
        <v>488</v>
      </c>
      <c r="B289" s="149" t="s">
        <v>482</v>
      </c>
      <c r="C289" s="149" t="s">
        <v>241</v>
      </c>
      <c r="D289" s="142">
        <v>5000000</v>
      </c>
      <c r="E289" s="142">
        <v>0</v>
      </c>
      <c r="F289" s="142">
        <v>0</v>
      </c>
    </row>
    <row r="290" spans="1:6" ht="31.5" customHeight="1">
      <c r="A290" s="140" t="s">
        <v>489</v>
      </c>
      <c r="B290" s="149" t="s">
        <v>482</v>
      </c>
      <c r="C290" s="149" t="s">
        <v>241</v>
      </c>
      <c r="D290" s="142">
        <v>5000000</v>
      </c>
      <c r="E290" s="142">
        <v>0</v>
      </c>
      <c r="F290" s="142">
        <v>0</v>
      </c>
    </row>
    <row r="291" spans="1:6" ht="19.5" customHeight="1">
      <c r="A291" s="140" t="s">
        <v>490</v>
      </c>
      <c r="B291" s="149" t="s">
        <v>482</v>
      </c>
      <c r="C291" s="149" t="s">
        <v>241</v>
      </c>
      <c r="D291" s="142">
        <v>4000000</v>
      </c>
      <c r="E291" s="142">
        <v>0</v>
      </c>
      <c r="F291" s="142">
        <v>0</v>
      </c>
    </row>
    <row r="292" spans="1:6" ht="19.5" customHeight="1">
      <c r="A292" s="140" t="s">
        <v>491</v>
      </c>
      <c r="B292" s="149" t="s">
        <v>482</v>
      </c>
      <c r="C292" s="149" t="s">
        <v>241</v>
      </c>
      <c r="D292" s="142">
        <v>3000000</v>
      </c>
      <c r="E292" s="142">
        <v>0</v>
      </c>
      <c r="F292" s="142">
        <v>0</v>
      </c>
    </row>
    <row r="293" spans="1:6" ht="31.5" customHeight="1">
      <c r="A293" s="140" t="s">
        <v>492</v>
      </c>
      <c r="B293" s="149" t="s">
        <v>482</v>
      </c>
      <c r="C293" s="149" t="s">
        <v>241</v>
      </c>
      <c r="D293" s="142">
        <v>11000000</v>
      </c>
      <c r="E293" s="142">
        <v>0</v>
      </c>
      <c r="F293" s="142">
        <v>0</v>
      </c>
    </row>
    <row r="294" spans="1:6" ht="33" customHeight="1">
      <c r="A294" s="140" t="s">
        <v>493</v>
      </c>
      <c r="B294" s="149" t="s">
        <v>482</v>
      </c>
      <c r="C294" s="149" t="s">
        <v>241</v>
      </c>
      <c r="D294" s="142">
        <v>18000000</v>
      </c>
      <c r="E294" s="142">
        <v>0</v>
      </c>
      <c r="F294" s="142">
        <v>0</v>
      </c>
    </row>
    <row r="295" spans="1:6" ht="23.25" customHeight="1">
      <c r="A295" s="140" t="s">
        <v>494</v>
      </c>
      <c r="B295" s="149" t="s">
        <v>482</v>
      </c>
      <c r="C295" s="149" t="s">
        <v>241</v>
      </c>
      <c r="D295" s="142">
        <v>2800000</v>
      </c>
      <c r="E295" s="142">
        <v>0</v>
      </c>
      <c r="F295" s="142">
        <v>0</v>
      </c>
    </row>
    <row r="296" spans="1:6" ht="23.25" customHeight="1">
      <c r="A296" s="140" t="s">
        <v>495</v>
      </c>
      <c r="B296" s="149" t="s">
        <v>482</v>
      </c>
      <c r="C296" s="149" t="s">
        <v>241</v>
      </c>
      <c r="D296" s="142">
        <v>1200000</v>
      </c>
      <c r="E296" s="142">
        <v>0</v>
      </c>
      <c r="F296" s="142">
        <v>0</v>
      </c>
    </row>
    <row r="297" spans="1:6" ht="23.25" customHeight="1">
      <c r="A297" s="140" t="s">
        <v>496</v>
      </c>
      <c r="B297" s="149" t="s">
        <v>482</v>
      </c>
      <c r="C297" s="149" t="s">
        <v>241</v>
      </c>
      <c r="D297" s="142">
        <v>600000</v>
      </c>
      <c r="E297" s="142">
        <v>0</v>
      </c>
      <c r="F297" s="142">
        <v>0</v>
      </c>
    </row>
    <row r="298" spans="1:6" ht="23.25" customHeight="1">
      <c r="A298" s="140" t="s">
        <v>497</v>
      </c>
      <c r="B298" s="149" t="s">
        <v>482</v>
      </c>
      <c r="C298" s="149" t="s">
        <v>241</v>
      </c>
      <c r="D298" s="142">
        <v>413000</v>
      </c>
      <c r="E298" s="142">
        <v>0</v>
      </c>
      <c r="F298" s="142">
        <v>0</v>
      </c>
    </row>
    <row r="299" spans="1:6" ht="23.25" customHeight="1">
      <c r="A299" s="140" t="s">
        <v>498</v>
      </c>
      <c r="B299" s="149" t="s">
        <v>482</v>
      </c>
      <c r="C299" s="149" t="s">
        <v>241</v>
      </c>
      <c r="D299" s="142">
        <v>20833000</v>
      </c>
      <c r="E299" s="142">
        <v>20833000</v>
      </c>
      <c r="F299" s="142">
        <v>20833000</v>
      </c>
    </row>
    <row r="300" spans="1:6" ht="23.25" customHeight="1">
      <c r="A300" s="140" t="s">
        <v>499</v>
      </c>
      <c r="B300" s="141" t="s">
        <v>500</v>
      </c>
      <c r="C300" s="141" t="s">
        <v>243</v>
      </c>
      <c r="D300" s="142">
        <v>105000000</v>
      </c>
      <c r="E300" s="142"/>
      <c r="F300" s="142"/>
    </row>
    <row r="301" spans="1:6" ht="12.75">
      <c r="A301" s="140"/>
      <c r="B301" s="149"/>
      <c r="C301" s="149" t="s">
        <v>251</v>
      </c>
      <c r="D301" s="165">
        <f>SUM(D282:D300)</f>
        <v>267532000</v>
      </c>
      <c r="E301" s="165">
        <f>SUM(E282:E300)</f>
        <v>97991000</v>
      </c>
      <c r="F301" s="165">
        <f>SUM(F282:F300)</f>
        <v>102040000</v>
      </c>
    </row>
    <row r="302" spans="1:6" ht="12.75">
      <c r="A302" s="140"/>
      <c r="B302" s="149"/>
      <c r="C302" s="149" t="s">
        <v>251</v>
      </c>
      <c r="D302" s="142"/>
      <c r="E302" s="142"/>
      <c r="F302" s="142"/>
    </row>
    <row r="303" spans="1:6" ht="33" customHeight="1">
      <c r="A303" s="155" t="s">
        <v>501</v>
      </c>
      <c r="B303" s="149"/>
      <c r="C303" s="149" t="s">
        <v>253</v>
      </c>
      <c r="D303" s="142"/>
      <c r="E303" s="142"/>
      <c r="F303" s="142"/>
    </row>
    <row r="304" spans="1:6" ht="21" customHeight="1">
      <c r="A304" s="152" t="s">
        <v>502</v>
      </c>
      <c r="B304" s="141" t="s">
        <v>240</v>
      </c>
      <c r="C304" s="141" t="s">
        <v>245</v>
      </c>
      <c r="D304" s="142">
        <f>2000000+441-441+6500000</f>
        <v>8500000</v>
      </c>
      <c r="E304" s="136">
        <f>2000000+500+200+300</f>
        <v>2001000</v>
      </c>
      <c r="F304" s="139">
        <v>0</v>
      </c>
    </row>
    <row r="305" spans="1:6" ht="12.75">
      <c r="A305" s="140"/>
      <c r="B305" s="149"/>
      <c r="C305" s="149" t="s">
        <v>251</v>
      </c>
      <c r="D305" s="165">
        <f>SUM(D304)</f>
        <v>8500000</v>
      </c>
      <c r="E305" s="165">
        <f>SUM(E304)</f>
        <v>2001000</v>
      </c>
      <c r="F305" s="165">
        <f>SUM(F304)</f>
        <v>0</v>
      </c>
    </row>
    <row r="306" spans="1:6" ht="12.75">
      <c r="A306" s="140"/>
      <c r="B306" s="149"/>
      <c r="C306" s="149"/>
      <c r="D306" s="166"/>
      <c r="E306" s="166"/>
      <c r="F306" s="166"/>
    </row>
    <row r="307" spans="1:6" ht="12.75">
      <c r="A307" s="140"/>
      <c r="B307" s="149"/>
      <c r="C307" s="149" t="s">
        <v>503</v>
      </c>
      <c r="D307" s="139">
        <f>D16+D40+D47+D92+D129+D138+D172+D185+D197+D201+D216+D229+D241+D254+D260+D271+D301+D305+D274+D278+D250</f>
        <v>1430797000</v>
      </c>
      <c r="E307" s="139">
        <f>E16+E40+E47+E92+E129+E138+E172+E185+E197+E201+E216+E229+E241+E254+E260+E271+E301+E305+E274+E278+E250</f>
        <v>1438936000</v>
      </c>
      <c r="F307" s="139">
        <f>F16+F40+F47+F92+F129+F138+F172+F185+F197+F201+F216+F229+F241+F254+F260+F271+F301+F305+F274+F278+F250</f>
        <v>1820074000</v>
      </c>
    </row>
    <row r="308" spans="1:6" ht="12.75">
      <c r="A308" s="140"/>
      <c r="B308" s="149"/>
      <c r="C308" s="149"/>
      <c r="D308" s="142"/>
      <c r="E308" s="142"/>
      <c r="F308" s="142"/>
    </row>
    <row r="309" spans="1:6" ht="24.75" customHeight="1">
      <c r="A309" s="140" t="s">
        <v>504</v>
      </c>
      <c r="B309" s="138" t="s">
        <v>281</v>
      </c>
      <c r="C309" s="138"/>
      <c r="D309" s="145">
        <f>D49+D50+D51+D52+D53+D54+D55+D56+D57+D58+D59+D60+D81+D82+D83+D84+D85+D86+D87+D89+D95+D96+D97+D98+D99+D100+D101+D102+D103+D104+D105+D106+D116+D222+D223+D231+D232+D233+D234+D236+D239+D224+D69+D66</f>
        <v>271728000</v>
      </c>
      <c r="E309" s="145">
        <f>E49+E50+E51+E52+E53+E54+E55+E56+E57+E58+E59+E60+E81+E82+E83+E84+E85+E86+E87+E89+E95+E96+E97+E98+E99+E100+E101+E102+E103+E104+E105+E106+E116+E222+E223+E231+E232+E233+E234+E236+E239+E224+E69+E66</f>
        <v>278646000</v>
      </c>
      <c r="F309" s="145">
        <f>F49+F50+F51+F52+F53+F54+F55+F56+F57+F58+F59+F60+F81+F82+F83+F84+F85+F86+F87+F89+F95+F96+F97+F98+F99+F100+F101+F102+F103+F104+F105+F106+F116+F222+F223+F231+F232+F233+F234+F236+F239+F224+F69+F66</f>
        <v>314253000</v>
      </c>
    </row>
    <row r="310" spans="1:6" ht="24.75" customHeight="1">
      <c r="A310" s="140" t="s">
        <v>505</v>
      </c>
      <c r="B310" s="138" t="s">
        <v>506</v>
      </c>
      <c r="C310" s="138"/>
      <c r="D310" s="145">
        <f>SUM(D282:D299)</f>
        <v>162532000</v>
      </c>
      <c r="E310" s="145">
        <f>SUM(E282:E299)</f>
        <v>97991000</v>
      </c>
      <c r="F310" s="145">
        <f>SUM(F282:F299)</f>
        <v>102040000</v>
      </c>
    </row>
    <row r="311" spans="1:6" ht="24.75" customHeight="1">
      <c r="A311" s="140" t="s">
        <v>507</v>
      </c>
      <c r="B311" s="138" t="s">
        <v>307</v>
      </c>
      <c r="C311" s="138"/>
      <c r="D311" s="145">
        <f>D80+D79+D78+D77+D76</f>
        <v>35000000</v>
      </c>
      <c r="E311" s="145">
        <f>E80+E79+E78+E77+E76</f>
        <v>35000000</v>
      </c>
      <c r="F311" s="145">
        <f>F80+F79+F78+F77+F76</f>
        <v>35000000</v>
      </c>
    </row>
    <row r="312" spans="1:6" ht="24.75" customHeight="1">
      <c r="A312" s="140" t="s">
        <v>508</v>
      </c>
      <c r="B312" s="138" t="s">
        <v>338</v>
      </c>
      <c r="C312" s="138"/>
      <c r="D312" s="145">
        <f>D107+D108+D109+D115+D124</f>
        <v>68600000</v>
      </c>
      <c r="E312" s="145">
        <f>E107+E108+E109+E115+E124</f>
        <v>110000000</v>
      </c>
      <c r="F312" s="145">
        <f>F107+F108+F109+F115+F124</f>
        <v>116050000</v>
      </c>
    </row>
    <row r="313" spans="1:6" ht="24.75" customHeight="1">
      <c r="A313" s="140" t="s">
        <v>509</v>
      </c>
      <c r="B313" s="138" t="s">
        <v>349</v>
      </c>
      <c r="C313" s="138"/>
      <c r="D313" s="145">
        <f>D133+D121+D117+D132</f>
        <v>263855000</v>
      </c>
      <c r="E313" s="145">
        <f>E133+E121+E117+E132</f>
        <v>460998000</v>
      </c>
      <c r="F313" s="145">
        <f>F133+F121+F117+F132</f>
        <v>644491000</v>
      </c>
    </row>
    <row r="314" spans="1:6" ht="12.75">
      <c r="A314" s="140"/>
      <c r="B314" s="138"/>
      <c r="C314" s="138"/>
      <c r="D314" s="145"/>
      <c r="E314" s="145"/>
      <c r="F314" s="145"/>
    </row>
    <row r="315" spans="1:6" ht="12.75">
      <c r="A315" s="137" t="s">
        <v>510</v>
      </c>
      <c r="B315" s="138"/>
      <c r="C315" s="138"/>
      <c r="D315" s="146">
        <f>SUM(D309:D314)</f>
        <v>801715000</v>
      </c>
      <c r="E315" s="146">
        <f>SUM(E309:E314)</f>
        <v>982635000</v>
      </c>
      <c r="F315" s="146">
        <f>SUM(F309:F314)</f>
        <v>1211834000</v>
      </c>
    </row>
    <row r="316" spans="1:6" ht="12.75">
      <c r="A316" s="140"/>
      <c r="B316" s="138"/>
      <c r="C316" s="138"/>
      <c r="D316" s="145"/>
      <c r="E316" s="145"/>
      <c r="F316" s="145"/>
    </row>
    <row r="317" spans="1:6" ht="19.5" customHeight="1">
      <c r="A317" s="140" t="s">
        <v>511</v>
      </c>
      <c r="B317" s="138" t="s">
        <v>506</v>
      </c>
      <c r="C317" s="138"/>
      <c r="D317" s="145">
        <f>D300</f>
        <v>105000000</v>
      </c>
      <c r="E317" s="145">
        <f>E300</f>
        <v>0</v>
      </c>
      <c r="F317" s="145">
        <f>F300</f>
        <v>0</v>
      </c>
    </row>
    <row r="318" spans="1:6" ht="19.5" customHeight="1">
      <c r="A318" s="140" t="s">
        <v>512</v>
      </c>
      <c r="B318" s="138" t="s">
        <v>513</v>
      </c>
      <c r="C318" s="138"/>
      <c r="D318" s="145">
        <f>D88</f>
        <v>14400000</v>
      </c>
      <c r="E318" s="145">
        <f>E88</f>
        <v>0</v>
      </c>
      <c r="F318" s="145">
        <f>F88</f>
        <v>0</v>
      </c>
    </row>
    <row r="319" spans="1:6" ht="19.5" customHeight="1">
      <c r="A319" s="140" t="s">
        <v>514</v>
      </c>
      <c r="B319" s="138" t="s">
        <v>515</v>
      </c>
      <c r="C319" s="138"/>
      <c r="D319" s="145">
        <f>D134</f>
        <v>170000000</v>
      </c>
      <c r="E319" s="145">
        <f>E134</f>
        <v>0</v>
      </c>
      <c r="F319" s="145">
        <f>F134</f>
        <v>0</v>
      </c>
    </row>
    <row r="320" spans="1:6" ht="19.5" customHeight="1">
      <c r="A320" s="140" t="s">
        <v>240</v>
      </c>
      <c r="B320" s="138" t="s">
        <v>240</v>
      </c>
      <c r="C320" s="138"/>
      <c r="D320" s="145">
        <f>D304+D277+D273+D269+D268+D267+D266+D265+D264+D263+D262+D258+D257+D256+D253+D252+D248+D247+D246+D245+D244+D237+D235+D227+D226+D225+D221+D220+D219+D215+D214+D211+D210+D209+D208+D207+D206+D205+D204+D203+D200+D196+D195+D194+D193+D192+D191+D190+D189+D188+D183+D182+D181+D179+D178+D177+D176+D175+D171+D170+D169+D168+D167+D166+D165+D164+D163+D162+D161+D160+D159+D158+D157+D156+D155+D154+D153+D152+D151+D150+D149+D148+D147+D146+D145+D144+D143+D142+D141+D140+D136+D135+D128+D126+D125+D123+D122+D120+D119+D118+D114+D113+D112+D111+D110+D90+D75+D74+D73+D72+D71+D68+D67+D65+D64+D63+D62+D61+D46+D45+D44+D39+D38+D37+D36+D35+D34+D33+D32+D31+D30+D29+D28+D27+D26+D25+D24+D23+D22+D21+D20+D19+D15+D14+D13+D12+D11+D10+D9+D8+D180+D212+D213+D238+D70</f>
        <v>339682000</v>
      </c>
      <c r="E320" s="145">
        <f>E304+E277+E273+E269+E268+E267+E266+E265+E264+E263+E262+E258+E257+E256+E253+E252+E248+E247+E246+E245+E244+E237+E235+E227+E226+E225+E221+E220+E219+E215+E214+E211+E210+E209+E208+E207+E206+E205+E204+E203+E200+E196+E195+E194+E193+E192+E191+E190+E189+E188+E183+E182+E181+E179+E178+E177+E176+E175+E171+E170+E169+E168+E167+E166+E165+E164+E163+E162+E161+E160+E159+E158+E157+E156+E155+E154+E153+E152+E151+E150+E149+E148+E147+E146+E145+E144+E143+E142+E141+E140+E136+E135+E128+E126+E125+E123+E122+E120+E119+E118+E114+E113+E112+E111+E110+E90+E75+E74+E73+E72+E71+E68+E67+E65+E64+E63+E62+E61+E46+E45+E44+E39+E38+E37+E36+E35+E34+E33+E32+E31+E30+E29+E28+E27+E26+E25+E24+E23+E22+E21+E20+E19+E15+E14+E13+E12+E11+E10+E9+E8+E180+E212+E213+E238+E70</f>
        <v>456301000</v>
      </c>
      <c r="F320" s="145">
        <f>F304+F277+F273+F269+F268+F267+F266+F265+F264+F263+F262+F258+F257+F256+F253+F252+F248+F247+F246+F245+F244+F237+F235+F227+F226+F225+F221+F220+F219+F215+F214+F211+F210+F209+F208+F207+F206+F205+F204+F203+F200+F196+F195+F194+F193+F192+F191+F190+F189+F188+F183+F182+F181+F179+F178+F177+F176+F175+F171+F170+F169+F168+F167+F166+F165+F164+F163+F162+F161+F160+F159+F158+F157+F156+F155+F154+F153+F152+F151+F150+F149+F148+F147+F146+F145+F144+F143+F142+F141+F140+F136+F135+F128+F126+F125+F123+F122+F120+F119+F118+F114+F113+F112+F111+F110+F90+F75+F74+F73+F72+F71+F68+F67+F65+F64+F63+F62+F61+F46+F45+F44+F39+F38+F37+F36+F35+F34+F33+F32+F31+F30+F29+F28+F27+F26+F25+F24+F23+F22+F21+F20+F19+F15+F14+F13+F12+F11+F10+F9+F8+F180+F212+F213+F238+F70</f>
        <v>608240000</v>
      </c>
    </row>
    <row r="321" spans="1:6" ht="12.75">
      <c r="A321" s="140"/>
      <c r="B321" s="138"/>
      <c r="C321" s="138"/>
      <c r="D321" s="145"/>
      <c r="E321" s="145"/>
      <c r="F321" s="145"/>
    </row>
    <row r="322" spans="1:6" ht="12.75">
      <c r="A322" s="137" t="s">
        <v>516</v>
      </c>
      <c r="B322" s="138"/>
      <c r="C322" s="138"/>
      <c r="D322" s="146">
        <f>D320+D315+D317+D318+D319</f>
        <v>1430797000</v>
      </c>
      <c r="E322" s="146">
        <f>E320+E315+E317</f>
        <v>1438936000</v>
      </c>
      <c r="F322" s="146">
        <f>F320+F315+F317</f>
        <v>1820074000</v>
      </c>
    </row>
  </sheetData>
  <sheetProtection/>
  <printOptions/>
  <pageMargins left="0.7" right="0.7" top="0.75" bottom="0.75" header="0.3" footer="0.3"/>
  <pageSetup horizontalDpi="600" verticalDpi="600" orientation="landscape" paperSize="8" scale="161" r:id="rId1"/>
  <headerFooter>
    <oddHeader>&amp;C&amp;A</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Q25"/>
  <sheetViews>
    <sheetView view="pageBreakPreview" zoomScale="90" zoomScaleNormal="90" zoomScaleSheetLayoutView="90" zoomScalePageLayoutView="0" workbookViewId="0" topLeftCell="A1">
      <pane ySplit="1" topLeftCell="A23" activePane="bottomLeft" state="frozen"/>
      <selection pane="topLeft" activeCell="A1" sqref="A1"/>
      <selection pane="bottomLeft" activeCell="I25" sqref="I25"/>
    </sheetView>
  </sheetViews>
  <sheetFormatPr defaultColWidth="9.140625" defaultRowHeight="15"/>
  <cols>
    <col min="1" max="1" width="10.28125" style="105" customWidth="1"/>
    <col min="2" max="2" width="10.421875" style="105" customWidth="1"/>
    <col min="3" max="3" width="10.57421875" style="105" customWidth="1"/>
    <col min="4" max="4" width="15.00390625" style="105" customWidth="1"/>
    <col min="5" max="5" width="16.421875" style="105" customWidth="1"/>
    <col min="6" max="6" width="10.57421875" style="105" customWidth="1"/>
    <col min="7" max="7" width="12.421875" style="105" customWidth="1"/>
    <col min="8" max="8" width="14.140625" style="105" customWidth="1"/>
    <col min="9" max="10" width="9.140625" style="105" customWidth="1"/>
    <col min="11" max="11" width="13.00390625" style="105" customWidth="1"/>
    <col min="12" max="12" width="11.421875" style="105" customWidth="1"/>
    <col min="13" max="17" width="11.140625" style="105" customWidth="1"/>
    <col min="18" max="16384" width="9.140625" style="105" customWidth="1"/>
  </cols>
  <sheetData>
    <row r="1" spans="1:17" ht="77.25" thickBot="1">
      <c r="A1" s="123" t="s">
        <v>0</v>
      </c>
      <c r="B1" s="123" t="s">
        <v>1</v>
      </c>
      <c r="C1" s="123" t="s">
        <v>2</v>
      </c>
      <c r="D1" s="123" t="s">
        <v>3</v>
      </c>
      <c r="E1" s="123" t="s">
        <v>4</v>
      </c>
      <c r="F1" s="123" t="s">
        <v>5</v>
      </c>
      <c r="G1" s="123" t="s">
        <v>6</v>
      </c>
      <c r="H1" s="123" t="s">
        <v>7</v>
      </c>
      <c r="I1" s="123" t="s">
        <v>8</v>
      </c>
      <c r="J1" s="123" t="s">
        <v>1290</v>
      </c>
      <c r="K1" s="123" t="s">
        <v>9</v>
      </c>
      <c r="L1" s="123" t="s">
        <v>10</v>
      </c>
      <c r="M1" s="123" t="s">
        <v>227</v>
      </c>
      <c r="N1" s="123" t="s">
        <v>228</v>
      </c>
      <c r="O1" s="123" t="s">
        <v>229</v>
      </c>
      <c r="P1" s="123" t="s">
        <v>230</v>
      </c>
      <c r="Q1" s="123" t="s">
        <v>231</v>
      </c>
    </row>
    <row r="2" spans="1:17" ht="103.5" customHeight="1" thickBot="1">
      <c r="A2" s="121" t="s">
        <v>11</v>
      </c>
      <c r="B2" s="122" t="s">
        <v>12</v>
      </c>
      <c r="C2" s="122" t="s">
        <v>13</v>
      </c>
      <c r="D2" s="122" t="s">
        <v>14</v>
      </c>
      <c r="E2" s="122" t="s">
        <v>15</v>
      </c>
      <c r="F2" s="122" t="s">
        <v>16</v>
      </c>
      <c r="G2" s="122" t="s">
        <v>221</v>
      </c>
      <c r="H2" s="122" t="s">
        <v>1229</v>
      </c>
      <c r="I2" s="122" t="s">
        <v>22</v>
      </c>
      <c r="J2" s="122" t="s">
        <v>950</v>
      </c>
      <c r="K2" s="172">
        <v>1</v>
      </c>
      <c r="L2" s="172">
        <v>4</v>
      </c>
      <c r="M2" s="172" t="s">
        <v>528</v>
      </c>
      <c r="N2" s="172" t="s">
        <v>528</v>
      </c>
      <c r="O2" s="172" t="s">
        <v>528</v>
      </c>
      <c r="P2" s="172">
        <v>4</v>
      </c>
      <c r="Q2" s="172" t="s">
        <v>579</v>
      </c>
    </row>
    <row r="3" spans="1:17" ht="103.5" customHeight="1" thickBot="1">
      <c r="A3" s="121" t="s">
        <v>17</v>
      </c>
      <c r="B3" s="122" t="s">
        <v>12</v>
      </c>
      <c r="C3" s="122" t="s">
        <v>13</v>
      </c>
      <c r="D3" s="122" t="s">
        <v>14</v>
      </c>
      <c r="E3" s="122" t="s">
        <v>15</v>
      </c>
      <c r="F3" s="122" t="s">
        <v>16</v>
      </c>
      <c r="G3" s="122" t="s">
        <v>222</v>
      </c>
      <c r="H3" s="122" t="s">
        <v>1230</v>
      </c>
      <c r="I3" s="122" t="s">
        <v>18</v>
      </c>
      <c r="J3" s="122" t="s">
        <v>950</v>
      </c>
      <c r="K3" s="172" t="s">
        <v>19</v>
      </c>
      <c r="L3" s="172">
        <v>4</v>
      </c>
      <c r="M3" s="172" t="s">
        <v>528</v>
      </c>
      <c r="N3" s="172" t="s">
        <v>528</v>
      </c>
      <c r="O3" s="172" t="s">
        <v>528</v>
      </c>
      <c r="P3" s="172">
        <v>4</v>
      </c>
      <c r="Q3" s="172" t="s">
        <v>579</v>
      </c>
    </row>
    <row r="4" spans="1:17" ht="79.5" customHeight="1" thickBot="1">
      <c r="A4" s="121" t="s">
        <v>20</v>
      </c>
      <c r="B4" s="122" t="s">
        <v>12</v>
      </c>
      <c r="C4" s="122" t="s">
        <v>13</v>
      </c>
      <c r="D4" s="122" t="s">
        <v>14</v>
      </c>
      <c r="E4" s="122" t="s">
        <v>15</v>
      </c>
      <c r="F4" s="122" t="s">
        <v>16</v>
      </c>
      <c r="G4" s="122" t="s">
        <v>21</v>
      </c>
      <c r="H4" s="122" t="s">
        <v>1231</v>
      </c>
      <c r="I4" s="122" t="s">
        <v>22</v>
      </c>
      <c r="J4" s="122" t="s">
        <v>950</v>
      </c>
      <c r="K4" s="172">
        <v>6000</v>
      </c>
      <c r="L4" s="172" t="s">
        <v>223</v>
      </c>
      <c r="M4" s="172">
        <v>500</v>
      </c>
      <c r="N4" s="172">
        <v>500</v>
      </c>
      <c r="O4" s="172">
        <v>500</v>
      </c>
      <c r="P4" s="172">
        <v>500</v>
      </c>
      <c r="Q4" s="172" t="s">
        <v>579</v>
      </c>
    </row>
    <row r="5" spans="1:17" s="111" customFormat="1" ht="126.75" customHeight="1" thickBot="1">
      <c r="A5" s="121" t="s">
        <v>23</v>
      </c>
      <c r="B5" s="126" t="s">
        <v>12</v>
      </c>
      <c r="C5" s="126" t="s">
        <v>13</v>
      </c>
      <c r="D5" s="126" t="s">
        <v>14</v>
      </c>
      <c r="E5" s="126" t="s">
        <v>15</v>
      </c>
      <c r="F5" s="126" t="s">
        <v>16</v>
      </c>
      <c r="G5" s="126" t="s">
        <v>24</v>
      </c>
      <c r="H5" s="126" t="s">
        <v>1295</v>
      </c>
      <c r="I5" s="126" t="s">
        <v>25</v>
      </c>
      <c r="J5" s="126">
        <v>239116</v>
      </c>
      <c r="K5" s="173" t="s">
        <v>1303</v>
      </c>
      <c r="L5" s="172" t="s">
        <v>1291</v>
      </c>
      <c r="M5" s="172" t="s">
        <v>528</v>
      </c>
      <c r="N5" s="172" t="s">
        <v>528</v>
      </c>
      <c r="O5" s="172" t="s">
        <v>528</v>
      </c>
      <c r="P5" s="172" t="s">
        <v>1291</v>
      </c>
      <c r="Q5" s="172" t="s">
        <v>579</v>
      </c>
    </row>
    <row r="6" spans="1:17" ht="146.25" customHeight="1" thickBot="1">
      <c r="A6" s="121" t="s">
        <v>26</v>
      </c>
      <c r="B6" s="122" t="s">
        <v>12</v>
      </c>
      <c r="C6" s="122" t="s">
        <v>13</v>
      </c>
      <c r="D6" s="122" t="s">
        <v>14</v>
      </c>
      <c r="E6" s="122" t="s">
        <v>15</v>
      </c>
      <c r="F6" s="122" t="s">
        <v>16</v>
      </c>
      <c r="G6" s="122" t="s">
        <v>27</v>
      </c>
      <c r="H6" s="122" t="s">
        <v>1232</v>
      </c>
      <c r="I6" s="122" t="s">
        <v>25</v>
      </c>
      <c r="J6" s="122" t="s">
        <v>950</v>
      </c>
      <c r="K6" s="122" t="s">
        <v>224</v>
      </c>
      <c r="L6" s="122" t="s">
        <v>225</v>
      </c>
      <c r="M6" s="122">
        <v>3300</v>
      </c>
      <c r="N6" s="122">
        <v>3300</v>
      </c>
      <c r="O6" s="122">
        <v>3300</v>
      </c>
      <c r="P6" s="122">
        <v>3300</v>
      </c>
      <c r="Q6" s="122" t="s">
        <v>580</v>
      </c>
    </row>
    <row r="7" spans="1:17" s="111" customFormat="1" ht="129" customHeight="1" thickBot="1">
      <c r="A7" s="121" t="s">
        <v>28</v>
      </c>
      <c r="B7" s="126" t="s">
        <v>12</v>
      </c>
      <c r="C7" s="126" t="s">
        <v>13</v>
      </c>
      <c r="D7" s="126" t="s">
        <v>14</v>
      </c>
      <c r="E7" s="126" t="s">
        <v>15</v>
      </c>
      <c r="F7" s="126" t="s">
        <v>29</v>
      </c>
      <c r="G7" s="126" t="s">
        <v>30</v>
      </c>
      <c r="H7" s="126" t="s">
        <v>1293</v>
      </c>
      <c r="I7" s="126" t="s">
        <v>25</v>
      </c>
      <c r="J7" s="126">
        <v>239116</v>
      </c>
      <c r="K7" s="126" t="s">
        <v>1292</v>
      </c>
      <c r="L7" s="126" t="s">
        <v>1294</v>
      </c>
      <c r="M7" s="126"/>
      <c r="N7" s="126"/>
      <c r="O7" s="126"/>
      <c r="P7" s="126" t="s">
        <v>1294</v>
      </c>
      <c r="Q7" s="126" t="s">
        <v>579</v>
      </c>
    </row>
    <row r="8" spans="1:17" ht="93.75" customHeight="1" thickBot="1">
      <c r="A8" s="121" t="s">
        <v>31</v>
      </c>
      <c r="B8" s="122" t="s">
        <v>12</v>
      </c>
      <c r="C8" s="122" t="s">
        <v>13</v>
      </c>
      <c r="D8" s="122" t="s">
        <v>14</v>
      </c>
      <c r="E8" s="122" t="s">
        <v>15</v>
      </c>
      <c r="F8" s="122" t="s">
        <v>32</v>
      </c>
      <c r="G8" s="122" t="s">
        <v>33</v>
      </c>
      <c r="H8" s="122" t="s">
        <v>1242</v>
      </c>
      <c r="I8" s="122" t="s">
        <v>18</v>
      </c>
      <c r="J8" s="122" t="s">
        <v>950</v>
      </c>
      <c r="K8" s="122" t="s">
        <v>34</v>
      </c>
      <c r="L8" s="122">
        <v>145</v>
      </c>
      <c r="M8" s="122" t="s">
        <v>530</v>
      </c>
      <c r="N8" s="122" t="s">
        <v>530</v>
      </c>
      <c r="O8" s="122" t="s">
        <v>530</v>
      </c>
      <c r="P8" s="122" t="s">
        <v>530</v>
      </c>
      <c r="Q8" s="122" t="s">
        <v>579</v>
      </c>
    </row>
    <row r="9" spans="1:17" ht="86.25" customHeight="1" thickBot="1">
      <c r="A9" s="121" t="s">
        <v>35</v>
      </c>
      <c r="B9" s="122" t="s">
        <v>12</v>
      </c>
      <c r="C9" s="122" t="s">
        <v>13</v>
      </c>
      <c r="D9" s="122" t="s">
        <v>14</v>
      </c>
      <c r="E9" s="122" t="s">
        <v>15</v>
      </c>
      <c r="F9" s="122" t="s">
        <v>32</v>
      </c>
      <c r="G9" s="122" t="s">
        <v>36</v>
      </c>
      <c r="H9" s="122" t="s">
        <v>1233</v>
      </c>
      <c r="I9" s="122" t="s">
        <v>22</v>
      </c>
      <c r="J9" s="122" t="s">
        <v>950</v>
      </c>
      <c r="K9" s="122" t="s">
        <v>226</v>
      </c>
      <c r="L9" s="122" t="s">
        <v>37</v>
      </c>
      <c r="M9" s="122">
        <v>3750</v>
      </c>
      <c r="N9" s="122">
        <v>3750</v>
      </c>
      <c r="O9" s="122">
        <v>3750</v>
      </c>
      <c r="P9" s="122">
        <v>3750</v>
      </c>
      <c r="Q9" s="122" t="s">
        <v>579</v>
      </c>
    </row>
    <row r="10" spans="1:17" ht="188.25" customHeight="1" thickBot="1">
      <c r="A10" s="121" t="s">
        <v>38</v>
      </c>
      <c r="B10" s="122" t="s">
        <v>12</v>
      </c>
      <c r="C10" s="122" t="s">
        <v>13</v>
      </c>
      <c r="D10" s="122" t="s">
        <v>14</v>
      </c>
      <c r="E10" s="122" t="s">
        <v>15</v>
      </c>
      <c r="F10" s="122" t="s">
        <v>32</v>
      </c>
      <c r="G10" s="122" t="s">
        <v>39</v>
      </c>
      <c r="H10" s="122" t="s">
        <v>1234</v>
      </c>
      <c r="I10" s="122" t="s">
        <v>40</v>
      </c>
      <c r="J10" s="122" t="s">
        <v>950</v>
      </c>
      <c r="K10" s="122" t="s">
        <v>93</v>
      </c>
      <c r="L10" s="122" t="s">
        <v>41</v>
      </c>
      <c r="M10" s="122" t="s">
        <v>528</v>
      </c>
      <c r="N10" s="122" t="s">
        <v>528</v>
      </c>
      <c r="O10" s="122" t="s">
        <v>528</v>
      </c>
      <c r="P10" s="122" t="s">
        <v>41</v>
      </c>
      <c r="Q10" s="122" t="s">
        <v>579</v>
      </c>
    </row>
    <row r="11" spans="1:17" ht="99" customHeight="1" thickBot="1">
      <c r="A11" s="121" t="s">
        <v>42</v>
      </c>
      <c r="B11" s="122" t="s">
        <v>12</v>
      </c>
      <c r="C11" s="122" t="s">
        <v>13</v>
      </c>
      <c r="D11" s="122" t="s">
        <v>14</v>
      </c>
      <c r="E11" s="122" t="s">
        <v>15</v>
      </c>
      <c r="F11" s="122" t="s">
        <v>32</v>
      </c>
      <c r="G11" s="122" t="s">
        <v>43</v>
      </c>
      <c r="H11" s="122" t="s">
        <v>1235</v>
      </c>
      <c r="I11" s="122">
        <v>198</v>
      </c>
      <c r="J11" s="122" t="s">
        <v>950</v>
      </c>
      <c r="K11" s="122" t="s">
        <v>19</v>
      </c>
      <c r="L11" s="122">
        <v>66</v>
      </c>
      <c r="M11" s="122" t="s">
        <v>528</v>
      </c>
      <c r="N11" s="122" t="s">
        <v>528</v>
      </c>
      <c r="O11" s="122" t="s">
        <v>528</v>
      </c>
      <c r="P11" s="122">
        <v>66</v>
      </c>
      <c r="Q11" s="122" t="s">
        <v>579</v>
      </c>
    </row>
    <row r="12" spans="1:17" s="111" customFormat="1" ht="132.75" customHeight="1" thickBot="1">
      <c r="A12" s="121" t="s">
        <v>44</v>
      </c>
      <c r="B12" s="126" t="s">
        <v>12</v>
      </c>
      <c r="C12" s="126" t="s">
        <v>13</v>
      </c>
      <c r="D12" s="126" t="s">
        <v>14</v>
      </c>
      <c r="E12" s="126" t="s">
        <v>15</v>
      </c>
      <c r="F12" s="126" t="s">
        <v>32</v>
      </c>
      <c r="G12" s="126" t="s">
        <v>45</v>
      </c>
      <c r="H12" s="126" t="s">
        <v>1298</v>
      </c>
      <c r="I12" s="126" t="s">
        <v>25</v>
      </c>
      <c r="J12" s="126">
        <v>239116</v>
      </c>
      <c r="K12" s="176" t="s">
        <v>1296</v>
      </c>
      <c r="L12" s="174" t="s">
        <v>1297</v>
      </c>
      <c r="M12" s="177" t="s">
        <v>528</v>
      </c>
      <c r="N12" s="177" t="s">
        <v>528</v>
      </c>
      <c r="O12" s="177" t="s">
        <v>528</v>
      </c>
      <c r="P12" s="174" t="s">
        <v>1297</v>
      </c>
      <c r="Q12" s="126" t="s">
        <v>579</v>
      </c>
    </row>
    <row r="13" spans="1:17" ht="133.5" customHeight="1" thickBot="1">
      <c r="A13" s="121" t="s">
        <v>46</v>
      </c>
      <c r="B13" s="122" t="s">
        <v>47</v>
      </c>
      <c r="C13" s="122" t="s">
        <v>48</v>
      </c>
      <c r="D13" s="122" t="s">
        <v>49</v>
      </c>
      <c r="E13" s="122" t="s">
        <v>50</v>
      </c>
      <c r="F13" s="122" t="s">
        <v>51</v>
      </c>
      <c r="G13" s="122" t="s">
        <v>52</v>
      </c>
      <c r="H13" s="122" t="s">
        <v>1236</v>
      </c>
      <c r="I13" s="122" t="s">
        <v>18</v>
      </c>
      <c r="J13" s="122" t="s">
        <v>950</v>
      </c>
      <c r="K13" s="122">
        <v>13</v>
      </c>
      <c r="L13" s="124">
        <v>40</v>
      </c>
      <c r="M13" s="124" t="s">
        <v>528</v>
      </c>
      <c r="N13" s="124" t="s">
        <v>528</v>
      </c>
      <c r="O13" s="124" t="s">
        <v>528</v>
      </c>
      <c r="P13" s="124">
        <v>40</v>
      </c>
      <c r="Q13" s="122" t="s">
        <v>579</v>
      </c>
    </row>
    <row r="14" spans="1:17" ht="115.5" thickBot="1">
      <c r="A14" s="121" t="s">
        <v>53</v>
      </c>
      <c r="B14" s="122" t="s">
        <v>47</v>
      </c>
      <c r="C14" s="122" t="s">
        <v>48</v>
      </c>
      <c r="D14" s="122" t="s">
        <v>49</v>
      </c>
      <c r="E14" s="122" t="s">
        <v>50</v>
      </c>
      <c r="F14" s="122" t="s">
        <v>51</v>
      </c>
      <c r="G14" s="122" t="s">
        <v>52</v>
      </c>
      <c r="H14" s="122" t="s">
        <v>1243</v>
      </c>
      <c r="I14" s="122" t="s">
        <v>18</v>
      </c>
      <c r="J14" s="122" t="s">
        <v>950</v>
      </c>
      <c r="K14" s="122">
        <v>6.18</v>
      </c>
      <c r="L14" s="122">
        <v>20</v>
      </c>
      <c r="M14" s="122" t="s">
        <v>528</v>
      </c>
      <c r="N14" s="122" t="s">
        <v>528</v>
      </c>
      <c r="O14" s="122" t="s">
        <v>528</v>
      </c>
      <c r="P14" s="122">
        <v>20</v>
      </c>
      <c r="Q14" s="122" t="s">
        <v>579</v>
      </c>
    </row>
    <row r="15" spans="1:17" ht="110.25" customHeight="1" thickBot="1">
      <c r="A15" s="121" t="s">
        <v>54</v>
      </c>
      <c r="B15" s="122" t="s">
        <v>47</v>
      </c>
      <c r="C15" s="122" t="s">
        <v>48</v>
      </c>
      <c r="D15" s="122" t="s">
        <v>49</v>
      </c>
      <c r="E15" s="122" t="s">
        <v>50</v>
      </c>
      <c r="F15" s="122" t="s">
        <v>51</v>
      </c>
      <c r="G15" s="122" t="s">
        <v>55</v>
      </c>
      <c r="H15" s="122" t="s">
        <v>56</v>
      </c>
      <c r="I15" s="122" t="s">
        <v>18</v>
      </c>
      <c r="J15" s="122" t="s">
        <v>950</v>
      </c>
      <c r="K15" s="122">
        <v>3</v>
      </c>
      <c r="L15" s="122">
        <v>1.2</v>
      </c>
      <c r="M15" s="122" t="s">
        <v>528</v>
      </c>
      <c r="N15" s="122" t="s">
        <v>528</v>
      </c>
      <c r="O15" s="122" t="s">
        <v>528</v>
      </c>
      <c r="P15" s="122">
        <v>1.2</v>
      </c>
      <c r="Q15" s="122" t="s">
        <v>579</v>
      </c>
    </row>
    <row r="16" spans="1:17" ht="130.5" customHeight="1" thickBot="1">
      <c r="A16" s="121" t="s">
        <v>57</v>
      </c>
      <c r="B16" s="122" t="s">
        <v>47</v>
      </c>
      <c r="C16" s="122" t="s">
        <v>48</v>
      </c>
      <c r="D16" s="122" t="s">
        <v>49</v>
      </c>
      <c r="E16" s="122" t="s">
        <v>50</v>
      </c>
      <c r="F16" s="122" t="s">
        <v>58</v>
      </c>
      <c r="G16" s="122" t="s">
        <v>59</v>
      </c>
      <c r="H16" s="122" t="s">
        <v>1244</v>
      </c>
      <c r="I16" s="122" t="s">
        <v>22</v>
      </c>
      <c r="J16" s="122" t="s">
        <v>950</v>
      </c>
      <c r="K16" s="125">
        <v>0.75</v>
      </c>
      <c r="L16" s="125">
        <v>0.85</v>
      </c>
      <c r="M16" s="125">
        <v>0.85</v>
      </c>
      <c r="N16" s="125">
        <v>0.85</v>
      </c>
      <c r="O16" s="125">
        <v>0.85</v>
      </c>
      <c r="P16" s="125">
        <v>0.85</v>
      </c>
      <c r="Q16" s="122" t="s">
        <v>581</v>
      </c>
    </row>
    <row r="17" spans="1:17" ht="157.5" customHeight="1" thickBot="1">
      <c r="A17" s="121" t="s">
        <v>60</v>
      </c>
      <c r="B17" s="122" t="s">
        <v>47</v>
      </c>
      <c r="C17" s="122" t="s">
        <v>61</v>
      </c>
      <c r="D17" s="122" t="s">
        <v>64</v>
      </c>
      <c r="E17" s="122"/>
      <c r="F17" s="122" t="s">
        <v>65</v>
      </c>
      <c r="G17" s="122" t="s">
        <v>66</v>
      </c>
      <c r="H17" s="122" t="s">
        <v>1245</v>
      </c>
      <c r="I17" s="122" t="s">
        <v>22</v>
      </c>
      <c r="J17" s="122" t="s">
        <v>950</v>
      </c>
      <c r="K17" s="122">
        <v>4</v>
      </c>
      <c r="L17" s="122">
        <v>2</v>
      </c>
      <c r="M17" s="126"/>
      <c r="N17" s="126">
        <v>1</v>
      </c>
      <c r="O17" s="126"/>
      <c r="P17" s="126">
        <v>1</v>
      </c>
      <c r="Q17" s="122" t="s">
        <v>582</v>
      </c>
    </row>
    <row r="18" spans="1:17" ht="123.75" customHeight="1" thickBot="1">
      <c r="A18" s="121" t="s">
        <v>62</v>
      </c>
      <c r="B18" s="122" t="s">
        <v>47</v>
      </c>
      <c r="C18" s="122" t="s">
        <v>68</v>
      </c>
      <c r="D18" s="122" t="s">
        <v>69</v>
      </c>
      <c r="E18" s="122" t="s">
        <v>70</v>
      </c>
      <c r="F18" s="122" t="s">
        <v>71</v>
      </c>
      <c r="G18" s="122" t="s">
        <v>72</v>
      </c>
      <c r="H18" s="122" t="s">
        <v>73</v>
      </c>
      <c r="I18" s="122" t="s">
        <v>22</v>
      </c>
      <c r="J18" s="122" t="s">
        <v>950</v>
      </c>
      <c r="K18" s="122">
        <v>1540</v>
      </c>
      <c r="L18" s="122">
        <v>1540</v>
      </c>
      <c r="M18" s="122">
        <v>385</v>
      </c>
      <c r="N18" s="122">
        <v>385</v>
      </c>
      <c r="O18" s="122">
        <v>385</v>
      </c>
      <c r="P18" s="122">
        <v>385</v>
      </c>
      <c r="Q18" s="122" t="s">
        <v>583</v>
      </c>
    </row>
    <row r="19" spans="1:17" ht="184.5" customHeight="1" thickBot="1">
      <c r="A19" s="121" t="s">
        <v>63</v>
      </c>
      <c r="B19" s="122" t="s">
        <v>47</v>
      </c>
      <c r="C19" s="122" t="s">
        <v>61</v>
      </c>
      <c r="D19" s="122" t="s">
        <v>14</v>
      </c>
      <c r="E19" s="122" t="s">
        <v>15</v>
      </c>
      <c r="F19" s="122" t="s">
        <v>75</v>
      </c>
      <c r="G19" s="122" t="s">
        <v>76</v>
      </c>
      <c r="H19" s="122" t="s">
        <v>1246</v>
      </c>
      <c r="I19" s="122" t="s">
        <v>22</v>
      </c>
      <c r="J19" s="122" t="s">
        <v>950</v>
      </c>
      <c r="K19" s="122">
        <v>18</v>
      </c>
      <c r="L19" s="122">
        <v>18</v>
      </c>
      <c r="M19" s="122" t="s">
        <v>528</v>
      </c>
      <c r="N19" s="122" t="s">
        <v>528</v>
      </c>
      <c r="O19" s="122" t="s">
        <v>528</v>
      </c>
      <c r="P19" s="122">
        <v>18</v>
      </c>
      <c r="Q19" s="122" t="s">
        <v>584</v>
      </c>
    </row>
    <row r="20" spans="1:17" s="111" customFormat="1" ht="159.75" customHeight="1" thickBot="1">
      <c r="A20" s="121" t="s">
        <v>67</v>
      </c>
      <c r="B20" s="126" t="s">
        <v>47</v>
      </c>
      <c r="C20" s="126" t="s">
        <v>68</v>
      </c>
      <c r="D20" s="126" t="s">
        <v>14</v>
      </c>
      <c r="E20" s="126" t="s">
        <v>15</v>
      </c>
      <c r="F20" s="126" t="s">
        <v>75</v>
      </c>
      <c r="G20" s="126" t="s">
        <v>78</v>
      </c>
      <c r="H20" s="126" t="s">
        <v>1300</v>
      </c>
      <c r="I20" s="126" t="s">
        <v>25</v>
      </c>
      <c r="J20" s="126">
        <v>239116</v>
      </c>
      <c r="K20" s="175" t="s">
        <v>1299</v>
      </c>
      <c r="L20" s="175" t="s">
        <v>1301</v>
      </c>
      <c r="M20" s="175" t="s">
        <v>528</v>
      </c>
      <c r="N20" s="175" t="s">
        <v>528</v>
      </c>
      <c r="O20" s="175" t="s">
        <v>528</v>
      </c>
      <c r="P20" s="175" t="s">
        <v>1302</v>
      </c>
      <c r="Q20" s="126" t="s">
        <v>584</v>
      </c>
    </row>
    <row r="21" spans="1:17" ht="99" customHeight="1" thickBot="1">
      <c r="A21" s="121" t="s">
        <v>74</v>
      </c>
      <c r="B21" s="122" t="s">
        <v>47</v>
      </c>
      <c r="C21" s="122" t="s">
        <v>68</v>
      </c>
      <c r="D21" s="122" t="s">
        <v>80</v>
      </c>
      <c r="E21" s="122" t="s">
        <v>15</v>
      </c>
      <c r="F21" s="122" t="s">
        <v>81</v>
      </c>
      <c r="G21" s="122" t="s">
        <v>82</v>
      </c>
      <c r="H21" s="122" t="s">
        <v>1247</v>
      </c>
      <c r="I21" s="122" t="s">
        <v>22</v>
      </c>
      <c r="J21" s="122" t="s">
        <v>950</v>
      </c>
      <c r="K21" s="122" t="s">
        <v>83</v>
      </c>
      <c r="L21" s="122" t="s">
        <v>83</v>
      </c>
      <c r="M21" s="122" t="s">
        <v>529</v>
      </c>
      <c r="N21" s="122" t="s">
        <v>528</v>
      </c>
      <c r="O21" s="122" t="s">
        <v>528</v>
      </c>
      <c r="P21" s="122" t="s">
        <v>83</v>
      </c>
      <c r="Q21" s="122" t="s">
        <v>585</v>
      </c>
    </row>
    <row r="22" spans="1:17" ht="90" thickBot="1">
      <c r="A22" s="121" t="s">
        <v>77</v>
      </c>
      <c r="B22" s="122" t="s">
        <v>47</v>
      </c>
      <c r="C22" s="122" t="s">
        <v>68</v>
      </c>
      <c r="D22" s="122" t="s">
        <v>80</v>
      </c>
      <c r="E22" s="122" t="s">
        <v>15</v>
      </c>
      <c r="F22" s="122" t="s">
        <v>81</v>
      </c>
      <c r="G22" s="122" t="s">
        <v>85</v>
      </c>
      <c r="H22" s="122" t="s">
        <v>1248</v>
      </c>
      <c r="I22" s="122" t="s">
        <v>18</v>
      </c>
      <c r="J22" s="122" t="s">
        <v>950</v>
      </c>
      <c r="K22" s="122" t="s">
        <v>86</v>
      </c>
      <c r="L22" s="122" t="s">
        <v>87</v>
      </c>
      <c r="M22" s="122" t="s">
        <v>528</v>
      </c>
      <c r="N22" s="122" t="s">
        <v>528</v>
      </c>
      <c r="O22" s="122" t="s">
        <v>528</v>
      </c>
      <c r="P22" s="122" t="s">
        <v>87</v>
      </c>
      <c r="Q22" s="122" t="s">
        <v>579</v>
      </c>
    </row>
    <row r="23" spans="1:17" ht="85.5" customHeight="1" thickBot="1">
      <c r="A23" s="121" t="s">
        <v>79</v>
      </c>
      <c r="B23" s="122" t="s">
        <v>47</v>
      </c>
      <c r="C23" s="122" t="s">
        <v>48</v>
      </c>
      <c r="D23" s="122" t="s">
        <v>49</v>
      </c>
      <c r="E23" s="122" t="s">
        <v>50</v>
      </c>
      <c r="F23" s="122" t="s">
        <v>89</v>
      </c>
      <c r="G23" s="122" t="s">
        <v>90</v>
      </c>
      <c r="H23" s="122" t="s">
        <v>1249</v>
      </c>
      <c r="I23" s="122" t="s">
        <v>18</v>
      </c>
      <c r="J23" s="122" t="s">
        <v>950</v>
      </c>
      <c r="K23" s="122">
        <v>3.85</v>
      </c>
      <c r="L23" s="122">
        <v>0.65</v>
      </c>
      <c r="M23" s="122" t="s">
        <v>528</v>
      </c>
      <c r="N23" s="122" t="s">
        <v>528</v>
      </c>
      <c r="O23" s="122" t="s">
        <v>528</v>
      </c>
      <c r="P23" s="122">
        <v>0.65</v>
      </c>
      <c r="Q23" s="122" t="s">
        <v>579</v>
      </c>
    </row>
    <row r="24" spans="1:17" ht="86.25" customHeight="1" thickBot="1">
      <c r="A24" s="121" t="s">
        <v>84</v>
      </c>
      <c r="B24" s="122" t="s">
        <v>47</v>
      </c>
      <c r="C24" s="122" t="s">
        <v>48</v>
      </c>
      <c r="D24" s="122" t="s">
        <v>49</v>
      </c>
      <c r="E24" s="122" t="s">
        <v>50</v>
      </c>
      <c r="F24" s="122" t="s">
        <v>89</v>
      </c>
      <c r="G24" s="122" t="s">
        <v>90</v>
      </c>
      <c r="H24" s="122" t="s">
        <v>1237</v>
      </c>
      <c r="I24" s="122" t="s">
        <v>18</v>
      </c>
      <c r="J24" s="122" t="s">
        <v>950</v>
      </c>
      <c r="K24" s="122">
        <v>2.6</v>
      </c>
      <c r="L24" s="122">
        <v>0.7</v>
      </c>
      <c r="M24" s="122" t="s">
        <v>528</v>
      </c>
      <c r="N24" s="122" t="s">
        <v>528</v>
      </c>
      <c r="O24" s="122" t="s">
        <v>528</v>
      </c>
      <c r="P24" s="122">
        <v>0.7</v>
      </c>
      <c r="Q24" s="122" t="s">
        <v>579</v>
      </c>
    </row>
    <row r="25" spans="1:17" ht="110.25" customHeight="1" thickBot="1">
      <c r="A25" s="121" t="s">
        <v>88</v>
      </c>
      <c r="B25" s="122" t="s">
        <v>47</v>
      </c>
      <c r="C25" s="122" t="s">
        <v>48</v>
      </c>
      <c r="D25" s="122" t="s">
        <v>49</v>
      </c>
      <c r="E25" s="122" t="s">
        <v>50</v>
      </c>
      <c r="F25" s="122" t="s">
        <v>91</v>
      </c>
      <c r="G25" s="122" t="s">
        <v>92</v>
      </c>
      <c r="H25" s="122" t="s">
        <v>1250</v>
      </c>
      <c r="I25" s="122" t="s">
        <v>22</v>
      </c>
      <c r="J25" s="122" t="s">
        <v>950</v>
      </c>
      <c r="K25" s="122" t="s">
        <v>93</v>
      </c>
      <c r="L25" s="122">
        <v>4</v>
      </c>
      <c r="M25" s="122" t="s">
        <v>528</v>
      </c>
      <c r="N25" s="122" t="s">
        <v>528</v>
      </c>
      <c r="O25" s="122" t="s">
        <v>528</v>
      </c>
      <c r="P25" s="122">
        <v>4</v>
      </c>
      <c r="Q25" s="122" t="s">
        <v>586</v>
      </c>
    </row>
  </sheetData>
  <sheetProtection/>
  <printOptions/>
  <pageMargins left="0.7" right="0.7" top="0.75" bottom="0.75" header="0.3" footer="0.3"/>
  <pageSetup horizontalDpi="600" verticalDpi="600" orientation="landscape" paperSize="8" scale="97" r:id="rId1"/>
  <headerFooter>
    <oddHeader>&amp;C&amp;A</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P27"/>
  <sheetViews>
    <sheetView view="pageBreakPreview" zoomScale="90" zoomScaleSheetLayoutView="90" zoomScalePageLayoutView="0" workbookViewId="0" topLeftCell="A1">
      <pane ySplit="1" topLeftCell="A8" activePane="bottomLeft" state="frozen"/>
      <selection pane="topLeft" activeCell="A1" sqref="A1"/>
      <selection pane="bottomLeft" activeCell="H3" sqref="H3"/>
    </sheetView>
  </sheetViews>
  <sheetFormatPr defaultColWidth="9.140625" defaultRowHeight="15"/>
  <cols>
    <col min="1" max="2" width="9.140625" style="105" customWidth="1"/>
    <col min="3" max="6" width="10.8515625" style="105" customWidth="1"/>
    <col min="7" max="8" width="13.421875" style="105" customWidth="1"/>
    <col min="9" max="9" width="9.140625" style="105" customWidth="1"/>
    <col min="10" max="10" width="10.7109375" style="105" customWidth="1"/>
    <col min="11" max="11" width="12.28125" style="105" customWidth="1"/>
    <col min="12" max="16" width="11.00390625" style="105" customWidth="1"/>
    <col min="17" max="16384" width="9.140625" style="105" customWidth="1"/>
  </cols>
  <sheetData>
    <row r="1" spans="1:16" ht="39" thickBot="1">
      <c r="A1" s="118" t="s">
        <v>0</v>
      </c>
      <c r="B1" s="119" t="s">
        <v>1</v>
      </c>
      <c r="C1" s="119" t="s">
        <v>2</v>
      </c>
      <c r="D1" s="119" t="s">
        <v>3</v>
      </c>
      <c r="E1" s="119" t="s">
        <v>4</v>
      </c>
      <c r="F1" s="119" t="s">
        <v>5</v>
      </c>
      <c r="G1" s="119" t="s">
        <v>6</v>
      </c>
      <c r="H1" s="119" t="s">
        <v>7</v>
      </c>
      <c r="I1" s="119" t="s">
        <v>8</v>
      </c>
      <c r="J1" s="119" t="s">
        <v>9</v>
      </c>
      <c r="K1" s="119" t="s">
        <v>10</v>
      </c>
      <c r="L1" s="119" t="s">
        <v>227</v>
      </c>
      <c r="M1" s="119" t="s">
        <v>228</v>
      </c>
      <c r="N1" s="119" t="s">
        <v>229</v>
      </c>
      <c r="O1" s="119" t="s">
        <v>230</v>
      </c>
      <c r="P1" s="119" t="s">
        <v>231</v>
      </c>
    </row>
    <row r="2" spans="1:16" ht="133.5" customHeight="1" thickBot="1">
      <c r="A2" s="108" t="s">
        <v>94</v>
      </c>
      <c r="B2" s="109" t="s">
        <v>95</v>
      </c>
      <c r="C2" s="109" t="s">
        <v>96</v>
      </c>
      <c r="D2" s="109" t="s">
        <v>97</v>
      </c>
      <c r="E2" s="109" t="s">
        <v>98</v>
      </c>
      <c r="F2" s="109" t="s">
        <v>99</v>
      </c>
      <c r="G2" s="109" t="s">
        <v>100</v>
      </c>
      <c r="H2" s="109" t="s">
        <v>1251</v>
      </c>
      <c r="I2" s="109" t="s">
        <v>22</v>
      </c>
      <c r="J2" s="109">
        <v>2</v>
      </c>
      <c r="K2" s="109">
        <v>2</v>
      </c>
      <c r="L2" s="109" t="s">
        <v>528</v>
      </c>
      <c r="M2" s="109">
        <v>1</v>
      </c>
      <c r="N2" s="109" t="s">
        <v>528</v>
      </c>
      <c r="O2" s="109">
        <v>1</v>
      </c>
      <c r="P2" s="109" t="s">
        <v>553</v>
      </c>
    </row>
    <row r="3" spans="1:16" ht="144.75" customHeight="1" thickBot="1">
      <c r="A3" s="108" t="s">
        <v>101</v>
      </c>
      <c r="B3" s="109" t="s">
        <v>95</v>
      </c>
      <c r="C3" s="109" t="s">
        <v>96</v>
      </c>
      <c r="D3" s="109" t="s">
        <v>102</v>
      </c>
      <c r="E3" s="109" t="s">
        <v>98</v>
      </c>
      <c r="F3" s="109" t="s">
        <v>99</v>
      </c>
      <c r="G3" s="109" t="s">
        <v>103</v>
      </c>
      <c r="H3" s="109" t="s">
        <v>1252</v>
      </c>
      <c r="I3" s="109" t="s">
        <v>22</v>
      </c>
      <c r="J3" s="109">
        <v>1</v>
      </c>
      <c r="K3" s="109">
        <v>1</v>
      </c>
      <c r="L3" s="109">
        <v>1</v>
      </c>
      <c r="M3" s="109" t="s">
        <v>528</v>
      </c>
      <c r="N3" s="109" t="s">
        <v>528</v>
      </c>
      <c r="O3" s="109" t="s">
        <v>528</v>
      </c>
      <c r="P3" s="109" t="s">
        <v>552</v>
      </c>
    </row>
    <row r="4" spans="1:16" ht="109.5" customHeight="1" thickBot="1">
      <c r="A4" s="108" t="s">
        <v>104</v>
      </c>
      <c r="B4" s="109" t="s">
        <v>95</v>
      </c>
      <c r="C4" s="109" t="s">
        <v>96</v>
      </c>
      <c r="D4" s="109" t="s">
        <v>102</v>
      </c>
      <c r="E4" s="109" t="s">
        <v>98</v>
      </c>
      <c r="F4" s="109" t="s">
        <v>99</v>
      </c>
      <c r="G4" s="109" t="s">
        <v>100</v>
      </c>
      <c r="H4" s="109" t="s">
        <v>1253</v>
      </c>
      <c r="I4" s="109" t="s">
        <v>22</v>
      </c>
      <c r="J4" s="109">
        <v>3</v>
      </c>
      <c r="K4" s="109">
        <v>3</v>
      </c>
      <c r="L4" s="109">
        <v>1</v>
      </c>
      <c r="M4" s="109" t="s">
        <v>528</v>
      </c>
      <c r="N4" s="109">
        <v>1</v>
      </c>
      <c r="O4" s="109">
        <v>1</v>
      </c>
      <c r="P4" s="109" t="s">
        <v>551</v>
      </c>
    </row>
    <row r="5" spans="1:16" ht="159.75" customHeight="1" thickBot="1">
      <c r="A5" s="108" t="s">
        <v>105</v>
      </c>
      <c r="B5" s="109" t="s">
        <v>95</v>
      </c>
      <c r="C5" s="109" t="s">
        <v>96</v>
      </c>
      <c r="D5" s="109" t="s">
        <v>102</v>
      </c>
      <c r="E5" s="109" t="s">
        <v>98</v>
      </c>
      <c r="F5" s="109" t="s">
        <v>99</v>
      </c>
      <c r="G5" s="109" t="s">
        <v>106</v>
      </c>
      <c r="H5" s="109" t="s">
        <v>1254</v>
      </c>
      <c r="I5" s="109" t="s">
        <v>22</v>
      </c>
      <c r="J5" s="109">
        <v>1</v>
      </c>
      <c r="K5" s="109">
        <v>1</v>
      </c>
      <c r="L5" s="109" t="s">
        <v>528</v>
      </c>
      <c r="M5" s="109" t="s">
        <v>528</v>
      </c>
      <c r="N5" s="109" t="s">
        <v>528</v>
      </c>
      <c r="O5" s="109">
        <v>1</v>
      </c>
      <c r="P5" s="109" t="s">
        <v>550</v>
      </c>
    </row>
    <row r="6" spans="1:16" ht="130.5" customHeight="1" thickBot="1">
      <c r="A6" s="108" t="s">
        <v>107</v>
      </c>
      <c r="B6" s="109" t="s">
        <v>95</v>
      </c>
      <c r="C6" s="109" t="s">
        <v>96</v>
      </c>
      <c r="D6" s="109" t="s">
        <v>97</v>
      </c>
      <c r="E6" s="109" t="s">
        <v>98</v>
      </c>
      <c r="F6" s="109" t="s">
        <v>108</v>
      </c>
      <c r="G6" s="109" t="s">
        <v>112</v>
      </c>
      <c r="H6" s="109" t="s">
        <v>1255</v>
      </c>
      <c r="I6" s="109" t="s">
        <v>109</v>
      </c>
      <c r="J6" s="120">
        <v>43131</v>
      </c>
      <c r="K6" s="120">
        <v>43496</v>
      </c>
      <c r="L6" s="120" t="s">
        <v>528</v>
      </c>
      <c r="M6" s="120" t="s">
        <v>528</v>
      </c>
      <c r="N6" s="120">
        <v>43496</v>
      </c>
      <c r="O6" s="120" t="s">
        <v>528</v>
      </c>
      <c r="P6" s="109" t="s">
        <v>549</v>
      </c>
    </row>
    <row r="7" spans="1:16" ht="132.75" customHeight="1" thickBot="1">
      <c r="A7" s="108" t="s">
        <v>110</v>
      </c>
      <c r="B7" s="109" t="s">
        <v>95</v>
      </c>
      <c r="C7" s="109" t="s">
        <v>96</v>
      </c>
      <c r="D7" s="109" t="s">
        <v>97</v>
      </c>
      <c r="E7" s="109" t="s">
        <v>98</v>
      </c>
      <c r="F7" s="109" t="s">
        <v>108</v>
      </c>
      <c r="G7" s="109" t="s">
        <v>112</v>
      </c>
      <c r="H7" s="109" t="s">
        <v>1256</v>
      </c>
      <c r="I7" s="109" t="s">
        <v>22</v>
      </c>
      <c r="J7" s="109">
        <v>4</v>
      </c>
      <c r="K7" s="109">
        <v>4</v>
      </c>
      <c r="L7" s="109">
        <v>1</v>
      </c>
      <c r="M7" s="109">
        <v>1</v>
      </c>
      <c r="N7" s="109">
        <v>1</v>
      </c>
      <c r="O7" s="109">
        <v>1</v>
      </c>
      <c r="P7" s="109" t="s">
        <v>548</v>
      </c>
    </row>
    <row r="8" spans="1:16" ht="149.25" customHeight="1" thickBot="1">
      <c r="A8" s="108" t="s">
        <v>111</v>
      </c>
      <c r="B8" s="109" t="s">
        <v>95</v>
      </c>
      <c r="C8" s="109" t="s">
        <v>96</v>
      </c>
      <c r="D8" s="109" t="s">
        <v>97</v>
      </c>
      <c r="E8" s="109" t="s">
        <v>98</v>
      </c>
      <c r="F8" s="109" t="s">
        <v>108</v>
      </c>
      <c r="G8" s="109" t="s">
        <v>112</v>
      </c>
      <c r="H8" s="109" t="s">
        <v>1257</v>
      </c>
      <c r="I8" s="109" t="s">
        <v>109</v>
      </c>
      <c r="J8" s="120">
        <v>43190</v>
      </c>
      <c r="K8" s="120">
        <v>43555</v>
      </c>
      <c r="L8" s="120" t="s">
        <v>528</v>
      </c>
      <c r="M8" s="120" t="s">
        <v>528</v>
      </c>
      <c r="N8" s="120">
        <v>43555</v>
      </c>
      <c r="O8" s="120" t="s">
        <v>528</v>
      </c>
      <c r="P8" s="109" t="s">
        <v>547</v>
      </c>
    </row>
    <row r="9" spans="1:16" ht="149.25" customHeight="1" thickBot="1">
      <c r="A9" s="108" t="s">
        <v>113</v>
      </c>
      <c r="B9" s="109" t="s">
        <v>95</v>
      </c>
      <c r="C9" s="109" t="s">
        <v>96</v>
      </c>
      <c r="D9" s="109" t="s">
        <v>97</v>
      </c>
      <c r="E9" s="109" t="s">
        <v>98</v>
      </c>
      <c r="F9" s="109" t="s">
        <v>116</v>
      </c>
      <c r="G9" s="109" t="s">
        <v>117</v>
      </c>
      <c r="H9" s="109" t="s">
        <v>1304</v>
      </c>
      <c r="I9" s="109" t="s">
        <v>22</v>
      </c>
      <c r="J9" s="120" t="s">
        <v>93</v>
      </c>
      <c r="K9" s="185">
        <v>4</v>
      </c>
      <c r="L9" s="185">
        <v>1</v>
      </c>
      <c r="M9" s="185">
        <v>1</v>
      </c>
      <c r="N9" s="185">
        <v>1</v>
      </c>
      <c r="O9" s="185">
        <v>1</v>
      </c>
      <c r="P9" s="109" t="s">
        <v>1305</v>
      </c>
    </row>
    <row r="10" spans="1:16" ht="133.5" customHeight="1" thickBot="1">
      <c r="A10" s="108" t="s">
        <v>114</v>
      </c>
      <c r="B10" s="109" t="s">
        <v>95</v>
      </c>
      <c r="C10" s="109" t="s">
        <v>96</v>
      </c>
      <c r="D10" s="109" t="s">
        <v>97</v>
      </c>
      <c r="E10" s="109" t="s">
        <v>98</v>
      </c>
      <c r="F10" s="109" t="s">
        <v>116</v>
      </c>
      <c r="G10" s="109" t="s">
        <v>117</v>
      </c>
      <c r="H10" s="109" t="s">
        <v>1307</v>
      </c>
      <c r="I10" s="109" t="s">
        <v>22</v>
      </c>
      <c r="J10" s="120" t="s">
        <v>93</v>
      </c>
      <c r="K10" s="185">
        <v>4</v>
      </c>
      <c r="L10" s="185">
        <v>1</v>
      </c>
      <c r="M10" s="185">
        <v>1</v>
      </c>
      <c r="N10" s="185">
        <v>1</v>
      </c>
      <c r="O10" s="185">
        <v>1</v>
      </c>
      <c r="P10" s="109" t="s">
        <v>1306</v>
      </c>
    </row>
    <row r="11" spans="1:16" ht="136.5" customHeight="1" thickBot="1">
      <c r="A11" s="108" t="s">
        <v>115</v>
      </c>
      <c r="B11" s="109" t="s">
        <v>95</v>
      </c>
      <c r="C11" s="109" t="s">
        <v>96</v>
      </c>
      <c r="D11" s="109" t="s">
        <v>97</v>
      </c>
      <c r="E11" s="109" t="s">
        <v>119</v>
      </c>
      <c r="F11" s="109" t="s">
        <v>120</v>
      </c>
      <c r="G11" s="109" t="s">
        <v>121</v>
      </c>
      <c r="H11" s="109" t="s">
        <v>1258</v>
      </c>
      <c r="I11" s="109" t="s">
        <v>22</v>
      </c>
      <c r="J11" s="171" t="s">
        <v>19</v>
      </c>
      <c r="K11" s="171" t="s">
        <v>122</v>
      </c>
      <c r="L11" s="171" t="s">
        <v>122</v>
      </c>
      <c r="M11" s="171" t="s">
        <v>528</v>
      </c>
      <c r="N11" s="171" t="s">
        <v>528</v>
      </c>
      <c r="O11" s="171" t="s">
        <v>528</v>
      </c>
      <c r="P11" s="171" t="s">
        <v>531</v>
      </c>
    </row>
    <row r="12" spans="1:16" ht="137.25" customHeight="1" thickBot="1">
      <c r="A12" s="108" t="s">
        <v>118</v>
      </c>
      <c r="B12" s="109" t="s">
        <v>95</v>
      </c>
      <c r="C12" s="109" t="s">
        <v>96</v>
      </c>
      <c r="D12" s="109" t="s">
        <v>97</v>
      </c>
      <c r="E12" s="109" t="s">
        <v>119</v>
      </c>
      <c r="F12" s="109" t="s">
        <v>125</v>
      </c>
      <c r="G12" s="109" t="s">
        <v>126</v>
      </c>
      <c r="H12" s="109" t="s">
        <v>1259</v>
      </c>
      <c r="I12" s="109" t="s">
        <v>22</v>
      </c>
      <c r="J12" s="109">
        <v>10</v>
      </c>
      <c r="K12" s="109">
        <v>10</v>
      </c>
      <c r="L12" s="109">
        <v>3</v>
      </c>
      <c r="M12" s="109">
        <v>3</v>
      </c>
      <c r="N12" s="109">
        <v>2</v>
      </c>
      <c r="O12" s="109">
        <v>2</v>
      </c>
      <c r="P12" s="109" t="s">
        <v>546</v>
      </c>
    </row>
    <row r="13" spans="1:16" ht="134.25" customHeight="1" thickBot="1">
      <c r="A13" s="108" t="s">
        <v>123</v>
      </c>
      <c r="B13" s="109" t="s">
        <v>95</v>
      </c>
      <c r="C13" s="109" t="s">
        <v>96</v>
      </c>
      <c r="D13" s="109" t="s">
        <v>97</v>
      </c>
      <c r="E13" s="109" t="s">
        <v>119</v>
      </c>
      <c r="F13" s="109" t="s">
        <v>125</v>
      </c>
      <c r="G13" s="109" t="s">
        <v>128</v>
      </c>
      <c r="H13" s="109" t="s">
        <v>1260</v>
      </c>
      <c r="I13" s="109" t="s">
        <v>22</v>
      </c>
      <c r="J13" s="109">
        <v>4</v>
      </c>
      <c r="K13" s="109">
        <v>4</v>
      </c>
      <c r="L13" s="109">
        <v>1</v>
      </c>
      <c r="M13" s="109">
        <v>1</v>
      </c>
      <c r="N13" s="109">
        <v>1</v>
      </c>
      <c r="O13" s="109">
        <v>1</v>
      </c>
      <c r="P13" s="109" t="s">
        <v>532</v>
      </c>
    </row>
    <row r="14" spans="1:16" ht="135" customHeight="1" thickBot="1">
      <c r="A14" s="108" t="s">
        <v>124</v>
      </c>
      <c r="B14" s="109" t="s">
        <v>95</v>
      </c>
      <c r="C14" s="109" t="s">
        <v>96</v>
      </c>
      <c r="D14" s="109" t="s">
        <v>97</v>
      </c>
      <c r="E14" s="109" t="s">
        <v>119</v>
      </c>
      <c r="F14" s="109" t="s">
        <v>125</v>
      </c>
      <c r="G14" s="109" t="s">
        <v>130</v>
      </c>
      <c r="H14" s="109" t="s">
        <v>1261</v>
      </c>
      <c r="I14" s="109" t="s">
        <v>22</v>
      </c>
      <c r="J14" s="109">
        <v>130</v>
      </c>
      <c r="K14" s="109">
        <v>130</v>
      </c>
      <c r="L14" s="109">
        <v>33</v>
      </c>
      <c r="M14" s="109">
        <v>32</v>
      </c>
      <c r="N14" s="109">
        <v>33</v>
      </c>
      <c r="O14" s="109">
        <v>32</v>
      </c>
      <c r="P14" s="109" t="s">
        <v>545</v>
      </c>
    </row>
    <row r="15" spans="1:16" ht="131.25" customHeight="1" thickBot="1">
      <c r="A15" s="108" t="s">
        <v>127</v>
      </c>
      <c r="B15" s="109" t="s">
        <v>95</v>
      </c>
      <c r="C15" s="109" t="s">
        <v>96</v>
      </c>
      <c r="D15" s="109" t="s">
        <v>97</v>
      </c>
      <c r="E15" s="109" t="s">
        <v>119</v>
      </c>
      <c r="F15" s="109" t="s">
        <v>132</v>
      </c>
      <c r="G15" s="109" t="s">
        <v>133</v>
      </c>
      <c r="H15" s="109" t="s">
        <v>1262</v>
      </c>
      <c r="I15" s="109" t="s">
        <v>22</v>
      </c>
      <c r="J15" s="109">
        <v>10</v>
      </c>
      <c r="K15" s="109">
        <v>10</v>
      </c>
      <c r="L15" s="109">
        <v>3</v>
      </c>
      <c r="M15" s="109">
        <v>2</v>
      </c>
      <c r="N15" s="109">
        <v>2</v>
      </c>
      <c r="O15" s="109">
        <v>3</v>
      </c>
      <c r="P15" s="109" t="s">
        <v>543</v>
      </c>
    </row>
    <row r="16" spans="1:16" ht="102.75" thickBot="1">
      <c r="A16" s="108" t="s">
        <v>129</v>
      </c>
      <c r="B16" s="109" t="s">
        <v>135</v>
      </c>
      <c r="C16" s="109" t="s">
        <v>96</v>
      </c>
      <c r="D16" s="109" t="s">
        <v>102</v>
      </c>
      <c r="E16" s="109" t="s">
        <v>119</v>
      </c>
      <c r="F16" s="109" t="s">
        <v>136</v>
      </c>
      <c r="G16" s="109" t="s">
        <v>137</v>
      </c>
      <c r="H16" s="109" t="s">
        <v>138</v>
      </c>
      <c r="I16" s="109" t="s">
        <v>22</v>
      </c>
      <c r="J16" s="109">
        <v>1</v>
      </c>
      <c r="K16" s="109">
        <v>1</v>
      </c>
      <c r="L16" s="109">
        <v>1</v>
      </c>
      <c r="M16" s="109" t="s">
        <v>528</v>
      </c>
      <c r="N16" s="109" t="s">
        <v>528</v>
      </c>
      <c r="O16" s="109" t="s">
        <v>528</v>
      </c>
      <c r="P16" s="109" t="s">
        <v>544</v>
      </c>
    </row>
    <row r="17" spans="1:16" ht="104.25" customHeight="1" thickBot="1">
      <c r="A17" s="108" t="s">
        <v>131</v>
      </c>
      <c r="B17" s="109" t="s">
        <v>135</v>
      </c>
      <c r="C17" s="109" t="s">
        <v>96</v>
      </c>
      <c r="D17" s="109"/>
      <c r="E17" s="109"/>
      <c r="F17" s="109"/>
      <c r="G17" s="109" t="s">
        <v>140</v>
      </c>
      <c r="H17" s="109" t="s">
        <v>1263</v>
      </c>
      <c r="I17" s="109" t="s">
        <v>22</v>
      </c>
      <c r="J17" s="109">
        <v>1</v>
      </c>
      <c r="K17" s="109">
        <v>1</v>
      </c>
      <c r="L17" s="109">
        <v>1</v>
      </c>
      <c r="M17" s="109" t="s">
        <v>528</v>
      </c>
      <c r="N17" s="109" t="s">
        <v>528</v>
      </c>
      <c r="O17" s="109" t="s">
        <v>528</v>
      </c>
      <c r="P17" s="109" t="s">
        <v>542</v>
      </c>
    </row>
    <row r="18" spans="1:16" ht="213" customHeight="1" thickBot="1">
      <c r="A18" s="108" t="s">
        <v>134</v>
      </c>
      <c r="B18" s="122" t="s">
        <v>135</v>
      </c>
      <c r="C18" s="122" t="s">
        <v>96</v>
      </c>
      <c r="D18" s="122" t="s">
        <v>97</v>
      </c>
      <c r="E18" s="122" t="s">
        <v>142</v>
      </c>
      <c r="F18" s="122" t="s">
        <v>143</v>
      </c>
      <c r="G18" s="122" t="s">
        <v>144</v>
      </c>
      <c r="H18" s="122" t="s">
        <v>1238</v>
      </c>
      <c r="I18" s="122" t="s">
        <v>22</v>
      </c>
      <c r="J18" s="122">
        <v>12</v>
      </c>
      <c r="K18" s="122">
        <v>45</v>
      </c>
      <c r="L18" s="122">
        <v>45</v>
      </c>
      <c r="M18" s="122" t="s">
        <v>528</v>
      </c>
      <c r="N18" s="122" t="s">
        <v>528</v>
      </c>
      <c r="O18" s="122" t="s">
        <v>528</v>
      </c>
      <c r="P18" s="122" t="s">
        <v>533</v>
      </c>
    </row>
    <row r="19" spans="1:16" ht="179.25" thickBot="1">
      <c r="A19" s="108" t="s">
        <v>139</v>
      </c>
      <c r="B19" s="122" t="s">
        <v>135</v>
      </c>
      <c r="C19" s="122" t="s">
        <v>96</v>
      </c>
      <c r="D19" s="122" t="s">
        <v>97</v>
      </c>
      <c r="E19" s="122" t="s">
        <v>119</v>
      </c>
      <c r="F19" s="122" t="s">
        <v>146</v>
      </c>
      <c r="G19" s="122" t="s">
        <v>147</v>
      </c>
      <c r="H19" s="122" t="s">
        <v>1264</v>
      </c>
      <c r="I19" s="122" t="s">
        <v>22</v>
      </c>
      <c r="J19" s="122">
        <v>1</v>
      </c>
      <c r="K19" s="122">
        <v>1</v>
      </c>
      <c r="L19" s="122" t="s">
        <v>528</v>
      </c>
      <c r="M19" s="122" t="s">
        <v>528</v>
      </c>
      <c r="N19" s="122">
        <v>1</v>
      </c>
      <c r="O19" s="122" t="s">
        <v>528</v>
      </c>
      <c r="P19" s="122" t="s">
        <v>534</v>
      </c>
    </row>
    <row r="20" spans="1:16" ht="180.75" customHeight="1" thickBot="1">
      <c r="A20" s="108" t="s">
        <v>141</v>
      </c>
      <c r="B20" s="109" t="s">
        <v>135</v>
      </c>
      <c r="C20" s="109" t="s">
        <v>96</v>
      </c>
      <c r="D20" s="109" t="s">
        <v>97</v>
      </c>
      <c r="E20" s="109" t="s">
        <v>119</v>
      </c>
      <c r="F20" s="109" t="s">
        <v>146</v>
      </c>
      <c r="G20" s="109" t="s">
        <v>149</v>
      </c>
      <c r="H20" s="109" t="s">
        <v>1265</v>
      </c>
      <c r="I20" s="109" t="s">
        <v>22</v>
      </c>
      <c r="J20" s="109">
        <v>1</v>
      </c>
      <c r="K20" s="109">
        <v>1</v>
      </c>
      <c r="L20" s="109" t="s">
        <v>528</v>
      </c>
      <c r="M20" s="109" t="s">
        <v>528</v>
      </c>
      <c r="N20" s="109" t="s">
        <v>528</v>
      </c>
      <c r="O20" s="109">
        <v>1</v>
      </c>
      <c r="P20" s="109" t="s">
        <v>535</v>
      </c>
    </row>
    <row r="21" spans="1:16" ht="255" customHeight="1" thickBot="1">
      <c r="A21" s="108" t="s">
        <v>145</v>
      </c>
      <c r="B21" s="109" t="s">
        <v>135</v>
      </c>
      <c r="C21" s="109" t="s">
        <v>96</v>
      </c>
      <c r="D21" s="109" t="s">
        <v>97</v>
      </c>
      <c r="E21" s="109" t="s">
        <v>119</v>
      </c>
      <c r="F21" s="109" t="s">
        <v>146</v>
      </c>
      <c r="G21" s="109" t="s">
        <v>151</v>
      </c>
      <c r="H21" s="109" t="s">
        <v>1266</v>
      </c>
      <c r="I21" s="109" t="s">
        <v>22</v>
      </c>
      <c r="J21" s="109">
        <v>4</v>
      </c>
      <c r="K21" s="109">
        <v>4</v>
      </c>
      <c r="L21" s="109">
        <v>1</v>
      </c>
      <c r="M21" s="109">
        <v>1</v>
      </c>
      <c r="N21" s="109">
        <v>1</v>
      </c>
      <c r="O21" s="109">
        <v>1</v>
      </c>
      <c r="P21" s="109" t="s">
        <v>536</v>
      </c>
    </row>
    <row r="22" spans="1:16" ht="161.25" customHeight="1" thickBot="1">
      <c r="A22" s="108" t="s">
        <v>148</v>
      </c>
      <c r="B22" s="109" t="s">
        <v>135</v>
      </c>
      <c r="C22" s="109" t="s">
        <v>96</v>
      </c>
      <c r="D22" s="109" t="s">
        <v>97</v>
      </c>
      <c r="E22" s="109" t="s">
        <v>119</v>
      </c>
      <c r="F22" s="109" t="s">
        <v>153</v>
      </c>
      <c r="G22" s="109" t="s">
        <v>154</v>
      </c>
      <c r="H22" s="109" t="s">
        <v>1267</v>
      </c>
      <c r="I22" s="109" t="s">
        <v>22</v>
      </c>
      <c r="J22" s="109">
        <v>540</v>
      </c>
      <c r="K22" s="109">
        <v>540</v>
      </c>
      <c r="L22" s="109">
        <v>135</v>
      </c>
      <c r="M22" s="109">
        <v>135</v>
      </c>
      <c r="N22" s="109">
        <v>135</v>
      </c>
      <c r="O22" s="109">
        <v>135</v>
      </c>
      <c r="P22" s="109" t="s">
        <v>537</v>
      </c>
    </row>
    <row r="23" spans="1:16" ht="139.5" customHeight="1" thickBot="1">
      <c r="A23" s="108" t="s">
        <v>150</v>
      </c>
      <c r="B23" s="109" t="s">
        <v>135</v>
      </c>
      <c r="C23" s="109" t="s">
        <v>96</v>
      </c>
      <c r="D23" s="109" t="s">
        <v>97</v>
      </c>
      <c r="E23" s="109" t="s">
        <v>119</v>
      </c>
      <c r="F23" s="109" t="s">
        <v>153</v>
      </c>
      <c r="G23" s="109" t="s">
        <v>154</v>
      </c>
      <c r="H23" s="109" t="s">
        <v>1268</v>
      </c>
      <c r="I23" s="109" t="s">
        <v>22</v>
      </c>
      <c r="J23" s="109">
        <v>4</v>
      </c>
      <c r="K23" s="109">
        <v>4</v>
      </c>
      <c r="L23" s="109">
        <v>1</v>
      </c>
      <c r="M23" s="109">
        <v>1</v>
      </c>
      <c r="N23" s="109">
        <v>1</v>
      </c>
      <c r="O23" s="109">
        <v>1</v>
      </c>
      <c r="P23" s="109" t="s">
        <v>538</v>
      </c>
    </row>
    <row r="24" spans="1:16" ht="139.5" customHeight="1" thickBot="1">
      <c r="A24" s="108" t="s">
        <v>152</v>
      </c>
      <c r="B24" s="109" t="s">
        <v>135</v>
      </c>
      <c r="C24" s="109" t="s">
        <v>96</v>
      </c>
      <c r="D24" s="109" t="s">
        <v>97</v>
      </c>
      <c r="E24" s="109" t="s">
        <v>119</v>
      </c>
      <c r="F24" s="109" t="s">
        <v>157</v>
      </c>
      <c r="G24" s="109" t="s">
        <v>158</v>
      </c>
      <c r="H24" s="109" t="s">
        <v>1269</v>
      </c>
      <c r="I24" s="109" t="s">
        <v>22</v>
      </c>
      <c r="J24" s="109">
        <v>40</v>
      </c>
      <c r="K24" s="109">
        <v>45</v>
      </c>
      <c r="L24" s="109" t="s">
        <v>528</v>
      </c>
      <c r="M24" s="109" t="s">
        <v>528</v>
      </c>
      <c r="N24" s="109">
        <v>45</v>
      </c>
      <c r="O24" s="109" t="s">
        <v>528</v>
      </c>
      <c r="P24" s="109" t="s">
        <v>587</v>
      </c>
    </row>
    <row r="25" spans="1:16" ht="132.75" customHeight="1" thickBot="1">
      <c r="A25" s="108" t="s">
        <v>155</v>
      </c>
      <c r="B25" s="109" t="s">
        <v>135</v>
      </c>
      <c r="C25" s="109" t="s">
        <v>96</v>
      </c>
      <c r="D25" s="109" t="s">
        <v>97</v>
      </c>
      <c r="E25" s="109" t="s">
        <v>119</v>
      </c>
      <c r="F25" s="109" t="s">
        <v>157</v>
      </c>
      <c r="G25" s="109" t="s">
        <v>159</v>
      </c>
      <c r="H25" s="109" t="s">
        <v>1270</v>
      </c>
      <c r="I25" s="109" t="s">
        <v>22</v>
      </c>
      <c r="J25" s="109">
        <v>4</v>
      </c>
      <c r="K25" s="109">
        <v>4</v>
      </c>
      <c r="L25" s="109">
        <v>1</v>
      </c>
      <c r="M25" s="109">
        <v>1</v>
      </c>
      <c r="N25" s="109">
        <v>1</v>
      </c>
      <c r="O25" s="109">
        <v>1</v>
      </c>
      <c r="P25" s="109" t="s">
        <v>539</v>
      </c>
    </row>
    <row r="26" spans="1:16" ht="144.75" customHeight="1" thickBot="1">
      <c r="A26" s="108" t="s">
        <v>156</v>
      </c>
      <c r="B26" s="109" t="s">
        <v>135</v>
      </c>
      <c r="C26" s="109" t="s">
        <v>96</v>
      </c>
      <c r="D26" s="109" t="s">
        <v>97</v>
      </c>
      <c r="E26" s="109" t="s">
        <v>119</v>
      </c>
      <c r="F26" s="109" t="s">
        <v>157</v>
      </c>
      <c r="G26" s="109" t="s">
        <v>160</v>
      </c>
      <c r="H26" s="109" t="s">
        <v>1271</v>
      </c>
      <c r="I26" s="109" t="s">
        <v>22</v>
      </c>
      <c r="J26" s="109">
        <v>1</v>
      </c>
      <c r="K26" s="109">
        <v>1</v>
      </c>
      <c r="L26" s="109" t="s">
        <v>528</v>
      </c>
      <c r="M26" s="109" t="s">
        <v>528</v>
      </c>
      <c r="N26" s="109">
        <v>1</v>
      </c>
      <c r="O26" s="109" t="s">
        <v>528</v>
      </c>
      <c r="P26" s="109" t="s">
        <v>540</v>
      </c>
    </row>
    <row r="27" spans="1:16" ht="140.25" customHeight="1" thickBot="1">
      <c r="A27" s="108" t="s">
        <v>1308</v>
      </c>
      <c r="B27" s="109" t="s">
        <v>135</v>
      </c>
      <c r="C27" s="109" t="s">
        <v>96</v>
      </c>
      <c r="D27" s="109" t="s">
        <v>97</v>
      </c>
      <c r="E27" s="109" t="s">
        <v>119</v>
      </c>
      <c r="F27" s="109" t="s">
        <v>157</v>
      </c>
      <c r="G27" s="109" t="s">
        <v>161</v>
      </c>
      <c r="H27" s="109" t="s">
        <v>1272</v>
      </c>
      <c r="I27" s="109" t="s">
        <v>22</v>
      </c>
      <c r="J27" s="109">
        <v>4</v>
      </c>
      <c r="K27" s="109">
        <v>4</v>
      </c>
      <c r="L27" s="109">
        <v>1</v>
      </c>
      <c r="M27" s="109">
        <v>1</v>
      </c>
      <c r="N27" s="109">
        <v>1</v>
      </c>
      <c r="O27" s="109">
        <v>1</v>
      </c>
      <c r="P27" s="109" t="s">
        <v>541</v>
      </c>
    </row>
  </sheetData>
  <sheetProtection/>
  <printOptions/>
  <pageMargins left="0.7" right="0.7" top="0.75" bottom="0.75" header="0.3" footer="0.3"/>
  <pageSetup horizontalDpi="600" verticalDpi="600" orientation="landscape" paperSize="8" scale="109" r:id="rId1"/>
  <headerFooter>
    <oddHeader>&amp;C&amp;A</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P7"/>
  <sheetViews>
    <sheetView view="pageBreakPreview" zoomScale="90" zoomScaleSheetLayoutView="90" zoomScalePageLayoutView="0" workbookViewId="0" topLeftCell="A1">
      <pane ySplit="1" topLeftCell="A6" activePane="bottomLeft" state="frozen"/>
      <selection pane="topLeft" activeCell="A1" sqref="A1"/>
      <selection pane="bottomLeft" activeCell="H7" sqref="H7"/>
    </sheetView>
  </sheetViews>
  <sheetFormatPr defaultColWidth="9.140625" defaultRowHeight="15"/>
  <cols>
    <col min="1" max="1" width="9.140625" style="105" customWidth="1"/>
    <col min="2" max="8" width="13.28125" style="105" customWidth="1"/>
    <col min="9" max="9" width="9.140625" style="105" customWidth="1"/>
    <col min="10" max="16" width="11.421875" style="105" customWidth="1"/>
    <col min="17" max="16384" width="9.140625" style="105" customWidth="1"/>
  </cols>
  <sheetData>
    <row r="1" spans="1:16" ht="39" thickBot="1">
      <c r="A1" s="116" t="s">
        <v>0</v>
      </c>
      <c r="B1" s="117" t="s">
        <v>1</v>
      </c>
      <c r="C1" s="117" t="s">
        <v>2</v>
      </c>
      <c r="D1" s="117" t="s">
        <v>3</v>
      </c>
      <c r="E1" s="117" t="s">
        <v>4</v>
      </c>
      <c r="F1" s="117" t="s">
        <v>5</v>
      </c>
      <c r="G1" s="117" t="s">
        <v>6</v>
      </c>
      <c r="H1" s="117" t="s">
        <v>7</v>
      </c>
      <c r="I1" s="117" t="s">
        <v>8</v>
      </c>
      <c r="J1" s="117" t="s">
        <v>9</v>
      </c>
      <c r="K1" s="117" t="s">
        <v>10</v>
      </c>
      <c r="L1" s="117" t="s">
        <v>227</v>
      </c>
      <c r="M1" s="117" t="s">
        <v>228</v>
      </c>
      <c r="N1" s="117" t="s">
        <v>229</v>
      </c>
      <c r="O1" s="117" t="s">
        <v>230</v>
      </c>
      <c r="P1" s="117" t="s">
        <v>231</v>
      </c>
    </row>
    <row r="2" spans="1:16" ht="75.75" customHeight="1" thickBot="1">
      <c r="A2" s="108" t="s">
        <v>162</v>
      </c>
      <c r="B2" s="109" t="s">
        <v>163</v>
      </c>
      <c r="C2" s="109" t="s">
        <v>164</v>
      </c>
      <c r="D2" s="109"/>
      <c r="E2" s="109" t="s">
        <v>119</v>
      </c>
      <c r="F2" s="109" t="s">
        <v>165</v>
      </c>
      <c r="G2" s="109" t="s">
        <v>166</v>
      </c>
      <c r="H2" s="109" t="s">
        <v>1273</v>
      </c>
      <c r="I2" s="109" t="s">
        <v>22</v>
      </c>
      <c r="J2" s="109">
        <v>1</v>
      </c>
      <c r="K2" s="109">
        <v>1</v>
      </c>
      <c r="L2" s="109" t="s">
        <v>528</v>
      </c>
      <c r="M2" s="109" t="s">
        <v>528</v>
      </c>
      <c r="N2" s="109" t="s">
        <v>528</v>
      </c>
      <c r="O2" s="109">
        <v>1</v>
      </c>
      <c r="P2" s="109" t="s">
        <v>559</v>
      </c>
    </row>
    <row r="3" spans="1:16" ht="92.25" customHeight="1" thickBot="1">
      <c r="A3" s="108" t="s">
        <v>167</v>
      </c>
      <c r="B3" s="109" t="s">
        <v>163</v>
      </c>
      <c r="C3" s="109" t="s">
        <v>164</v>
      </c>
      <c r="D3" s="109" t="s">
        <v>102</v>
      </c>
      <c r="E3" s="109" t="s">
        <v>119</v>
      </c>
      <c r="F3" s="109" t="s">
        <v>168</v>
      </c>
      <c r="G3" s="109" t="s">
        <v>170</v>
      </c>
      <c r="H3" s="109" t="s">
        <v>1274</v>
      </c>
      <c r="I3" s="109" t="s">
        <v>22</v>
      </c>
      <c r="J3" s="109">
        <v>1</v>
      </c>
      <c r="K3" s="109">
        <v>1</v>
      </c>
      <c r="L3" s="109" t="s">
        <v>528</v>
      </c>
      <c r="M3" s="109" t="s">
        <v>528</v>
      </c>
      <c r="N3" s="109" t="s">
        <v>528</v>
      </c>
      <c r="O3" s="109">
        <v>1</v>
      </c>
      <c r="P3" s="109" t="s">
        <v>554</v>
      </c>
    </row>
    <row r="4" spans="1:16" ht="124.5" customHeight="1" thickBot="1">
      <c r="A4" s="108" t="s">
        <v>169</v>
      </c>
      <c r="B4" s="109" t="s">
        <v>163</v>
      </c>
      <c r="C4" s="109" t="s">
        <v>164</v>
      </c>
      <c r="D4" s="109" t="s">
        <v>102</v>
      </c>
      <c r="E4" s="109" t="s">
        <v>119</v>
      </c>
      <c r="F4" s="109" t="s">
        <v>168</v>
      </c>
      <c r="G4" s="109" t="s">
        <v>172</v>
      </c>
      <c r="H4" s="109" t="s">
        <v>1275</v>
      </c>
      <c r="I4" s="109" t="s">
        <v>22</v>
      </c>
      <c r="J4" s="109">
        <v>1</v>
      </c>
      <c r="K4" s="109">
        <v>1</v>
      </c>
      <c r="L4" s="109" t="s">
        <v>528</v>
      </c>
      <c r="M4" s="109" t="s">
        <v>528</v>
      </c>
      <c r="N4" s="109" t="s">
        <v>528</v>
      </c>
      <c r="O4" s="109">
        <v>1</v>
      </c>
      <c r="P4" s="109" t="s">
        <v>555</v>
      </c>
    </row>
    <row r="5" spans="1:16" ht="144.75" customHeight="1" thickBot="1">
      <c r="A5" s="108" t="s">
        <v>171</v>
      </c>
      <c r="B5" s="109" t="s">
        <v>163</v>
      </c>
      <c r="C5" s="109" t="s">
        <v>164</v>
      </c>
      <c r="D5" s="109" t="s">
        <v>102</v>
      </c>
      <c r="E5" s="109" t="s">
        <v>119</v>
      </c>
      <c r="F5" s="109" t="s">
        <v>168</v>
      </c>
      <c r="G5" s="109" t="s">
        <v>174</v>
      </c>
      <c r="H5" s="109" t="s">
        <v>1276</v>
      </c>
      <c r="I5" s="109" t="s">
        <v>22</v>
      </c>
      <c r="J5" s="109">
        <v>40</v>
      </c>
      <c r="K5" s="109">
        <v>40</v>
      </c>
      <c r="L5" s="109" t="s">
        <v>528</v>
      </c>
      <c r="M5" s="109" t="s">
        <v>528</v>
      </c>
      <c r="N5" s="109" t="s">
        <v>528</v>
      </c>
      <c r="O5" s="109">
        <v>40</v>
      </c>
      <c r="P5" s="109" t="s">
        <v>556</v>
      </c>
    </row>
    <row r="6" spans="1:16" ht="147.75" customHeight="1" thickBot="1">
      <c r="A6" s="108" t="s">
        <v>173</v>
      </c>
      <c r="B6" s="109" t="s">
        <v>163</v>
      </c>
      <c r="C6" s="109" t="s">
        <v>164</v>
      </c>
      <c r="D6" s="109" t="s">
        <v>102</v>
      </c>
      <c r="E6" s="109" t="s">
        <v>119</v>
      </c>
      <c r="F6" s="109" t="s">
        <v>168</v>
      </c>
      <c r="G6" s="109" t="s">
        <v>176</v>
      </c>
      <c r="H6" s="109" t="s">
        <v>1277</v>
      </c>
      <c r="I6" s="109" t="s">
        <v>22</v>
      </c>
      <c r="J6" s="109">
        <v>150</v>
      </c>
      <c r="K6" s="109">
        <v>200</v>
      </c>
      <c r="L6" s="109" t="s">
        <v>528</v>
      </c>
      <c r="M6" s="109" t="s">
        <v>528</v>
      </c>
      <c r="N6" s="109" t="s">
        <v>528</v>
      </c>
      <c r="O6" s="109">
        <v>200</v>
      </c>
      <c r="P6" s="109" t="s">
        <v>557</v>
      </c>
    </row>
    <row r="7" spans="1:16" ht="139.5" customHeight="1" thickBot="1">
      <c r="A7" s="108" t="s">
        <v>175</v>
      </c>
      <c r="B7" s="109" t="s">
        <v>163</v>
      </c>
      <c r="C7" s="109" t="s">
        <v>164</v>
      </c>
      <c r="D7" s="109" t="s">
        <v>102</v>
      </c>
      <c r="E7" s="109" t="s">
        <v>119</v>
      </c>
      <c r="F7" s="109" t="s">
        <v>168</v>
      </c>
      <c r="G7" s="109" t="s">
        <v>177</v>
      </c>
      <c r="H7" s="109" t="s">
        <v>1278</v>
      </c>
      <c r="I7" s="109" t="s">
        <v>22</v>
      </c>
      <c r="J7" s="109">
        <v>2</v>
      </c>
      <c r="K7" s="109">
        <v>2</v>
      </c>
      <c r="L7" s="109">
        <v>1</v>
      </c>
      <c r="M7" s="109" t="s">
        <v>528</v>
      </c>
      <c r="N7" s="109" t="s">
        <v>528</v>
      </c>
      <c r="O7" s="109">
        <v>1</v>
      </c>
      <c r="P7" s="109" t="s">
        <v>558</v>
      </c>
    </row>
  </sheetData>
  <sheetProtection/>
  <printOptions/>
  <pageMargins left="0.7" right="0.7" top="0.75" bottom="0.75" header="0.3" footer="0.3"/>
  <pageSetup horizontalDpi="600" verticalDpi="600" orientation="landscape" paperSize="8" scale="101" r:id="rId1"/>
  <headerFooter>
    <oddHeader>&amp;C&amp;A</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P7"/>
  <sheetViews>
    <sheetView view="pageBreakPreview" zoomScale="90" zoomScaleSheetLayoutView="90" zoomScalePageLayoutView="0" workbookViewId="0" topLeftCell="A1">
      <pane ySplit="1" topLeftCell="A2" activePane="bottomLeft" state="frozen"/>
      <selection pane="topLeft" activeCell="A1" sqref="A1"/>
      <selection pane="bottomLeft" activeCell="E2" sqref="E2"/>
    </sheetView>
  </sheetViews>
  <sheetFormatPr defaultColWidth="9.140625" defaultRowHeight="15"/>
  <cols>
    <col min="1" max="1" width="9.140625" style="105" customWidth="1"/>
    <col min="2" max="8" width="12.8515625" style="105" customWidth="1"/>
    <col min="9" max="9" width="9.140625" style="105" customWidth="1"/>
    <col min="10" max="16" width="11.140625" style="105" customWidth="1"/>
    <col min="17" max="16384" width="9.140625" style="105" customWidth="1"/>
  </cols>
  <sheetData>
    <row r="1" spans="1:16" ht="39" thickBot="1">
      <c r="A1" s="112" t="s">
        <v>0</v>
      </c>
      <c r="B1" s="113" t="s">
        <v>1</v>
      </c>
      <c r="C1" s="113" t="s">
        <v>2</v>
      </c>
      <c r="D1" s="113" t="s">
        <v>3</v>
      </c>
      <c r="E1" s="113" t="s">
        <v>4</v>
      </c>
      <c r="F1" s="113" t="s">
        <v>5</v>
      </c>
      <c r="G1" s="113" t="s">
        <v>6</v>
      </c>
      <c r="H1" s="113" t="s">
        <v>7</v>
      </c>
      <c r="I1" s="113" t="s">
        <v>8</v>
      </c>
      <c r="J1" s="113" t="s">
        <v>9</v>
      </c>
      <c r="K1" s="113" t="s">
        <v>10</v>
      </c>
      <c r="L1" s="113" t="s">
        <v>227</v>
      </c>
      <c r="M1" s="113" t="s">
        <v>228</v>
      </c>
      <c r="N1" s="113" t="s">
        <v>229</v>
      </c>
      <c r="O1" s="113" t="s">
        <v>230</v>
      </c>
      <c r="P1" s="113" t="s">
        <v>231</v>
      </c>
    </row>
    <row r="2" spans="1:16" ht="138" customHeight="1" thickBot="1">
      <c r="A2" s="108" t="s">
        <v>178</v>
      </c>
      <c r="B2" s="109" t="s">
        <v>179</v>
      </c>
      <c r="C2" s="109" t="s">
        <v>182</v>
      </c>
      <c r="D2" s="109" t="s">
        <v>183</v>
      </c>
      <c r="E2" s="109" t="s">
        <v>50</v>
      </c>
      <c r="F2" s="109" t="s">
        <v>184</v>
      </c>
      <c r="G2" s="109" t="s">
        <v>187</v>
      </c>
      <c r="H2" s="109" t="s">
        <v>1279</v>
      </c>
      <c r="I2" s="109" t="s">
        <v>22</v>
      </c>
      <c r="J2" s="109">
        <v>10</v>
      </c>
      <c r="K2" s="114">
        <v>180</v>
      </c>
      <c r="L2" s="114">
        <v>30</v>
      </c>
      <c r="M2" s="114">
        <v>45</v>
      </c>
      <c r="N2" s="114">
        <v>50</v>
      </c>
      <c r="O2" s="114">
        <v>55</v>
      </c>
      <c r="P2" s="110" t="s">
        <v>578</v>
      </c>
    </row>
    <row r="3" spans="1:16" ht="144" customHeight="1" thickBot="1">
      <c r="A3" s="108" t="s">
        <v>180</v>
      </c>
      <c r="B3" s="109" t="s">
        <v>179</v>
      </c>
      <c r="C3" s="109" t="s">
        <v>182</v>
      </c>
      <c r="D3" s="109" t="s">
        <v>183</v>
      </c>
      <c r="E3" s="109" t="s">
        <v>50</v>
      </c>
      <c r="F3" s="109" t="s">
        <v>189</v>
      </c>
      <c r="G3" s="109" t="s">
        <v>187</v>
      </c>
      <c r="H3" s="109" t="s">
        <v>190</v>
      </c>
      <c r="I3" s="109" t="s">
        <v>22</v>
      </c>
      <c r="J3" s="109">
        <v>3525</v>
      </c>
      <c r="K3" s="114">
        <v>4249</v>
      </c>
      <c r="L3" s="114" t="s">
        <v>1225</v>
      </c>
      <c r="M3" s="114" t="s">
        <v>1224</v>
      </c>
      <c r="N3" s="114" t="s">
        <v>1223</v>
      </c>
      <c r="O3" s="114" t="s">
        <v>1222</v>
      </c>
      <c r="P3" s="110" t="s">
        <v>575</v>
      </c>
    </row>
    <row r="4" spans="1:16" s="111" customFormat="1" ht="138" customHeight="1" thickBot="1">
      <c r="A4" s="108" t="s">
        <v>181</v>
      </c>
      <c r="B4" s="114" t="s">
        <v>179</v>
      </c>
      <c r="C4" s="114" t="s">
        <v>182</v>
      </c>
      <c r="D4" s="114" t="s">
        <v>183</v>
      </c>
      <c r="E4" s="114" t="s">
        <v>50</v>
      </c>
      <c r="F4" s="114" t="s">
        <v>188</v>
      </c>
      <c r="G4" s="114" t="s">
        <v>191</v>
      </c>
      <c r="H4" s="114" t="s">
        <v>1280</v>
      </c>
      <c r="I4" s="114" t="s">
        <v>22</v>
      </c>
      <c r="J4" s="114">
        <v>12</v>
      </c>
      <c r="K4" s="114">
        <v>12</v>
      </c>
      <c r="L4" s="114">
        <v>3</v>
      </c>
      <c r="M4" s="114">
        <v>3</v>
      </c>
      <c r="N4" s="114">
        <v>3</v>
      </c>
      <c r="O4" s="114">
        <v>3</v>
      </c>
      <c r="P4" s="115" t="s">
        <v>576</v>
      </c>
    </row>
    <row r="5" spans="1:16" s="111" customFormat="1" ht="171.75" customHeight="1" thickBot="1">
      <c r="A5" s="108" t="s">
        <v>1240</v>
      </c>
      <c r="B5" s="114" t="s">
        <v>179</v>
      </c>
      <c r="C5" s="114" t="s">
        <v>182</v>
      </c>
      <c r="D5" s="114" t="s">
        <v>183</v>
      </c>
      <c r="E5" s="114" t="s">
        <v>50</v>
      </c>
      <c r="F5" s="114" t="s">
        <v>572</v>
      </c>
      <c r="G5" s="114" t="s">
        <v>185</v>
      </c>
      <c r="H5" s="114" t="s">
        <v>1289</v>
      </c>
      <c r="I5" s="114" t="s">
        <v>22</v>
      </c>
      <c r="J5" s="114">
        <v>8</v>
      </c>
      <c r="K5" s="114">
        <v>8</v>
      </c>
      <c r="L5" s="114">
        <v>3</v>
      </c>
      <c r="M5" s="114">
        <v>1</v>
      </c>
      <c r="N5" s="114">
        <v>3</v>
      </c>
      <c r="O5" s="114">
        <v>1</v>
      </c>
      <c r="P5" s="114" t="s">
        <v>577</v>
      </c>
    </row>
    <row r="6" spans="1:16" s="111" customFormat="1" ht="138.75" customHeight="1" thickBot="1">
      <c r="A6" s="108" t="s">
        <v>1241</v>
      </c>
      <c r="B6" s="114" t="s">
        <v>179</v>
      </c>
      <c r="C6" s="114" t="s">
        <v>182</v>
      </c>
      <c r="D6" s="114" t="s">
        <v>183</v>
      </c>
      <c r="E6" s="114" t="s">
        <v>50</v>
      </c>
      <c r="F6" s="114" t="s">
        <v>572</v>
      </c>
      <c r="G6" s="114" t="s">
        <v>570</v>
      </c>
      <c r="H6" s="114" t="s">
        <v>1288</v>
      </c>
      <c r="I6" s="114" t="s">
        <v>22</v>
      </c>
      <c r="J6" s="114">
        <v>100</v>
      </c>
      <c r="K6" s="114">
        <v>160</v>
      </c>
      <c r="L6" s="114">
        <v>30</v>
      </c>
      <c r="M6" s="114">
        <v>60</v>
      </c>
      <c r="N6" s="114">
        <v>50</v>
      </c>
      <c r="O6" s="114">
        <v>40</v>
      </c>
      <c r="P6" s="114" t="s">
        <v>573</v>
      </c>
    </row>
    <row r="7" spans="1:16" s="111" customFormat="1" ht="174.75" customHeight="1" thickBot="1">
      <c r="A7" s="108" t="s">
        <v>186</v>
      </c>
      <c r="B7" s="114" t="s">
        <v>179</v>
      </c>
      <c r="C7" s="114" t="s">
        <v>182</v>
      </c>
      <c r="D7" s="114" t="s">
        <v>183</v>
      </c>
      <c r="E7" s="114" t="s">
        <v>50</v>
      </c>
      <c r="F7" s="114" t="s">
        <v>572</v>
      </c>
      <c r="G7" s="114" t="s">
        <v>571</v>
      </c>
      <c r="H7" s="114" t="s">
        <v>1239</v>
      </c>
      <c r="I7" s="114" t="s">
        <v>22</v>
      </c>
      <c r="J7" s="114">
        <v>4</v>
      </c>
      <c r="K7" s="114">
        <v>16</v>
      </c>
      <c r="L7" s="114">
        <v>4</v>
      </c>
      <c r="M7" s="114">
        <v>4</v>
      </c>
      <c r="N7" s="114">
        <v>4</v>
      </c>
      <c r="O7" s="114">
        <v>4</v>
      </c>
      <c r="P7" s="114" t="s">
        <v>574</v>
      </c>
    </row>
  </sheetData>
  <sheetProtection/>
  <printOptions/>
  <pageMargins left="0.7" right="0.7" top="0.75" bottom="0.75" header="0.3" footer="0.3"/>
  <pageSetup horizontalDpi="600" verticalDpi="600" orientation="landscape" paperSize="8" scale="103" r:id="rId1"/>
  <headerFooter>
    <oddHeader>&amp;C&amp;A</oddHeader>
    <oddFooter>&amp;CPage &amp;P of &amp;N</oddFooter>
  </headerFooter>
</worksheet>
</file>

<file path=xl/worksheets/sheet9.xml><?xml version="1.0" encoding="utf-8"?>
<worksheet xmlns="http://schemas.openxmlformats.org/spreadsheetml/2006/main" xmlns:r="http://schemas.openxmlformats.org/officeDocument/2006/relationships">
  <dimension ref="A1:P12"/>
  <sheetViews>
    <sheetView view="pageBreakPreview" zoomScale="90" zoomScaleSheetLayoutView="90" zoomScalePageLayoutView="0" workbookViewId="0" topLeftCell="A1">
      <pane ySplit="1" topLeftCell="A12" activePane="bottomLeft" state="frozen"/>
      <selection pane="topLeft" activeCell="A1" sqref="A1"/>
      <selection pane="bottomLeft" activeCell="A2" sqref="A2:A12"/>
    </sheetView>
  </sheetViews>
  <sheetFormatPr defaultColWidth="9.140625" defaultRowHeight="15"/>
  <cols>
    <col min="1" max="1" width="9.140625" style="105" customWidth="1"/>
    <col min="2" max="8" width="12.7109375" style="105" customWidth="1"/>
    <col min="9" max="9" width="9.140625" style="105" customWidth="1"/>
    <col min="10" max="16" width="11.57421875" style="105" customWidth="1"/>
    <col min="17" max="16384" width="9.140625" style="105" customWidth="1"/>
  </cols>
  <sheetData>
    <row r="1" spans="1:16" ht="39" thickBot="1">
      <c r="A1" s="106" t="s">
        <v>0</v>
      </c>
      <c r="B1" s="107" t="s">
        <v>1</v>
      </c>
      <c r="C1" s="107" t="s">
        <v>2</v>
      </c>
      <c r="D1" s="107" t="s">
        <v>3</v>
      </c>
      <c r="E1" s="107" t="s">
        <v>4</v>
      </c>
      <c r="F1" s="107" t="s">
        <v>5</v>
      </c>
      <c r="G1" s="107" t="s">
        <v>6</v>
      </c>
      <c r="H1" s="107" t="s">
        <v>7</v>
      </c>
      <c r="I1" s="107" t="s">
        <v>8</v>
      </c>
      <c r="J1" s="107" t="s">
        <v>9</v>
      </c>
      <c r="K1" s="107" t="s">
        <v>10</v>
      </c>
      <c r="L1" s="107" t="s">
        <v>227</v>
      </c>
      <c r="M1" s="107" t="s">
        <v>228</v>
      </c>
      <c r="N1" s="107" t="s">
        <v>229</v>
      </c>
      <c r="O1" s="107" t="s">
        <v>230</v>
      </c>
      <c r="P1" s="107" t="s">
        <v>231</v>
      </c>
    </row>
    <row r="2" spans="1:16" ht="162.75" customHeight="1" thickBot="1">
      <c r="A2" s="108" t="s">
        <v>192</v>
      </c>
      <c r="B2" s="109" t="s">
        <v>193</v>
      </c>
      <c r="C2" s="109" t="s">
        <v>96</v>
      </c>
      <c r="D2" s="109" t="s">
        <v>194</v>
      </c>
      <c r="E2" s="109" t="s">
        <v>119</v>
      </c>
      <c r="F2" s="109" t="s">
        <v>195</v>
      </c>
      <c r="G2" s="109" t="s">
        <v>196</v>
      </c>
      <c r="H2" s="109" t="s">
        <v>1281</v>
      </c>
      <c r="I2" s="109" t="s">
        <v>22</v>
      </c>
      <c r="J2" s="109">
        <v>1</v>
      </c>
      <c r="K2" s="109">
        <v>1</v>
      </c>
      <c r="L2" s="109" t="s">
        <v>528</v>
      </c>
      <c r="M2" s="109" t="s">
        <v>528</v>
      </c>
      <c r="N2" s="109">
        <v>1</v>
      </c>
      <c r="O2" s="109" t="s">
        <v>528</v>
      </c>
      <c r="P2" s="110" t="s">
        <v>560</v>
      </c>
    </row>
    <row r="3" spans="1:16" ht="159.75" customHeight="1" thickBot="1">
      <c r="A3" s="108" t="s">
        <v>197</v>
      </c>
      <c r="B3" s="109" t="s">
        <v>193</v>
      </c>
      <c r="C3" s="109" t="s">
        <v>96</v>
      </c>
      <c r="D3" s="109" t="s">
        <v>194</v>
      </c>
      <c r="E3" s="109" t="s">
        <v>119</v>
      </c>
      <c r="F3" s="109" t="s">
        <v>202</v>
      </c>
      <c r="G3" s="109" t="s">
        <v>196</v>
      </c>
      <c r="H3" s="109" t="s">
        <v>1282</v>
      </c>
      <c r="I3" s="109" t="s">
        <v>25</v>
      </c>
      <c r="J3" s="109" t="s">
        <v>200</v>
      </c>
      <c r="K3" s="110">
        <v>1</v>
      </c>
      <c r="L3" s="110">
        <v>1</v>
      </c>
      <c r="M3" s="110">
        <v>1</v>
      </c>
      <c r="N3" s="110">
        <v>1</v>
      </c>
      <c r="O3" s="110">
        <v>1</v>
      </c>
      <c r="P3" s="110" t="s">
        <v>561</v>
      </c>
    </row>
    <row r="4" spans="1:16" ht="168.75" customHeight="1" thickBot="1">
      <c r="A4" s="108" t="s">
        <v>198</v>
      </c>
      <c r="B4" s="109" t="s">
        <v>193</v>
      </c>
      <c r="C4" s="109" t="s">
        <v>96</v>
      </c>
      <c r="D4" s="109" t="s">
        <v>194</v>
      </c>
      <c r="E4" s="109" t="s">
        <v>119</v>
      </c>
      <c r="F4" s="109" t="s">
        <v>204</v>
      </c>
      <c r="G4" s="109" t="s">
        <v>205</v>
      </c>
      <c r="H4" s="109" t="s">
        <v>206</v>
      </c>
      <c r="I4" s="109" t="s">
        <v>25</v>
      </c>
      <c r="J4" s="110">
        <v>1</v>
      </c>
      <c r="K4" s="110">
        <v>1</v>
      </c>
      <c r="L4" s="110">
        <v>1</v>
      </c>
      <c r="M4" s="110">
        <v>1</v>
      </c>
      <c r="N4" s="110">
        <v>1</v>
      </c>
      <c r="O4" s="110">
        <v>1</v>
      </c>
      <c r="P4" s="110" t="s">
        <v>569</v>
      </c>
    </row>
    <row r="5" spans="1:16" ht="114.75" customHeight="1" thickBot="1">
      <c r="A5" s="108" t="s">
        <v>199</v>
      </c>
      <c r="B5" s="109" t="s">
        <v>193</v>
      </c>
      <c r="C5" s="109" t="s">
        <v>96</v>
      </c>
      <c r="D5" s="109" t="s">
        <v>194</v>
      </c>
      <c r="E5" s="109" t="s">
        <v>119</v>
      </c>
      <c r="F5" s="109" t="s">
        <v>204</v>
      </c>
      <c r="G5" s="109" t="s">
        <v>208</v>
      </c>
      <c r="H5" s="109" t="s">
        <v>1283</v>
      </c>
      <c r="I5" s="109" t="s">
        <v>22</v>
      </c>
      <c r="J5" s="109">
        <v>1</v>
      </c>
      <c r="K5" s="109">
        <v>1</v>
      </c>
      <c r="L5" s="109" t="s">
        <v>528</v>
      </c>
      <c r="M5" s="109" t="s">
        <v>528</v>
      </c>
      <c r="N5" s="109" t="s">
        <v>528</v>
      </c>
      <c r="O5" s="109" t="s">
        <v>528</v>
      </c>
      <c r="P5" s="110" t="s">
        <v>562</v>
      </c>
    </row>
    <row r="6" spans="1:16" ht="137.25" customHeight="1" thickBot="1">
      <c r="A6" s="108" t="s">
        <v>201</v>
      </c>
      <c r="B6" s="109" t="s">
        <v>193</v>
      </c>
      <c r="C6" s="109" t="s">
        <v>96</v>
      </c>
      <c r="D6" s="109" t="s">
        <v>194</v>
      </c>
      <c r="E6" s="109" t="s">
        <v>119</v>
      </c>
      <c r="F6" s="109" t="s">
        <v>211</v>
      </c>
      <c r="G6" s="109" t="s">
        <v>212</v>
      </c>
      <c r="H6" s="109" t="s">
        <v>213</v>
      </c>
      <c r="I6" s="109" t="s">
        <v>22</v>
      </c>
      <c r="J6" s="109">
        <v>30000</v>
      </c>
      <c r="K6" s="109">
        <v>30500</v>
      </c>
      <c r="L6" s="109">
        <v>30500</v>
      </c>
      <c r="M6" s="109">
        <v>30500</v>
      </c>
      <c r="N6" s="109">
        <v>30500</v>
      </c>
      <c r="O6" s="109">
        <v>30500</v>
      </c>
      <c r="P6" s="110" t="s">
        <v>564</v>
      </c>
    </row>
    <row r="7" spans="1:16" ht="104.25" customHeight="1" thickBot="1">
      <c r="A7" s="108" t="s">
        <v>203</v>
      </c>
      <c r="B7" s="109" t="s">
        <v>193</v>
      </c>
      <c r="C7" s="109" t="s">
        <v>96</v>
      </c>
      <c r="D7" s="109" t="s">
        <v>194</v>
      </c>
      <c r="E7" s="109" t="s">
        <v>119</v>
      </c>
      <c r="F7" s="109" t="s">
        <v>211</v>
      </c>
      <c r="G7" s="109" t="s">
        <v>212</v>
      </c>
      <c r="H7" s="109" t="s">
        <v>215</v>
      </c>
      <c r="I7" s="109" t="s">
        <v>25</v>
      </c>
      <c r="J7" s="110">
        <v>0.85</v>
      </c>
      <c r="K7" s="110">
        <v>0.86</v>
      </c>
      <c r="L7" s="110">
        <v>0.86</v>
      </c>
      <c r="M7" s="110">
        <v>0.86</v>
      </c>
      <c r="N7" s="110">
        <v>0.86</v>
      </c>
      <c r="O7" s="110">
        <v>0.86</v>
      </c>
      <c r="P7" s="110" t="s">
        <v>563</v>
      </c>
    </row>
    <row r="8" spans="1:16" ht="159" customHeight="1" thickBot="1">
      <c r="A8" s="108" t="s">
        <v>207</v>
      </c>
      <c r="B8" s="109" t="s">
        <v>193</v>
      </c>
      <c r="C8" s="109" t="s">
        <v>96</v>
      </c>
      <c r="D8" s="109" t="s">
        <v>97</v>
      </c>
      <c r="E8" s="109" t="s">
        <v>119</v>
      </c>
      <c r="F8" s="109" t="s">
        <v>217</v>
      </c>
      <c r="G8" s="109" t="s">
        <v>218</v>
      </c>
      <c r="H8" s="109" t="s">
        <v>219</v>
      </c>
      <c r="I8" s="109" t="s">
        <v>25</v>
      </c>
      <c r="J8" s="110">
        <v>1</v>
      </c>
      <c r="K8" s="110">
        <v>1</v>
      </c>
      <c r="L8" s="110">
        <v>1</v>
      </c>
      <c r="M8" s="110">
        <v>1</v>
      </c>
      <c r="N8" s="110">
        <v>1</v>
      </c>
      <c r="O8" s="110">
        <v>1</v>
      </c>
      <c r="P8" s="110" t="s">
        <v>565</v>
      </c>
    </row>
    <row r="9" spans="1:16" ht="119.25" customHeight="1" thickBot="1">
      <c r="A9" s="108" t="s">
        <v>209</v>
      </c>
      <c r="B9" s="109" t="s">
        <v>193</v>
      </c>
      <c r="C9" s="109" t="s">
        <v>96</v>
      </c>
      <c r="D9" s="109" t="s">
        <v>194</v>
      </c>
      <c r="E9" s="109" t="s">
        <v>119</v>
      </c>
      <c r="F9" s="109" t="s">
        <v>193</v>
      </c>
      <c r="G9" s="109" t="s">
        <v>220</v>
      </c>
      <c r="H9" s="109" t="s">
        <v>1284</v>
      </c>
      <c r="I9" s="109" t="s">
        <v>25</v>
      </c>
      <c r="J9" s="110">
        <v>1</v>
      </c>
      <c r="K9" s="110">
        <v>1</v>
      </c>
      <c r="L9" s="110">
        <v>1</v>
      </c>
      <c r="M9" s="110">
        <v>1</v>
      </c>
      <c r="N9" s="110">
        <v>1</v>
      </c>
      <c r="O9" s="110">
        <v>1</v>
      </c>
      <c r="P9" s="110" t="s">
        <v>566</v>
      </c>
    </row>
    <row r="10" spans="1:16" ht="106.5" customHeight="1" thickBot="1">
      <c r="A10" s="108" t="s">
        <v>210</v>
      </c>
      <c r="B10" s="109" t="s">
        <v>193</v>
      </c>
      <c r="C10" s="109" t="s">
        <v>96</v>
      </c>
      <c r="D10" s="109" t="s">
        <v>194</v>
      </c>
      <c r="E10" s="109" t="s">
        <v>119</v>
      </c>
      <c r="F10" s="109" t="s">
        <v>193</v>
      </c>
      <c r="G10" s="109" t="s">
        <v>220</v>
      </c>
      <c r="H10" s="109" t="s">
        <v>1285</v>
      </c>
      <c r="I10" s="109" t="s">
        <v>25</v>
      </c>
      <c r="J10" s="110">
        <v>0.17</v>
      </c>
      <c r="K10" s="110">
        <v>0.17</v>
      </c>
      <c r="L10" s="110">
        <v>0.17</v>
      </c>
      <c r="M10" s="110">
        <v>0.17</v>
      </c>
      <c r="N10" s="110">
        <v>0.17</v>
      </c>
      <c r="O10" s="110">
        <v>0.17</v>
      </c>
      <c r="P10" s="110" t="s">
        <v>567</v>
      </c>
    </row>
    <row r="11" spans="1:16" ht="107.25" customHeight="1" thickBot="1">
      <c r="A11" s="108" t="s">
        <v>214</v>
      </c>
      <c r="B11" s="109" t="s">
        <v>193</v>
      </c>
      <c r="C11" s="109" t="s">
        <v>96</v>
      </c>
      <c r="D11" s="109" t="s">
        <v>194</v>
      </c>
      <c r="E11" s="109" t="s">
        <v>119</v>
      </c>
      <c r="F11" s="109" t="s">
        <v>193</v>
      </c>
      <c r="G11" s="109" t="s">
        <v>220</v>
      </c>
      <c r="H11" s="109" t="s">
        <v>1286</v>
      </c>
      <c r="I11" s="109" t="s">
        <v>25</v>
      </c>
      <c r="J11" s="109">
        <v>1.9</v>
      </c>
      <c r="K11" s="109">
        <v>1.9</v>
      </c>
      <c r="L11" s="109">
        <v>1.9</v>
      </c>
      <c r="M11" s="109">
        <v>1.9</v>
      </c>
      <c r="N11" s="109">
        <v>1.9</v>
      </c>
      <c r="O11" s="109">
        <v>1.9</v>
      </c>
      <c r="P11" s="110" t="s">
        <v>568</v>
      </c>
    </row>
    <row r="12" spans="1:16" ht="109.5" customHeight="1" thickBot="1">
      <c r="A12" s="108" t="s">
        <v>216</v>
      </c>
      <c r="B12" s="109" t="s">
        <v>193</v>
      </c>
      <c r="C12" s="109" t="s">
        <v>96</v>
      </c>
      <c r="D12" s="109" t="s">
        <v>194</v>
      </c>
      <c r="E12" s="109" t="s">
        <v>119</v>
      </c>
      <c r="F12" s="109" t="s">
        <v>193</v>
      </c>
      <c r="G12" s="109" t="s">
        <v>220</v>
      </c>
      <c r="H12" s="109" t="s">
        <v>1287</v>
      </c>
      <c r="I12" s="109" t="s">
        <v>25</v>
      </c>
      <c r="J12" s="110">
        <v>2</v>
      </c>
      <c r="K12" s="110">
        <v>2</v>
      </c>
      <c r="L12" s="110">
        <v>2</v>
      </c>
      <c r="M12" s="110">
        <v>2</v>
      </c>
      <c r="N12" s="110">
        <v>2</v>
      </c>
      <c r="O12" s="110">
        <v>2</v>
      </c>
      <c r="P12" s="110" t="s">
        <v>567</v>
      </c>
    </row>
  </sheetData>
  <sheetProtection/>
  <printOptions/>
  <pageMargins left="0.7" right="0.7" top="0.75" bottom="0.75" header="0.3" footer="0.3"/>
  <pageSetup horizontalDpi="600" verticalDpi="600" orientation="landscape" paperSize="8" scale="102" r:id="rId1"/>
  <headerFooter>
    <oddHeader>&amp;C&amp;A</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sopholiss</dc:creator>
  <cp:keywords/>
  <dc:description/>
  <cp:lastModifiedBy>Dorcas Nkoana</cp:lastModifiedBy>
  <cp:lastPrinted>2018-07-05T09:43:25Z</cp:lastPrinted>
  <dcterms:created xsi:type="dcterms:W3CDTF">2018-06-08T06:31:11Z</dcterms:created>
  <dcterms:modified xsi:type="dcterms:W3CDTF">2018-09-03T14:07:15Z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Ye">
    <vt:lpwstr>2018-09-03T00:00:00Z</vt:lpwstr>
  </property>
  <property fmtid="{D5CDD505-2E9C-101B-9397-08002B2CF9AE}" pid="4" name="Type of Docume">
    <vt:lpwstr>;#SDBIP;#</vt:lpwstr>
  </property>
</Properties>
</file>